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 Progress Files\Chhavi Toshan\EV\PFS\RK Working 2021-22\RK Working NVEPL Final Excel Sheets 2021-22\Operational Companies _May 2023\V3\"/>
    </mc:Choice>
  </mc:AlternateContent>
  <xr:revisionPtr revIDLastSave="0" documentId="13_ncr:1_{EC618FEF-2399-4CD0-811E-A8D98169B6D6}" xr6:coauthVersionLast="47" xr6:coauthVersionMax="47" xr10:uidLastSave="{00000000-0000-0000-0000-000000000000}"/>
  <bookViews>
    <workbookView showHorizontalScroll="0" showVerticalScroll="0" xWindow="-108" yWindow="-108" windowWidth="23256" windowHeight="12576" tabRatio="711" activeTab="6" xr2:uid="{00000000-000D-0000-FFFF-FFFF00000000}"/>
  </bookViews>
  <sheets>
    <sheet name="Assumptions" sheetId="1" r:id="rId1"/>
    <sheet name="Historicals" sheetId="9" r:id="rId2"/>
    <sheet name="RKA P&amp;L" sheetId="7" r:id="rId3"/>
    <sheet name="Debt Sch" sheetId="6" r:id="rId4"/>
    <sheet name="RKA CAPM" sheetId="5" state="hidden" r:id="rId5"/>
    <sheet name="Depreciation Schedule" sheetId="3" r:id="rId6"/>
    <sheet name="Summary_S1 PSA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0">#REF!</definedName>
    <definedName name="\a" localSheetId="3">#REF!</definedName>
    <definedName name="\a" localSheetId="4">#REF!</definedName>
    <definedName name="\a" localSheetId="6">#REF!</definedName>
    <definedName name="\a">#REF!</definedName>
    <definedName name="\b" localSheetId="3">#REF!</definedName>
    <definedName name="\b" localSheetId="4">#REF!</definedName>
    <definedName name="\b" localSheetId="6">#REF!</definedName>
    <definedName name="\b">#REF!</definedName>
    <definedName name="\c" localSheetId="3">#REF!</definedName>
    <definedName name="\c" localSheetId="4">#REF!</definedName>
    <definedName name="\c" localSheetId="6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h">#REF!</definedName>
    <definedName name="\i">#REF!</definedName>
    <definedName name="\j" localSheetId="4">#REF!</definedName>
    <definedName name="\j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p" localSheetId="4">#REF!</definedName>
    <definedName name="\p">#REF!</definedName>
    <definedName name="\s" localSheetId="4">#REF!</definedName>
    <definedName name="\s">#REF!</definedName>
    <definedName name="\t" localSheetId="4">#REF!</definedName>
    <definedName name="\t">#REF!</definedName>
    <definedName name="\w" localSheetId="4">#REF!</definedName>
    <definedName name="\w">#REF!</definedName>
    <definedName name="\x" localSheetId="4">#REF!</definedName>
    <definedName name="\x">#REF!</definedName>
    <definedName name="\y">#REF!</definedName>
    <definedName name="\z" localSheetId="4">#REF!</definedName>
    <definedName name="\z">#REF!</definedName>
    <definedName name="_" localSheetId="4">#REF!</definedName>
    <definedName name="_">#REF!</definedName>
    <definedName name="_.._D__D__D__D_" localSheetId="4">#REF!</definedName>
    <definedName name="_.._D__D__D__D_">#REF!</definedName>
    <definedName name="____________________SCH1" localSheetId="4">#REF!</definedName>
    <definedName name="____________________SCH1">#REF!</definedName>
    <definedName name="____________________SCH10" localSheetId="4">#REF!</definedName>
    <definedName name="____________________SCH10">#REF!</definedName>
    <definedName name="____________________SCH11" localSheetId="4">#REF!</definedName>
    <definedName name="____________________SCH11">#REF!</definedName>
    <definedName name="____________________SCH2" localSheetId="4">#REF!</definedName>
    <definedName name="____________________SCH2">#REF!</definedName>
    <definedName name="____________________SCH3" localSheetId="4">#REF!</definedName>
    <definedName name="____________________SCH3">#REF!</definedName>
    <definedName name="____________________SCH4" localSheetId="4">#REF!</definedName>
    <definedName name="____________________SCH4">#REF!</definedName>
    <definedName name="____________________SCH5" localSheetId="4">#REF!</definedName>
    <definedName name="____________________SCH5">#REF!</definedName>
    <definedName name="____________________SCH6" localSheetId="4">#REF!</definedName>
    <definedName name="____________________SCH6">#REF!</definedName>
    <definedName name="____________________SCH7" localSheetId="4">#REF!</definedName>
    <definedName name="____________________SCH7">#REF!</definedName>
    <definedName name="____________________SCH8" localSheetId="4">#REF!</definedName>
    <definedName name="____________________SCH8">#REF!</definedName>
    <definedName name="____________________SCH9" localSheetId="4">#REF!</definedName>
    <definedName name="____________________SCH9">#REF!</definedName>
    <definedName name="___________________SCH1" localSheetId="4">#REF!</definedName>
    <definedName name="___________________SCH1">#REF!</definedName>
    <definedName name="___________________SCH10" localSheetId="4">#REF!</definedName>
    <definedName name="___________________SCH10">#REF!</definedName>
    <definedName name="___________________SCH11" localSheetId="4">#REF!</definedName>
    <definedName name="___________________SCH11">#REF!</definedName>
    <definedName name="___________________SCH2" localSheetId="4">#REF!</definedName>
    <definedName name="___________________SCH2">#REF!</definedName>
    <definedName name="___________________SCH3" localSheetId="4">#REF!</definedName>
    <definedName name="___________________SCH3">#REF!</definedName>
    <definedName name="___________________SCH4" localSheetId="4">#REF!</definedName>
    <definedName name="___________________SCH4">#REF!</definedName>
    <definedName name="___________________SCH5" localSheetId="4">#REF!</definedName>
    <definedName name="___________________SCH5">#REF!</definedName>
    <definedName name="___________________SCH6" localSheetId="4">#REF!</definedName>
    <definedName name="___________________SCH6">#REF!</definedName>
    <definedName name="___________________SCH7" localSheetId="4">#REF!</definedName>
    <definedName name="___________________SCH7">#REF!</definedName>
    <definedName name="___________________SCH8" localSheetId="4">#REF!</definedName>
    <definedName name="___________________SCH8">#REF!</definedName>
    <definedName name="___________________SCH9" localSheetId="4">#REF!</definedName>
    <definedName name="___________________SCH9">#REF!</definedName>
    <definedName name="__________________SCH1" localSheetId="4">#REF!</definedName>
    <definedName name="__________________SCH1">#REF!</definedName>
    <definedName name="__________________SCH10" localSheetId="4">#REF!</definedName>
    <definedName name="__________________SCH10">#REF!</definedName>
    <definedName name="__________________SCH11" localSheetId="4">#REF!</definedName>
    <definedName name="__________________SCH11">#REF!</definedName>
    <definedName name="__________________SCH2" localSheetId="4">#REF!</definedName>
    <definedName name="__________________SCH2">#REF!</definedName>
    <definedName name="__________________SCH3" localSheetId="4">#REF!</definedName>
    <definedName name="__________________SCH3">#REF!</definedName>
    <definedName name="__________________SCH4" localSheetId="4">#REF!</definedName>
    <definedName name="__________________SCH4">#REF!</definedName>
    <definedName name="__________________SCH5" localSheetId="4">#REF!</definedName>
    <definedName name="__________________SCH5">#REF!</definedName>
    <definedName name="__________________SCH6" localSheetId="4">#REF!</definedName>
    <definedName name="__________________SCH6">#REF!</definedName>
    <definedName name="__________________SCH7" localSheetId="4">#REF!</definedName>
    <definedName name="__________________SCH7">#REF!</definedName>
    <definedName name="__________________SCH8" localSheetId="4">#REF!</definedName>
    <definedName name="__________________SCH8">#REF!</definedName>
    <definedName name="__________________SCH9" localSheetId="4">#REF!</definedName>
    <definedName name="__________________SCH9">#REF!</definedName>
    <definedName name="_________________SCH1" localSheetId="4">#REF!</definedName>
    <definedName name="_________________SCH1">#REF!</definedName>
    <definedName name="_________________SCH10" localSheetId="4">#REF!</definedName>
    <definedName name="_________________SCH10">#REF!</definedName>
    <definedName name="_________________SCH11" localSheetId="4">#REF!</definedName>
    <definedName name="_________________SCH11">#REF!</definedName>
    <definedName name="_________________SCH2" localSheetId="4">#REF!</definedName>
    <definedName name="_________________SCH2">#REF!</definedName>
    <definedName name="_________________SCH3" localSheetId="4">#REF!</definedName>
    <definedName name="_________________SCH3">#REF!</definedName>
    <definedName name="_________________SCH4" localSheetId="4">#REF!</definedName>
    <definedName name="_________________SCH4">#REF!</definedName>
    <definedName name="_________________SCH5" localSheetId="4">#REF!</definedName>
    <definedName name="_________________SCH5">#REF!</definedName>
    <definedName name="_________________SCH6" localSheetId="4">#REF!</definedName>
    <definedName name="_________________SCH6">#REF!</definedName>
    <definedName name="_________________SCH7" localSheetId="4">#REF!</definedName>
    <definedName name="_________________SCH7">#REF!</definedName>
    <definedName name="_________________SCH8" localSheetId="4">#REF!</definedName>
    <definedName name="_________________SCH8">#REF!</definedName>
    <definedName name="_________________SCH9" localSheetId="4">#REF!</definedName>
    <definedName name="_________________SCH9">#REF!</definedName>
    <definedName name="________________SCH1" localSheetId="4">#REF!</definedName>
    <definedName name="________________SCH1">#REF!</definedName>
    <definedName name="________________SCH10" localSheetId="4">#REF!</definedName>
    <definedName name="________________SCH10">#REF!</definedName>
    <definedName name="________________SCH11" localSheetId="4">#REF!</definedName>
    <definedName name="________________SCH11">#REF!</definedName>
    <definedName name="________________SCH2" localSheetId="4">#REF!</definedName>
    <definedName name="________________SCH2">#REF!</definedName>
    <definedName name="________________SCH3" localSheetId="4">#REF!</definedName>
    <definedName name="________________SCH3">#REF!</definedName>
    <definedName name="________________SCH4" localSheetId="4">#REF!</definedName>
    <definedName name="________________SCH4">#REF!</definedName>
    <definedName name="________________SCH5" localSheetId="4">#REF!</definedName>
    <definedName name="________________SCH5">#REF!</definedName>
    <definedName name="________________SCH6" localSheetId="4">#REF!</definedName>
    <definedName name="________________SCH6">#REF!</definedName>
    <definedName name="________________SCH7" localSheetId="4">#REF!</definedName>
    <definedName name="________________SCH7">#REF!</definedName>
    <definedName name="________________SCH8" localSheetId="4">#REF!</definedName>
    <definedName name="________________SCH8">#REF!</definedName>
    <definedName name="________________SCH9" localSheetId="4">#REF!</definedName>
    <definedName name="________________SCH9">#REF!</definedName>
    <definedName name="_______________SCH1" localSheetId="4">#REF!</definedName>
    <definedName name="_______________SCH1">#REF!</definedName>
    <definedName name="_______________SCH10" localSheetId="4">#REF!</definedName>
    <definedName name="_______________SCH10">#REF!</definedName>
    <definedName name="_______________SCH11" localSheetId="4">#REF!</definedName>
    <definedName name="_______________SCH11">#REF!</definedName>
    <definedName name="_______________SCH2" localSheetId="4">#REF!</definedName>
    <definedName name="_______________SCH2">#REF!</definedName>
    <definedName name="_______________SCH3" localSheetId="4">#REF!</definedName>
    <definedName name="_______________SCH3">#REF!</definedName>
    <definedName name="_______________SCH4" localSheetId="4">#REF!</definedName>
    <definedName name="_______________SCH4">#REF!</definedName>
    <definedName name="_______________SCH5" localSheetId="4">#REF!</definedName>
    <definedName name="_______________SCH5">#REF!</definedName>
    <definedName name="_______________SCH6" localSheetId="4">#REF!</definedName>
    <definedName name="_______________SCH6">#REF!</definedName>
    <definedName name="_______________SCH7" localSheetId="4">#REF!</definedName>
    <definedName name="_______________SCH7">#REF!</definedName>
    <definedName name="_______________SCH8" localSheetId="4">#REF!</definedName>
    <definedName name="_______________SCH8">#REF!</definedName>
    <definedName name="_______________SCH9" localSheetId="4">#REF!</definedName>
    <definedName name="_______________SCH9">#REF!</definedName>
    <definedName name="______________SCH1" localSheetId="4">#REF!</definedName>
    <definedName name="______________SCH1">#REF!</definedName>
    <definedName name="______________SCH10" localSheetId="4">#REF!</definedName>
    <definedName name="______________SCH10">#REF!</definedName>
    <definedName name="______________SCH11" localSheetId="4">#REF!</definedName>
    <definedName name="______________SCH11">#REF!</definedName>
    <definedName name="______________SCH2" localSheetId="4">#REF!</definedName>
    <definedName name="______________SCH2">#REF!</definedName>
    <definedName name="______________SCH3" localSheetId="4">#REF!</definedName>
    <definedName name="______________SCH3">#REF!</definedName>
    <definedName name="______________SCH4" localSheetId="4">#REF!</definedName>
    <definedName name="______________SCH4">#REF!</definedName>
    <definedName name="______________SCH5" localSheetId="4">#REF!</definedName>
    <definedName name="______________SCH5">#REF!</definedName>
    <definedName name="______________SCH6" localSheetId="4">#REF!</definedName>
    <definedName name="______________SCH6">#REF!</definedName>
    <definedName name="______________SCH7" localSheetId="4">#REF!</definedName>
    <definedName name="______________SCH7">#REF!</definedName>
    <definedName name="______________SCH8" localSheetId="4">#REF!</definedName>
    <definedName name="______________SCH8">#REF!</definedName>
    <definedName name="______________SCH9" localSheetId="4">#REF!</definedName>
    <definedName name="______________SCH9">#REF!</definedName>
    <definedName name="_____________SCH1" localSheetId="4">#REF!</definedName>
    <definedName name="_____________SCH1">#REF!</definedName>
    <definedName name="_____________SCH10" localSheetId="4">#REF!</definedName>
    <definedName name="_____________SCH10">#REF!</definedName>
    <definedName name="_____________SCH11" localSheetId="4">#REF!</definedName>
    <definedName name="_____________SCH11">#REF!</definedName>
    <definedName name="_____________SCH2" localSheetId="4">#REF!</definedName>
    <definedName name="_____________SCH2">#REF!</definedName>
    <definedName name="_____________SCH3" localSheetId="4">#REF!</definedName>
    <definedName name="_____________SCH3">#REF!</definedName>
    <definedName name="_____________SCH4" localSheetId="4">#REF!</definedName>
    <definedName name="_____________SCH4">#REF!</definedName>
    <definedName name="_____________SCH5" localSheetId="4">#REF!</definedName>
    <definedName name="_____________SCH5">#REF!</definedName>
    <definedName name="_____________SCH6" localSheetId="4">#REF!</definedName>
    <definedName name="_____________SCH6">#REF!</definedName>
    <definedName name="_____________SCH7" localSheetId="4">#REF!</definedName>
    <definedName name="_____________SCH7">#REF!</definedName>
    <definedName name="_____________SCH8" localSheetId="4">#REF!</definedName>
    <definedName name="_____________SCH8">#REF!</definedName>
    <definedName name="_____________SCH9" localSheetId="4">#REF!</definedName>
    <definedName name="_____________SCH9">#REF!</definedName>
    <definedName name="____________SCH1" localSheetId="4">#REF!</definedName>
    <definedName name="____________SCH1">#REF!</definedName>
    <definedName name="____________SCH10" localSheetId="4">#REF!</definedName>
    <definedName name="____________SCH10">#REF!</definedName>
    <definedName name="____________SCH11" localSheetId="4">#REF!</definedName>
    <definedName name="____________SCH11">#REF!</definedName>
    <definedName name="____________SCH2" localSheetId="4">#REF!</definedName>
    <definedName name="____________SCH2">#REF!</definedName>
    <definedName name="____________SCH3" localSheetId="4">#REF!</definedName>
    <definedName name="____________SCH3">#REF!</definedName>
    <definedName name="____________SCH4" localSheetId="4">#REF!</definedName>
    <definedName name="____________SCH4">#REF!</definedName>
    <definedName name="____________SCH5" localSheetId="4">#REF!</definedName>
    <definedName name="____________SCH5">#REF!</definedName>
    <definedName name="____________SCH6" localSheetId="4">#REF!</definedName>
    <definedName name="____________SCH6">#REF!</definedName>
    <definedName name="____________SCH7" localSheetId="4">#REF!</definedName>
    <definedName name="____________SCH7">#REF!</definedName>
    <definedName name="____________SCH8" localSheetId="4">#REF!</definedName>
    <definedName name="____________SCH8">#REF!</definedName>
    <definedName name="____________SCH9" localSheetId="4">#REF!</definedName>
    <definedName name="____________SCH9">#REF!</definedName>
    <definedName name="___________SCH1" localSheetId="4">#REF!</definedName>
    <definedName name="___________SCH1">#REF!</definedName>
    <definedName name="___________SCH10" localSheetId="4">#REF!</definedName>
    <definedName name="___________SCH10">#REF!</definedName>
    <definedName name="___________SCH11" localSheetId="4">#REF!</definedName>
    <definedName name="___________SCH11">#REF!</definedName>
    <definedName name="___________SCH2" localSheetId="4">#REF!</definedName>
    <definedName name="___________SCH2">#REF!</definedName>
    <definedName name="___________SCH3" localSheetId="4">#REF!</definedName>
    <definedName name="___________SCH3">#REF!</definedName>
    <definedName name="___________SCH4" localSheetId="4">#REF!</definedName>
    <definedName name="___________SCH4">#REF!</definedName>
    <definedName name="___________SCH5" localSheetId="4">#REF!</definedName>
    <definedName name="___________SCH5">#REF!</definedName>
    <definedName name="___________SCH6" localSheetId="4">#REF!</definedName>
    <definedName name="___________SCH6">#REF!</definedName>
    <definedName name="___________SCH7" localSheetId="4">#REF!</definedName>
    <definedName name="___________SCH7">#REF!</definedName>
    <definedName name="___________SCH8" localSheetId="4">#REF!</definedName>
    <definedName name="___________SCH8">#REF!</definedName>
    <definedName name="___________SCH9" localSheetId="4">#REF!</definedName>
    <definedName name="___________SCH9">#REF!</definedName>
    <definedName name="__________SCH1" localSheetId="4">#REF!</definedName>
    <definedName name="__________SCH1">#REF!</definedName>
    <definedName name="__________SCH10" localSheetId="4">#REF!</definedName>
    <definedName name="__________SCH10">#REF!</definedName>
    <definedName name="__________SCH11" localSheetId="4">#REF!</definedName>
    <definedName name="__________SCH11">#REF!</definedName>
    <definedName name="__________SCH2" localSheetId="4">#REF!</definedName>
    <definedName name="__________SCH2">#REF!</definedName>
    <definedName name="__________SCH3" localSheetId="4">#REF!</definedName>
    <definedName name="__________SCH3">#REF!</definedName>
    <definedName name="__________SCH4" localSheetId="4">#REF!</definedName>
    <definedName name="__________SCH4">#REF!</definedName>
    <definedName name="__________SCH5" localSheetId="4">#REF!</definedName>
    <definedName name="__________SCH5">#REF!</definedName>
    <definedName name="__________SCH6" localSheetId="4">#REF!</definedName>
    <definedName name="__________SCH6">#REF!</definedName>
    <definedName name="__________SCH7" localSheetId="4">#REF!</definedName>
    <definedName name="__________SCH7">#REF!</definedName>
    <definedName name="__________SCH8" localSheetId="4">#REF!</definedName>
    <definedName name="__________SCH8">#REF!</definedName>
    <definedName name="__________SCH9" localSheetId="4">#REF!</definedName>
    <definedName name="__________SCH9">#REF!</definedName>
    <definedName name="_________SCH1" localSheetId="4">#REF!</definedName>
    <definedName name="_________SCH1">#REF!</definedName>
    <definedName name="_________SCH10" localSheetId="4">#REF!</definedName>
    <definedName name="_________SCH10">#REF!</definedName>
    <definedName name="_________SCH11" localSheetId="4">#REF!</definedName>
    <definedName name="_________SCH11">#REF!</definedName>
    <definedName name="_________SCH2" localSheetId="4">#REF!</definedName>
    <definedName name="_________SCH2">#REF!</definedName>
    <definedName name="_________SCH3" localSheetId="4">#REF!</definedName>
    <definedName name="_________SCH3">#REF!</definedName>
    <definedName name="_________SCH4" localSheetId="4">#REF!</definedName>
    <definedName name="_________SCH4">#REF!</definedName>
    <definedName name="_________SCH5" localSheetId="4">#REF!</definedName>
    <definedName name="_________SCH5">#REF!</definedName>
    <definedName name="_________SCH6" localSheetId="4">#REF!</definedName>
    <definedName name="_________SCH6">#REF!</definedName>
    <definedName name="_________SCH7" localSheetId="4">#REF!</definedName>
    <definedName name="_________SCH7">#REF!</definedName>
    <definedName name="_________SCH8" localSheetId="4">#REF!</definedName>
    <definedName name="_________SCH8">#REF!</definedName>
    <definedName name="_________SCH9" localSheetId="4">#REF!</definedName>
    <definedName name="_________SCH9">#REF!</definedName>
    <definedName name="_________XL__ENTER_UNIT" localSheetId="4">#REF!</definedName>
    <definedName name="_________XL__ENTER_UNIT">#REF!</definedName>
    <definedName name="________SCH1" localSheetId="4">#REF!</definedName>
    <definedName name="________SCH1">#REF!</definedName>
    <definedName name="________SCH10" localSheetId="4">#REF!</definedName>
    <definedName name="________SCH10">#REF!</definedName>
    <definedName name="________SCH11" localSheetId="4">#REF!</definedName>
    <definedName name="________SCH11">#REF!</definedName>
    <definedName name="________SCH2" localSheetId="4">#REF!</definedName>
    <definedName name="________SCH2">#REF!</definedName>
    <definedName name="________SCH3" localSheetId="4">#REF!</definedName>
    <definedName name="________SCH3">#REF!</definedName>
    <definedName name="________SCH4" localSheetId="4">#REF!</definedName>
    <definedName name="________SCH4">#REF!</definedName>
    <definedName name="________SCH5" localSheetId="4">#REF!</definedName>
    <definedName name="________SCH5">#REF!</definedName>
    <definedName name="________SCH6" localSheetId="4">#REF!</definedName>
    <definedName name="________SCH6">#REF!</definedName>
    <definedName name="________SCH7" localSheetId="4">#REF!</definedName>
    <definedName name="________SCH7">#REF!</definedName>
    <definedName name="________SCH8" localSheetId="4">#REF!</definedName>
    <definedName name="________SCH8">#REF!</definedName>
    <definedName name="________SCH9" localSheetId="4">#REF!</definedName>
    <definedName name="________SCH9">#REF!</definedName>
    <definedName name="_______SCH1" localSheetId="4">#REF!</definedName>
    <definedName name="_______SCH1">#REF!</definedName>
    <definedName name="_______SCH10" localSheetId="4">#REF!</definedName>
    <definedName name="_______SCH10">#REF!</definedName>
    <definedName name="_______SCH11" localSheetId="4">#REF!</definedName>
    <definedName name="_______SCH11">#REF!</definedName>
    <definedName name="_______SCH2" localSheetId="4">#REF!</definedName>
    <definedName name="_______SCH2">#REF!</definedName>
    <definedName name="_______SCH3" localSheetId="4">#REF!</definedName>
    <definedName name="_______SCH3">#REF!</definedName>
    <definedName name="_______SCH4" localSheetId="4">#REF!</definedName>
    <definedName name="_______SCH4">#REF!</definedName>
    <definedName name="_______SCH5" localSheetId="4">#REF!</definedName>
    <definedName name="_______SCH5">#REF!</definedName>
    <definedName name="_______SCH6" localSheetId="4">'[1]04REL'!#REF!</definedName>
    <definedName name="_______SCH6">'[1]04REL'!#REF!</definedName>
    <definedName name="_______SCH7" localSheetId="3">#REF!</definedName>
    <definedName name="_______SCH7" localSheetId="4">#REF!</definedName>
    <definedName name="_______SCH7" localSheetId="6">#REF!</definedName>
    <definedName name="_______SCH7">#REF!</definedName>
    <definedName name="_______SCH8" localSheetId="3">#REF!</definedName>
    <definedName name="_______SCH8" localSheetId="4">#REF!</definedName>
    <definedName name="_______SCH8" localSheetId="6">#REF!</definedName>
    <definedName name="_______SCH8">#REF!</definedName>
    <definedName name="_______SCH9" localSheetId="3">#REF!</definedName>
    <definedName name="_______SCH9" localSheetId="4">#REF!</definedName>
    <definedName name="_______SCH9" localSheetId="6">#REF!</definedName>
    <definedName name="_______SCH9">#REF!</definedName>
    <definedName name="_______XL__ENTER_UNIT" localSheetId="4">#REF!</definedName>
    <definedName name="_______XL__ENTER_UNIT">#REF!</definedName>
    <definedName name="______SCH1" localSheetId="4">#REF!</definedName>
    <definedName name="______SCH1">#REF!</definedName>
    <definedName name="______SCH10" localSheetId="4">#REF!</definedName>
    <definedName name="______SCH10">#REF!</definedName>
    <definedName name="______SCH11" localSheetId="4">#REF!</definedName>
    <definedName name="______SCH11">#REF!</definedName>
    <definedName name="______SCH2" localSheetId="4">#REF!</definedName>
    <definedName name="______SCH2">#REF!</definedName>
    <definedName name="______SCH3" localSheetId="4">#REF!</definedName>
    <definedName name="______SCH3">#REF!</definedName>
    <definedName name="______SCH4" localSheetId="4">#REF!</definedName>
    <definedName name="______SCH4">#REF!</definedName>
    <definedName name="______SCH5" localSheetId="4">#REF!</definedName>
    <definedName name="______SCH5">#REF!</definedName>
    <definedName name="______SCH6" localSheetId="4">'[1]04REL'!#REF!</definedName>
    <definedName name="______SCH6">'[1]04REL'!#REF!</definedName>
    <definedName name="______SCH7" localSheetId="3">#REF!</definedName>
    <definedName name="______SCH7" localSheetId="4">#REF!</definedName>
    <definedName name="______SCH7" localSheetId="6">#REF!</definedName>
    <definedName name="______SCH7">#REF!</definedName>
    <definedName name="______SCH8" localSheetId="3">#REF!</definedName>
    <definedName name="______SCH8" localSheetId="4">#REF!</definedName>
    <definedName name="______SCH8" localSheetId="6">#REF!</definedName>
    <definedName name="______SCH8">#REF!</definedName>
    <definedName name="______SCH9" localSheetId="3">#REF!</definedName>
    <definedName name="______SCH9" localSheetId="4">#REF!</definedName>
    <definedName name="______SCH9" localSheetId="6">#REF!</definedName>
    <definedName name="______SCH9">#REF!</definedName>
    <definedName name="______XL__ENTER_UNIT" localSheetId="4">#REF!</definedName>
    <definedName name="______XL__ENTER_UNIT">#REF!</definedName>
    <definedName name="_____SCH1" localSheetId="4">#REF!</definedName>
    <definedName name="_____SCH1">#REF!</definedName>
    <definedName name="_____SCH10" localSheetId="4">#REF!</definedName>
    <definedName name="_____SCH10">#REF!</definedName>
    <definedName name="_____SCH11" localSheetId="4">#REF!</definedName>
    <definedName name="_____SCH11">#REF!</definedName>
    <definedName name="_____SCH2" localSheetId="4">#REF!</definedName>
    <definedName name="_____SCH2">#REF!</definedName>
    <definedName name="_____SCH3" localSheetId="4">#REF!</definedName>
    <definedName name="_____SCH3">#REF!</definedName>
    <definedName name="_____SCH4" localSheetId="4">#REF!</definedName>
    <definedName name="_____SCH4">#REF!</definedName>
    <definedName name="_____SCH5" localSheetId="4">#REF!</definedName>
    <definedName name="_____SCH5">#REF!</definedName>
    <definedName name="_____SCH6" localSheetId="4">'[1]04REL'!#REF!</definedName>
    <definedName name="_____SCH6">'[1]04REL'!#REF!</definedName>
    <definedName name="_____SCH7" localSheetId="3">#REF!</definedName>
    <definedName name="_____SCH7" localSheetId="4">#REF!</definedName>
    <definedName name="_____SCH7" localSheetId="6">#REF!</definedName>
    <definedName name="_____SCH7">#REF!</definedName>
    <definedName name="_____SCH8" localSheetId="3">#REF!</definedName>
    <definedName name="_____SCH8" localSheetId="4">#REF!</definedName>
    <definedName name="_____SCH8" localSheetId="6">#REF!</definedName>
    <definedName name="_____SCH8">#REF!</definedName>
    <definedName name="_____SCH9" localSheetId="3">#REF!</definedName>
    <definedName name="_____SCH9" localSheetId="4">#REF!</definedName>
    <definedName name="_____SCH9" localSheetId="6">#REF!</definedName>
    <definedName name="_____SCH9">#REF!</definedName>
    <definedName name="____SCH1" localSheetId="4">#REF!</definedName>
    <definedName name="____SCH1">#REF!</definedName>
    <definedName name="____SCH10" localSheetId="4">#REF!</definedName>
    <definedName name="____SCH10">#REF!</definedName>
    <definedName name="____SCH11" localSheetId="4">#REF!</definedName>
    <definedName name="____SCH11">#REF!</definedName>
    <definedName name="____SCH2" localSheetId="4">#REF!</definedName>
    <definedName name="____SCH2">#REF!</definedName>
    <definedName name="____SCH3" localSheetId="4">#REF!</definedName>
    <definedName name="____SCH3">#REF!</definedName>
    <definedName name="____SCH4" localSheetId="4">#REF!</definedName>
    <definedName name="____SCH4">#REF!</definedName>
    <definedName name="____SCH5" localSheetId="4">#REF!</definedName>
    <definedName name="____SCH5">#REF!</definedName>
    <definedName name="____SCH6" localSheetId="4">'[1]04REL'!#REF!</definedName>
    <definedName name="____SCH6">'[1]04REL'!#REF!</definedName>
    <definedName name="____SCH7" localSheetId="3">#REF!</definedName>
    <definedName name="____SCH7" localSheetId="4">#REF!</definedName>
    <definedName name="____SCH7" localSheetId="6">#REF!</definedName>
    <definedName name="____SCH7">#REF!</definedName>
    <definedName name="____SCH8" localSheetId="3">#REF!</definedName>
    <definedName name="____SCH8" localSheetId="4">#REF!</definedName>
    <definedName name="____SCH8" localSheetId="6">#REF!</definedName>
    <definedName name="____SCH8">#REF!</definedName>
    <definedName name="____SCH9" localSheetId="3">#REF!</definedName>
    <definedName name="____SCH9" localSheetId="4">#REF!</definedName>
    <definedName name="____SCH9" localSheetId="6">#REF!</definedName>
    <definedName name="____SCH9">#REF!</definedName>
    <definedName name="____XL__ENTER_UNIT" localSheetId="4">#REF!</definedName>
    <definedName name="____XL__ENTER_UNIT">#REF!</definedName>
    <definedName name="___INDEX_SHEET___ASAP_Utilities" localSheetId="4">#REF!</definedName>
    <definedName name="___INDEX_SHEET___ASAP_Utilities">#REF!</definedName>
    <definedName name="___SCH1" localSheetId="4">#REF!</definedName>
    <definedName name="___SCH1">#REF!</definedName>
    <definedName name="___SCH10" localSheetId="4">#REF!</definedName>
    <definedName name="___SCH10">#REF!</definedName>
    <definedName name="___SCH11" localSheetId="4">#REF!</definedName>
    <definedName name="___SCH11">#REF!</definedName>
    <definedName name="___SCH2" localSheetId="4">#REF!</definedName>
    <definedName name="___SCH2">#REF!</definedName>
    <definedName name="___SCH3" localSheetId="4">#REF!</definedName>
    <definedName name="___SCH3">#REF!</definedName>
    <definedName name="___SCH4" localSheetId="4">#REF!</definedName>
    <definedName name="___SCH4">#REF!</definedName>
    <definedName name="___SCH5" localSheetId="4">#REF!</definedName>
    <definedName name="___SCH5">#REF!</definedName>
    <definedName name="___SCH6" localSheetId="4">'[1]04REL'!#REF!</definedName>
    <definedName name="___SCH6">'[1]04REL'!#REF!</definedName>
    <definedName name="___SCH7" localSheetId="3">#REF!</definedName>
    <definedName name="___SCH7" localSheetId="4">#REF!</definedName>
    <definedName name="___SCH7" localSheetId="6">#REF!</definedName>
    <definedName name="___SCH7">#REF!</definedName>
    <definedName name="___SCH8" localSheetId="3">#REF!</definedName>
    <definedName name="___SCH8" localSheetId="4">#REF!</definedName>
    <definedName name="___SCH8" localSheetId="6">#REF!</definedName>
    <definedName name="___SCH8">#REF!</definedName>
    <definedName name="___SCH9" localSheetId="3">#REF!</definedName>
    <definedName name="___SCH9" localSheetId="4">#REF!</definedName>
    <definedName name="___SCH9" localSheetId="6">#REF!</definedName>
    <definedName name="___SCH9">#REF!</definedName>
    <definedName name="___XL__ENTER_UNIT" localSheetId="4">#REF!</definedName>
    <definedName name="___XL__ENTER_UNIT">#REF!</definedName>
    <definedName name="__123Graph_A" localSheetId="4" hidden="1">[2]CE!#REF!</definedName>
    <definedName name="__123Graph_A" hidden="1">[2]CE!#REF!</definedName>
    <definedName name="__123Graph_ASTNPLF" localSheetId="4" hidden="1">[2]CE!#REF!</definedName>
    <definedName name="__123Graph_ASTNPLF" hidden="1">[2]CE!#REF!</definedName>
    <definedName name="__123Graph_B" localSheetId="4" hidden="1">[2]CE!#REF!</definedName>
    <definedName name="__123Graph_B" hidden="1">[2]CE!#REF!</definedName>
    <definedName name="__123Graph_BSTNPLF" localSheetId="4" hidden="1">[2]CE!#REF!</definedName>
    <definedName name="__123Graph_BSTNPLF" hidden="1">[2]CE!#REF!</definedName>
    <definedName name="__123Graph_C" localSheetId="4" hidden="1">[2]CE!#REF!</definedName>
    <definedName name="__123Graph_C" hidden="1">[2]CE!#REF!</definedName>
    <definedName name="__123Graph_CSTNPLF" localSheetId="4" hidden="1">[2]CE!#REF!</definedName>
    <definedName name="__123Graph_CSTNPLF" hidden="1">[2]CE!#REF!</definedName>
    <definedName name="__123Graph_X" localSheetId="4" hidden="1">[2]CE!#REF!</definedName>
    <definedName name="__123Graph_X" hidden="1">[2]CE!#REF!</definedName>
    <definedName name="__123Graph_XSTNPLF" localSheetId="4" hidden="1">[2]CE!#REF!</definedName>
    <definedName name="__123Graph_XSTNPLF" hidden="1">[2]CE!#REF!</definedName>
    <definedName name="__DOWN_10__GOTO" localSheetId="3">#REF!</definedName>
    <definedName name="__DOWN_10__GOTO" localSheetId="4">#REF!</definedName>
    <definedName name="__DOWN_10__GOTO" localSheetId="6">#REF!</definedName>
    <definedName name="__DOWN_10__GOTO">#REF!</definedName>
    <definedName name="__ES84__EW84_0." localSheetId="3">#REF!</definedName>
    <definedName name="__ES84__EW84_0." localSheetId="4">#REF!</definedName>
    <definedName name="__ES84__EW84_0." localSheetId="6">#REF!</definedName>
    <definedName name="__ES84__EW84_0.">#REF!</definedName>
    <definedName name="__FDS_HYPERLINK_TOGGLE_STATE__" hidden="1">"ON"</definedName>
    <definedName name="__GOTO_EP84__AV" localSheetId="3">#REF!</definedName>
    <definedName name="__GOTO_EP84__AV" localSheetId="4">#REF!</definedName>
    <definedName name="__GOTO_EP84__AV">#REF!</definedName>
    <definedName name="__SCH1" localSheetId="4">#REF!</definedName>
    <definedName name="__SCH1">#REF!</definedName>
    <definedName name="__SCH10" localSheetId="4">#REF!</definedName>
    <definedName name="__SCH10">#REF!</definedName>
    <definedName name="__SCH11" localSheetId="4">#REF!</definedName>
    <definedName name="__SCH11">#REF!</definedName>
    <definedName name="__SCH2" localSheetId="4">#REF!</definedName>
    <definedName name="__SCH2">#REF!</definedName>
    <definedName name="__SCH3" localSheetId="4">#REF!</definedName>
    <definedName name="__SCH3">#REF!</definedName>
    <definedName name="__SCH4" localSheetId="4">#REF!</definedName>
    <definedName name="__SCH4">#REF!</definedName>
    <definedName name="__SCH5" localSheetId="4">#REF!</definedName>
    <definedName name="__SCH5">#REF!</definedName>
    <definedName name="__SCH6" localSheetId="4">'[1]04REL'!#REF!</definedName>
    <definedName name="__SCH6">'[1]04REL'!#REF!</definedName>
    <definedName name="__SCH7" localSheetId="3">#REF!</definedName>
    <definedName name="__SCH7" localSheetId="4">#REF!</definedName>
    <definedName name="__SCH7" localSheetId="6">#REF!</definedName>
    <definedName name="__SCH7">#REF!</definedName>
    <definedName name="__SCH8" localSheetId="3">#REF!</definedName>
    <definedName name="__SCH8" localSheetId="4">#REF!</definedName>
    <definedName name="__SCH8" localSheetId="6">#REF!</definedName>
    <definedName name="__SCH8">#REF!</definedName>
    <definedName name="__SCH9" localSheetId="3">#REF!</definedName>
    <definedName name="__SCH9" localSheetId="4">#REF!</definedName>
    <definedName name="__SCH9" localSheetId="6">#REF!</definedName>
    <definedName name="__SCH9">#REF!</definedName>
    <definedName name="__SUM_CS57..CS6" localSheetId="4">#REF!</definedName>
    <definedName name="__SUM_CS57..CS6">#REF!</definedName>
    <definedName name="__SUM_CS65..CS7" localSheetId="4">#REF!</definedName>
    <definedName name="__SUM_CS65..CS7">#REF!</definedName>
    <definedName name="__SUM_FQ20..FQ2" localSheetId="4">#REF!</definedName>
    <definedName name="__SUM_FQ20..FQ2">#REF!</definedName>
    <definedName name="__SUM_FQ28..FQ3" localSheetId="4">#REF!</definedName>
    <definedName name="__SUM_FQ28..FQ3">#REF!</definedName>
    <definedName name="__XL__ENTER_UNIT" localSheetId="4">#REF!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5" localSheetId="4">#REF!</definedName>
    <definedName name="_5">#REF!</definedName>
    <definedName name="_6" localSheetId="4">#REF!</definedName>
    <definedName name="_6">#REF!</definedName>
    <definedName name="_ann2" localSheetId="4">#REF!</definedName>
    <definedName name="_ann2">#REF!</definedName>
    <definedName name="_b1">'[3]Annexure G'!$HC$42</definedName>
    <definedName name="_BigT">#REF!</definedName>
    <definedName name="_BS1">[4]BSPL!$A$2:$E$56</definedName>
    <definedName name="_D___GOTO_GK112" localSheetId="3">#REF!</definedName>
    <definedName name="_D___GOTO_GK112" localSheetId="4">#REF!</definedName>
    <definedName name="_D___GOTO_GK112" localSheetId="6">#REF!</definedName>
    <definedName name="_D___GOTO_GK112">#REF!</definedName>
    <definedName name="_D___GOTO_GK56_" localSheetId="3">#REF!</definedName>
    <definedName name="_D___GOTO_GK56_" localSheetId="4">#REF!</definedName>
    <definedName name="_D___GOTO_GK56_" localSheetId="6">#REF!</definedName>
    <definedName name="_D___GOTO_GK56_">#REF!</definedName>
    <definedName name="_D__D___L___GOT" localSheetId="3">#REF!</definedName>
    <definedName name="_D__D___L___GOT" localSheetId="4">#REF!</definedName>
    <definedName name="_D__D___L___GOT" localSheetId="6">#REF!</definedName>
    <definedName name="_D__D___L___GOT">#REF!</definedName>
    <definedName name="_D__D__D___D__D" localSheetId="4">#REF!</definedName>
    <definedName name="_D__D__D___D__D">#REF!</definedName>
    <definedName name="_D_19__U_19_" localSheetId="4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'[5]82550'!#REF!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OWN_9__RIGHT_" localSheetId="4">#REF!</definedName>
    <definedName name="_DOWN_9__RIGHT_">#REF!</definedName>
    <definedName name="_eva97">#REF!</definedName>
    <definedName name="_fcf97">#REF!</definedName>
    <definedName name="_Fill" localSheetId="4" hidden="1">#REF!</definedName>
    <definedName name="_Fill" hidden="1">#REF!</definedName>
    <definedName name="_FROM__R__R__08" localSheetId="4">#REF!</definedName>
    <definedName name="_FROM__R__R__08">#REF!</definedName>
    <definedName name="_FROM__R__R__16" localSheetId="4">#REF!</definedName>
    <definedName name="_FROM__R__R__16">#REF!</definedName>
    <definedName name="_FSTEMP_">#REF!</definedName>
    <definedName name="_GENERATION__R_" localSheetId="4">#REF!</definedName>
    <definedName name="_GENERATION__R_">#REF!</definedName>
    <definedName name="_GOTO_BT49__R__" localSheetId="4">#REF!</definedName>
    <definedName name="_GOTO_BT49__R__">#REF!</definedName>
    <definedName name="_GOTO_CF11__?__" localSheetId="4">#REF!</definedName>
    <definedName name="_GOTO_CF11__?__">#REF!</definedName>
    <definedName name="_GOTO_EO75__WEK" localSheetId="4">#REF!</definedName>
    <definedName name="_GOTO_EO75__WEK">#REF!</definedName>
    <definedName name="_GOTO_EP82__PEA" localSheetId="4">#REF!</definedName>
    <definedName name="_GOTO_EP82__PEA">#REF!</definedName>
    <definedName name="_GOTO_EP86__PER" localSheetId="4">#REF!</definedName>
    <definedName name="_GOTO_EP86__PER">#REF!</definedName>
    <definedName name="_GOTO_FO112__RV" localSheetId="4">#REF!</definedName>
    <definedName name="_GOTO_FO112__RV">#REF!</definedName>
    <definedName name="_GOTO_FO56__RV_" localSheetId="4">#REF!</definedName>
    <definedName name="_GOTO_FO56__RV_">#REF!</definedName>
    <definedName name="_HOME__GOTO_M14" localSheetId="4">#REF!</definedName>
    <definedName name="_HOME__GOTO_M14">#REF!</definedName>
    <definedName name="_Key1" hidden="1">#REF!</definedName>
    <definedName name="_Key2" hidden="1">#REF!</definedName>
    <definedName name="_mva97">#REF!</definedName>
    <definedName name="_Order1" hidden="1">255</definedName>
    <definedName name="_Order2" hidden="1">0</definedName>
    <definedName name="_PL1">[4]BSPL!$A$58:$E$111</definedName>
    <definedName name="_PLF__R__R___ES" localSheetId="3">#REF!</definedName>
    <definedName name="_PLF__R__R___ES" localSheetId="4">#REF!</definedName>
    <definedName name="_PLF__R__R___ES" localSheetId="6">#REF!</definedName>
    <definedName name="_PLF__R__R___ES">#REF!</definedName>
    <definedName name="_Qtr1">[6]IT_DDTP!$X$3</definedName>
    <definedName name="_Qtr2">[6]IT_DDTP!$Y$3</definedName>
    <definedName name="_Qtr3">[6]IT_DDTP!$Z$3</definedName>
    <definedName name="_Qtr4">[6]IT_DDTP!$AA$3</definedName>
    <definedName name="_Qtr5">[6]IT_DDTP!$AB$3</definedName>
    <definedName name="_roe97">#REF!</definedName>
    <definedName name="_RV_DOWN_6__LEF" localSheetId="3">#REF!</definedName>
    <definedName name="_RV_DOWN_6__LEF" localSheetId="4">#REF!</definedName>
    <definedName name="_RV_DOWN_6__LEF" localSheetId="6">#REF!</definedName>
    <definedName name="_RV_DOWN_6__LEF">#REF!</definedName>
    <definedName name="_SCH1" localSheetId="3">#REF!</definedName>
    <definedName name="_SCH1" localSheetId="4">#REF!</definedName>
    <definedName name="_SCH1" localSheetId="6">#REF!</definedName>
    <definedName name="_SCH1">#REF!</definedName>
    <definedName name="_SCH10" localSheetId="4">#REF!</definedName>
    <definedName name="_SCH10">#REF!</definedName>
    <definedName name="_SCH11" localSheetId="4">#REF!</definedName>
    <definedName name="_SCH11">#REF!</definedName>
    <definedName name="_SCH12">[4]BSPL!$A$655:$D$692</definedName>
    <definedName name="_sch13">[4]BSPL!$A$694:$D$744</definedName>
    <definedName name="_SCH2" localSheetId="3">#REF!</definedName>
    <definedName name="_SCH2" localSheetId="4">#REF!</definedName>
    <definedName name="_SCH2" localSheetId="6">#REF!</definedName>
    <definedName name="_SCH2">#REF!</definedName>
    <definedName name="_SCH3" localSheetId="3">#REF!</definedName>
    <definedName name="_SCH3" localSheetId="4">#REF!</definedName>
    <definedName name="_SCH3" localSheetId="6">#REF!</definedName>
    <definedName name="_SCH3">#REF!</definedName>
    <definedName name="_SCH4" localSheetId="3">#REF!</definedName>
    <definedName name="_SCH4" localSheetId="4">#REF!</definedName>
    <definedName name="_SCH4" localSheetId="6">#REF!</definedName>
    <definedName name="_SCH4">#REF!</definedName>
    <definedName name="_SCH5" localSheetId="4">#REF!</definedName>
    <definedName name="_SCH5">#REF!</definedName>
    <definedName name="_SCH6" localSheetId="4">'[1]04REL'!#REF!</definedName>
    <definedName name="_SCH6">'[1]04REL'!#REF!</definedName>
    <definedName name="_SCH7" localSheetId="3">#REF!</definedName>
    <definedName name="_SCH7" localSheetId="4">#REF!</definedName>
    <definedName name="_SCH7" localSheetId="6">#REF!</definedName>
    <definedName name="_SCH7">#REF!</definedName>
    <definedName name="_SCH8" localSheetId="3">#REF!</definedName>
    <definedName name="_SCH8" localSheetId="4">#REF!</definedName>
    <definedName name="_SCH8" localSheetId="6">#REF!</definedName>
    <definedName name="_SCH8">#REF!</definedName>
    <definedName name="_SCH9" localSheetId="3">#REF!</definedName>
    <definedName name="_SCH9" localSheetId="4">#REF!</definedName>
    <definedName name="_SCH9" localSheetId="6">#REF!</definedName>
    <definedName name="_SCH9">#REF!</definedName>
    <definedName name="_SI1">[6]SI!$O$12</definedName>
    <definedName name="_SI2">[6]SI!$O$13</definedName>
    <definedName name="_SI3">[6]SI!$O$14</definedName>
    <definedName name="_SI4">[6]SI!$O$15</definedName>
    <definedName name="_SI5">[6]SI!$O$16</definedName>
    <definedName name="_SI6">[6]SI!$O$17</definedName>
    <definedName name="_Sort" hidden="1">#REF!</definedName>
    <definedName name="_SUM_DI14..DI21" localSheetId="3">#REF!</definedName>
    <definedName name="_SUM_DI14..DI21" localSheetId="4">#REF!</definedName>
    <definedName name="_SUM_DI14..DI21">#REF!</definedName>
    <definedName name="_SUM_DI22..DI29" localSheetId="4">#REF!</definedName>
    <definedName name="_SUM_DI22..DI29">#REF!</definedName>
    <definedName name="_sw1">[6]Calculator!$N$3</definedName>
    <definedName name="_sw2">[6]Calculator!$N$4</definedName>
    <definedName name="_sw3">[6]Calculator!$M$4</definedName>
    <definedName name="_Table1_In1" hidden="1">'[7]03-2000-2001'!$A$1</definedName>
    <definedName name="_Table1_Out" hidden="1">'[7]03-2000-2001'!$A$1</definedName>
    <definedName name="_Table2_In1" hidden="1">'[7]03-2000-2001'!$A$1</definedName>
    <definedName name="_Table2_In2" hidden="1">'[7]03-2000-2001'!$A$1</definedName>
    <definedName name="_Table2_Out" hidden="1">'[7]03-2000-2001'!$A$1</definedName>
    <definedName name="_U__END__U__D__" localSheetId="3">#REF!</definedName>
    <definedName name="_U__END__U__D__" localSheetId="4">#REF!</definedName>
    <definedName name="_U__END__U__D__" localSheetId="6">#REF!</definedName>
    <definedName name="_U__END__U__D__">#REF!</definedName>
    <definedName name="_U__U__END__U__" localSheetId="4">#REF!</definedName>
    <definedName name="_U__U__END__U__">#REF!</definedName>
    <definedName name="_U__U__U__U__U_" localSheetId="4">#REF!</definedName>
    <definedName name="_U__U__U__U__U_">#REF!</definedName>
    <definedName name="_WGPD_GOTO_CO10" localSheetId="4">#REF!</definedName>
    <definedName name="_WGPD_GOTO_CO10">#REF!</definedName>
    <definedName name="A" localSheetId="4">#REF!</definedName>
    <definedName name="A">#REF!</definedName>
    <definedName name="A_GEN1.DomesticCompFlg">[6]GENERAL!$AQ$15</definedName>
    <definedName name="A_GEN1.ResidentialStatus">[6]GENERAL!$U$32</definedName>
    <definedName name="AA" localSheetId="3">#REF!</definedName>
    <definedName name="AA" localSheetId="4">#REF!</definedName>
    <definedName name="AA" localSheetId="6">#REF!</definedName>
    <definedName name="AA">#REF!</definedName>
    <definedName name="AA10.DedFromUndertaking">'[6]10A'!$F$26</definedName>
    <definedName name="aaa">'[8]Print Menu'!$A$4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saaaa">'[9]ANNX -II'!$B$80:$K$97</definedName>
    <definedName name="ab">#REF!</definedName>
    <definedName name="abc">#N/A</definedName>
    <definedName name="abcd">#N/A</definedName>
    <definedName name="ABCFR">#REF!</definedName>
    <definedName name="ACC_PF">'[10]Data Input'!$R$314:$AF$432</definedName>
    <definedName name="ACC_PROD">#REF!</definedName>
    <definedName name="Acc5BB.Up16Of12To15Of3">[6]CG_OS!$H$78</definedName>
    <definedName name="Acc5BB.Up16Of3To31Of3">[6]CG_OS!$H$79</definedName>
    <definedName name="Acc5BB.Up16Of6To15Of9">[6]CG_OS!$H$76</definedName>
    <definedName name="Acc5BB.Up16Of9To15Of12">[6]CG_OS!$H$77</definedName>
    <definedName name="Acc5BB.Upto15Of6">[6]CG_OS!$H$75</definedName>
    <definedName name="AccLTCG.Up16Of12To15Of3">[6]CG_OS!$H$64</definedName>
    <definedName name="AccLTCG.Up16Of3To31Of3">[6]CG_OS!$H$65</definedName>
    <definedName name="AccLTCG.Up16Of6To15Of9">[6]CG_OS!$H$62</definedName>
    <definedName name="AccLTCG.Up16Of9To15Of12">[6]CG_OS!$H$63</definedName>
    <definedName name="AccLTCG.Upto15Of6">[6]CG_OS!$H$61</definedName>
    <definedName name="AccLTCG.Upto15Of9">[6]CG_OS!$H$61</definedName>
    <definedName name="AccLTCGNP.Up16Of12To15Of3">[6]CG_OS!$J$64</definedName>
    <definedName name="AccLTCGNP.Up16Of3To31Of3">[6]CG_OS!$J$65</definedName>
    <definedName name="AccLTCGNP.Up16Of6To15Of9">[6]CG_OS!$J$62</definedName>
    <definedName name="AccLTCGNP.Up16Of9To15Of12">[6]CG_OS!$J$63</definedName>
    <definedName name="AccLTCGNP.Upto15Of6">[6]CG_OS!$J$61</definedName>
    <definedName name="AccLTCGNP.Upto15Of9">[6]CG_OS!$J$61</definedName>
    <definedName name="Account_Balance">#REF!</definedName>
    <definedName name="AccSTCG.Up16Of12To15Of3">[6]CG_OS!$H$71</definedName>
    <definedName name="AccSTCG.Up16Of3To31Of3">[6]CG_OS!$H$72</definedName>
    <definedName name="AccSTCG.Up16Of6To15Of9">[6]CG_OS!$H$69</definedName>
    <definedName name="AccSTCG.Up16Of9To15Of12">[6]CG_OS!$H$70</definedName>
    <definedName name="AccSTCG.Upto15Of6">[6]CG_OS!$H$68</definedName>
    <definedName name="AccSTCG.Upto15Of9">[6]CG_OS!$H$68</definedName>
    <definedName name="AccSTCGOTH.Up16Of12To15Of3">[6]CG_OS!$J$71</definedName>
    <definedName name="AccSTCGOTH.Up16Of3To31Of3">[6]CG_OS!$J$72</definedName>
    <definedName name="AccSTCGOTH.Up16Of6To15Of9">[6]CG_OS!$J$69</definedName>
    <definedName name="AccSTCGOTH.Up16Of9To15Of12">[6]CG_OS!$J$70</definedName>
    <definedName name="AccSTCGOTH.Upto15Of6">[6]CG_OS!$J$68</definedName>
    <definedName name="AccSTCGOTH.Upto15Of9">[6]CG_OS!$J$68</definedName>
    <definedName name="achscs" localSheetId="3">#REF!</definedName>
    <definedName name="achscs" localSheetId="4">#REF!</definedName>
    <definedName name="achscs" localSheetId="6">#REF!</definedName>
    <definedName name="achscs">#REF!</definedName>
    <definedName name="ACL">#REF!</definedName>
    <definedName name="Acq" localSheetId="4">#REF!</definedName>
    <definedName name="Acq">#REF!</definedName>
    <definedName name="Act_DSCR" localSheetId="4">[11]Input!#REF!</definedName>
    <definedName name="Act_DSCR">[11]Input!#REF!</definedName>
    <definedName name="Actual">#REF!</definedName>
    <definedName name="adjtotloss.STCGLossCF9">[6]CFL!$I$12</definedName>
    <definedName name="ADL.63">[12]Addl.40!$A$38:$I$284</definedName>
    <definedName name="adsds" localSheetId="3">#REF!</definedName>
    <definedName name="adsds" localSheetId="4">#REF!</definedName>
    <definedName name="adsds" localSheetId="6">#REF!</definedName>
    <definedName name="adsds">#REF!</definedName>
    <definedName name="afasfasf" localSheetId="3">#REF!</definedName>
    <definedName name="afasfasf" localSheetId="4">#REF!</definedName>
    <definedName name="afasfasf" localSheetId="6">#REF!</definedName>
    <definedName name="afasfasf">#REF!</definedName>
    <definedName name="AggregateInc">[6]Calculator!$M$3</definedName>
    <definedName name="ahjsdhjkdh" localSheetId="3">#REF!</definedName>
    <definedName name="ahjsdhjkdh" localSheetId="4">#REF!</definedName>
    <definedName name="ahjsdhjkdh" localSheetId="6">#REF!</definedName>
    <definedName name="ahjsdhjkdh">#REF!</definedName>
    <definedName name="Alcohols__Volume__Units">'[13]EVA Calculations'!#REF!</definedName>
    <definedName name="allincomes">[6]Calculator!$Q$3</definedName>
    <definedName name="anscount" hidden="1">1</definedName>
    <definedName name="AOS___Volume__Units">'[13]EVA Calculations'!#REF!</definedName>
    <definedName name="AOS__Price__Rs___Unit">'[13]EVA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'[14]SALT{PBC}'!#REF!</definedName>
    <definedName name="ARA_Threshold">#REF!</definedName>
    <definedName name="AravaliHold">'[15]Core Assumptions'!$C$357</definedName>
    <definedName name="AravaliOGI">'[15]Core Assumptions'!$G$357</definedName>
    <definedName name="Argentina">[16]List_ratios!#REF!</definedName>
    <definedName name="ARP_Threshold">#REF!</definedName>
    <definedName name="arrun">'[17]combnd 08 09'!#REF!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aa" localSheetId="3">#REF!</definedName>
    <definedName name="asaaa" localSheetId="4">#REF!</definedName>
    <definedName name="asaaa" localSheetId="6">#REF!</definedName>
    <definedName name="asaaa">#REF!</definedName>
    <definedName name="ASD">#REF!</definedName>
    <definedName name="ASS">'[18]ANNX -II'!$X$20:$AG$41</definedName>
    <definedName name="assum_add_tax_dep_rate">[19]Assum!$F$799</definedName>
    <definedName name="assum_adntl_cost_tinted_power">[20]Assumption!#REF!</definedName>
    <definedName name="assum_adntl_cost_tinted_RM">[20]Assumption!#REF!</definedName>
    <definedName name="assum_cash_balance">[19]Assum!#REF!</definedName>
    <definedName name="assum_const_end">[21]Assum!$E$7</definedName>
    <definedName name="assum_const_start">[21]Assum!$E$5</definedName>
    <definedName name="assum_debt_funding">[19]Sens!$F$48</definedName>
    <definedName name="assum_dep_max_book">[19]Assum!$F$784</definedName>
    <definedName name="assum_FG_inventory_days">[19]Assum!$C$820:$O$820</definedName>
    <definedName name="assum_HNGFL_add_dep">[20]Assumption!#REF!</definedName>
    <definedName name="assum_HNGFL_AR_days">[20]Assumption!#REF!</definedName>
    <definedName name="assum_HNGFL_excise">[20]Assumption!#REF!</definedName>
    <definedName name="assum_HNGFL_P_M_proc">[20]Assumption!#REF!</definedName>
    <definedName name="assum_HNGFL_power_fuel_days">[20]Assumption!#REF!</definedName>
    <definedName name="assum_HNGFL_repairs">[20]Assumption!#REF!</definedName>
    <definedName name="assum_HNGFL_RM_creditor_days">[20]Assumption!#REF!</definedName>
    <definedName name="assum_HNGFL_RM_days">[20]Assumption!#REF!</definedName>
    <definedName name="assum_HNGFL_stores">[20]Assumption!#REF!</definedName>
    <definedName name="assum_HNGFL_stores_spares_creditor_days">[20]Assumption!#REF!</definedName>
    <definedName name="assum_HNGFL_stores_spares_days">[20]Assumption!#REF!</definedName>
    <definedName name="assum_HNGFL_WIP_days">[20]Assumption!#REF!</definedName>
    <definedName name="assum_LIBOR">[20]Assumption!#REF!</definedName>
    <definedName name="assum_loans_advances_days">[19]Assum!#REF!</definedName>
    <definedName name="assum_max_dep">[20]Assumption!#REF!</definedName>
    <definedName name="assum_model_intervals">[21]Assum!$E$310</definedName>
    <definedName name="assum_model_start">[21]Assum!$E$309</definedName>
    <definedName name="assum_MPBF">[19]Sens!$C$55:$O$55</definedName>
    <definedName name="assum_ops_end">[21]Assum!$E$10</definedName>
    <definedName name="assum_ops_start">[21]Assum!$E$8</definedName>
    <definedName name="assum_packing_inventory_days">[19]Assum!$C$817:$O$817</definedName>
    <definedName name="assum_proposed_TL_period">[19]Sens!$F$51</definedName>
    <definedName name="assum_proposed_TL_rate">[19]Sens!$F$52</definedName>
    <definedName name="assum_repay_end">[21]Assum!#REF!</definedName>
    <definedName name="assum_RM_inventory_days">[19]Assum!$C$816:$O$816</definedName>
    <definedName name="assum_stores_inventory_days">[19]Assum!$C$818:$O$818</definedName>
    <definedName name="assum_sundry_creditor_days">[19]Assum!$C$825:$O$825</definedName>
    <definedName name="assum_sundry_debtor_days">[19]Assum!$C$822:$O$822</definedName>
    <definedName name="assum_tax_rate_Corp">[21]Assum!$E$268</definedName>
    <definedName name="assum_tax_rate_MAT">[21]Assum!$E$274</definedName>
    <definedName name="assum_WIP_inventory_days">[19]Assum!$C$819:$O$819</definedName>
    <definedName name="atyfafa" localSheetId="3">#REF!</definedName>
    <definedName name="atyfafa" localSheetId="4">#REF!</definedName>
    <definedName name="atyfafa" localSheetId="6">#REF!</definedName>
    <definedName name="atyfafa">#REF!</definedName>
    <definedName name="AuBhu0910">[22]Assumption_PwC!$D$7</definedName>
    <definedName name="AuBhu1011">[22]Assumption_PwC!$E$7</definedName>
    <definedName name="AuCha0910">[22]Assumption_PwC!$D$8</definedName>
    <definedName name="Australasian_Average">[16]List_ratios!#REF!</definedName>
    <definedName name="AUX">[11]Assumptions!$C$40</definedName>
    <definedName name="AUX_Base" localSheetId="3">#REF!</definedName>
    <definedName name="AUX_Base" localSheetId="4">#REF!</definedName>
    <definedName name="AUX_Base" localSheetId="6">#REF!</definedName>
    <definedName name="AUX_Base">#REF!</definedName>
    <definedName name="Aux_Sen" localSheetId="3">#REF!</definedName>
    <definedName name="Aux_Sen" localSheetId="4">#REF!</definedName>
    <definedName name="Aux_Sen" localSheetId="6">#REF!</definedName>
    <definedName name="Aux_Sen">#REF!</definedName>
    <definedName name="AV" localSheetId="3">#REF!</definedName>
    <definedName name="AV" localSheetId="4">#REF!</definedName>
    <definedName name="AV" localSheetId="6">#REF!</definedName>
    <definedName name="AV">#REF!</definedName>
    <definedName name="Average_DSCR">[23]Assumptions!$I$31</definedName>
    <definedName name="Avg.DSCR">[24]Assumptions!$I$31</definedName>
    <definedName name="avgratetax">[6]Calculator!$R$4</definedName>
    <definedName name="b" localSheetId="3">#REF!</definedName>
    <definedName name="b" localSheetId="4">#REF!</definedName>
    <definedName name="b" localSheetId="6">#REF!</definedName>
    <definedName name="b">#REF!</definedName>
    <definedName name="B10.DedFromUndertaking">'[6]10A'!$F$31</definedName>
    <definedName name="BA10.DedFromUndertaking">'[6]10A'!$F$36:$F$36</definedName>
    <definedName name="Back_Solve_Original">#REF!</definedName>
    <definedName name="Back_solve_selector">#REF!</definedName>
    <definedName name="Back_solve_Target">#REF!</definedName>
    <definedName name="backstop_sen">'[25]Core Assumptions'!$E$355</definedName>
    <definedName name="BANK">#REF!</definedName>
    <definedName name="base">1</definedName>
    <definedName name="Base_Case" localSheetId="3">#REF!</definedName>
    <definedName name="Base_Case" localSheetId="4">#REF!</definedName>
    <definedName name="Base_Case" localSheetId="6">#REF!</definedName>
    <definedName name="Base_Case">#REF!</definedName>
    <definedName name="BASE_DSCR" localSheetId="3">#REF!</definedName>
    <definedName name="BASE_DSCR" localSheetId="4">#REF!</definedName>
    <definedName name="BASE_DSCR" localSheetId="6">#REF!</definedName>
    <definedName name="BASE_DSCR">#REF!</definedName>
    <definedName name="baseyr">'[8]Forecast-Input'!$E1</definedName>
    <definedName name="Beg_Bal">#REF!</definedName>
    <definedName name="begavg">[8]Valuation!$Y$15</definedName>
    <definedName name="bfjksbnf" localSheetId="3">#REF!</definedName>
    <definedName name="bfjksbnf" localSheetId="4">#REF!</definedName>
    <definedName name="bfjksbnf" localSheetId="6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3">#REF!,#REF!</definedName>
    <definedName name="bgbgb" localSheetId="4">#REF!,#REF!</definedName>
    <definedName name="bgbgb" localSheetId="6">#REF!,#REF!</definedName>
    <definedName name="bgbgb">#REF!,#REF!</definedName>
    <definedName name="BHAIRAV">#REF!</definedName>
    <definedName name="BLDG">#REF!</definedName>
    <definedName name="blnHideRow">#N/A</definedName>
    <definedName name="blsht">#REF!</definedName>
    <definedName name="blsht2">#REF!</definedName>
    <definedName name="blsht3_">#REF!</definedName>
    <definedName name="bploss1.unabs">'[6]CYLA BFLA'!$F$55</definedName>
    <definedName name="bpnsincome">'[6]CYLA BFLA'!$O$12</definedName>
    <definedName name="bpnsincome.bf">'[6]CYLA BFLA'!$AF$12</definedName>
    <definedName name="bpnsincome.bp">'[6]CYLA BFLA'!$AB$12</definedName>
    <definedName name="bpnsincome.hp">'[6]CYLA BFLA'!$X$12</definedName>
    <definedName name="bpnsincome.ih">'[6]CYLA BFLA'!$Q$12</definedName>
    <definedName name="bpnsincome.os">'[6]CYLA BFLA'!$T$12</definedName>
    <definedName name="bpnsincome.rem">'[6]CYLA BFLA'!$AO$10</definedName>
    <definedName name="bpnsloss">'[6]CYLA BFLA'!$P$12</definedName>
    <definedName name="bpnsloss.aftbfl">'[6]CYLA BFLA'!$AH$12</definedName>
    <definedName name="bpnsloss.bf">'[6]CYLA BFLA'!$AE$12</definedName>
    <definedName name="bpnsloss.bfadj">'[6]CYLA BFLA'!$AG$12</definedName>
    <definedName name="bpnsloss.bp">'[6]CYLA BFLA'!$AD$12</definedName>
    <definedName name="bpnsloss.hp">'[6]CYLA BFLA'!$Z$12</definedName>
    <definedName name="bpnsloss.ih">'[6]CYLA BFLA'!$R$12</definedName>
    <definedName name="bpnsloss.os">'[6]CYLA BFLA'!$V$12</definedName>
    <definedName name="bpnsloss.unabs">'[6]CYLA BFLA'!$AN$10</definedName>
    <definedName name="bpsincome">'[6]CYLA BFLA'!$O$24</definedName>
    <definedName name="bpsincome.bf">'[6]CYLA BFLA'!$AF$24</definedName>
    <definedName name="bpsincome.bp">'[6]CYLA BFLA'!$AB$24</definedName>
    <definedName name="bpsincome.hp">'[6]CYLA BFLA'!$X$24</definedName>
    <definedName name="bpsincome.ih">'[6]CYLA BFLA'!$Q$24</definedName>
    <definedName name="bpsincome.os">'[6]CYLA BFLA'!$T$24</definedName>
    <definedName name="bpsincome.rem">'[6]CYLA BFLA'!$AO$11</definedName>
    <definedName name="bpsloss">'[6]CYLA BFLA'!$P$24</definedName>
    <definedName name="bpsloss.aftbfl">'[6]CYLA BFLA'!$AH$24</definedName>
    <definedName name="bpsloss.bf">'[6]CYLA BFLA'!$AE$24</definedName>
    <definedName name="bpsloss.bfadj">'[6]CYLA BFLA'!$AG$24</definedName>
    <definedName name="bpsloss.bp">'[6]CYLA BFLA'!$AD$24</definedName>
    <definedName name="bpsloss.hp">'[6]CYLA BFLA'!$Z$24</definedName>
    <definedName name="bpsloss.ih">'[6]CYLA BFLA'!$R$24</definedName>
    <definedName name="bpsloss.os">'[6]CYLA BFLA'!$V$24</definedName>
    <definedName name="bpsloss.unabs">'[6]CYLA BFLA'!$AN$11</definedName>
    <definedName name="bpspincome">'[6]CYLA BFLA'!$O$25</definedName>
    <definedName name="bpspincome.bf">'[6]CYLA BFLA'!$AF$25</definedName>
    <definedName name="bpspincome.bp">'[6]CYLA BFLA'!$AB$25</definedName>
    <definedName name="bpspincome.hp">'[6]CYLA BFLA'!$X$25</definedName>
    <definedName name="bpspincome.ih">'[6]CYLA BFLA'!$Q$25</definedName>
    <definedName name="bpspincome.os">'[6]CYLA BFLA'!$T$25</definedName>
    <definedName name="bpspincome.rem">'[6]CYLA BFLA'!$AO$6</definedName>
    <definedName name="bpsploss">'[6]CYLA BFLA'!$P$25</definedName>
    <definedName name="bpsploss.aftbfl">'[6]CYLA BFLA'!$AH$25</definedName>
    <definedName name="bpsploss.bf">'[6]CYLA BFLA'!$AE$25</definedName>
    <definedName name="bpsploss.bfadj">'[6]CYLA BFLA'!$AG$25</definedName>
    <definedName name="bpsploss.bp">'[6]CYLA BFLA'!$AD$25</definedName>
    <definedName name="bpsploss.hp">'[6]CYLA BFLA'!$Z$25</definedName>
    <definedName name="bpsploss.ih">'[6]CYLA BFLA'!$R$25</definedName>
    <definedName name="bpsploss.os">'[6]CYLA BFLA'!$V$25</definedName>
    <definedName name="bpsploss.unabs">'[6]CYLA BFLA'!$AN$6</definedName>
    <definedName name="BS" localSheetId="3">#REF!</definedName>
    <definedName name="BS" localSheetId="4">#REF!</definedName>
    <definedName name="BS" localSheetId="6">#REF!</definedName>
    <definedName name="BS">#REF!</definedName>
    <definedName name="BS.CapWrkProg">[6]BALANCE_SHEET!$H$45</definedName>
    <definedName name="BS.Depreciation">[6]BALANCE_SHEET!$H$43</definedName>
    <definedName name="BS.GrossBlock">[6]BALANCE_SHEET!$H$42</definedName>
    <definedName name="BS.NetBlock">[6]BALANCE_SHEET!$H$44</definedName>
    <definedName name="BS.TotSecrLoan">[6]BALANCE_SHEET!$J$27</definedName>
    <definedName name="BSblnHideRow">#N/A</definedName>
    <definedName name="BSHistForc">#REF!</definedName>
    <definedName name="BSSCH">#REF!</definedName>
    <definedName name="BSUnSec.FrmBank">[6]BALANCE_SHEET!$H$30</definedName>
    <definedName name="BSUnSec.FrmOthrs">[6]BALANCE_SHEET!$H$31</definedName>
    <definedName name="BuiltIn_Print_Area___0" localSheetId="3">[26]Schedule1!#REF!</definedName>
    <definedName name="BuiltIn_Print_Area___0" localSheetId="4">[26]Schedule1!#REF!</definedName>
    <definedName name="BuiltIn_Print_Area___0" localSheetId="6">[26]Schedule1!#REF!</definedName>
    <definedName name="BuiltIn_Print_Area___0">[26]Schedule1!#REF!</definedName>
    <definedName name="BuiltIn_Print_Area___0___0" localSheetId="3">[27]GROUPING!#REF!</definedName>
    <definedName name="BuiltIn_Print_Area___0___0" localSheetId="4">[27]GROUPING!#REF!</definedName>
    <definedName name="BuiltIn_Print_Area___0___0" localSheetId="6">[27]GROUPING!#REF!</definedName>
    <definedName name="BuiltIn_Print_Area___0___0">[27]GROUPING!#REF!</definedName>
    <definedName name="BuiltIn_Print_Area___0___0___0___0" localSheetId="4">[27]GROUPING!#REF!</definedName>
    <definedName name="BuiltIn_Print_Area___0___0___0___0">[27]GROUPING!#REF!</definedName>
    <definedName name="BuiltIn_Print_Area___0___0___0___0___0" localSheetId="4">[26]Schedule1!#REF!</definedName>
    <definedName name="BuiltIn_Print_Area___0___0___0___0___0">[26]Schedule1!#REF!</definedName>
    <definedName name="BURGLARY">#N/A</definedName>
    <definedName name="BusCase">'[15]Core Assumptions'!$D$318</definedName>
    <definedName name="busipofincl.BFUnabsorbedDeprSetoff2">'[6]CYLA BFLA'!$F$21</definedName>
    <definedName name="busipofinclspec.IncOfCurYrUndHeadFromCYLA2a">'[6]CYLA BFLA'!$D$22</definedName>
    <definedName name="busipofinclspecified.IncOfCurYrUndHeadFromCYLA2b">'[6]CYLA BFLA'!$D$23</definedName>
    <definedName name="busprof.IncOfCurYrAfterSetOff">'[6]CYLA BFLA'!$H$7</definedName>
    <definedName name="busprofspec.IncOfCurYrAfterSetOff0a">'[6]CYLA BFLA'!$H$8</definedName>
    <definedName name="busprofspec.IncOfCurYrUnderThatHead0a">'[6]CYLA BFLA'!$D$8</definedName>
    <definedName name="busprofspecified.IncOfCurYrAfterSetOff0b">'[6]CYLA BFLA'!$H$9</definedName>
    <definedName name="busprofspecified.IncOfCurYrUnderThatHead0b">'[6]CYLA BFLA'!$D$9</definedName>
    <definedName name="C_Data_1" localSheetId="3">'[28]2000-01'!#REF!</definedName>
    <definedName name="C_Data_1" localSheetId="4">'[28]2000-01'!#REF!</definedName>
    <definedName name="C_Data_1" localSheetId="6">'[28]2000-01'!#REF!</definedName>
    <definedName name="C_Data_1">'[28]2000-01'!#REF!</definedName>
    <definedName name="C_Data_2" localSheetId="3">'[28]2000-01'!#REF!</definedName>
    <definedName name="C_Data_2" localSheetId="4">'[28]2000-01'!#REF!</definedName>
    <definedName name="C_Data_2" localSheetId="6">'[28]2000-01'!#REF!</definedName>
    <definedName name="C_Data_2">'[28]2000-01'!#REF!</definedName>
    <definedName name="C_Eligible">'[6]80G'!$L$1</definedName>
    <definedName name="CAL_MEL" localSheetId="3">#REF!</definedName>
    <definedName name="CAL_MEL" localSheetId="4">#REF!</definedName>
    <definedName name="CAL_MEL" localSheetId="6">#REF!</definedName>
    <definedName name="CAL_MEL">#REF!</definedName>
    <definedName name="Calc_ED">[6]Calculator!$D$25</definedName>
    <definedName name="calc_G">[6]Calculator!$Q$8</definedName>
    <definedName name="calc_GF">[6]Calculator!$Q$14</definedName>
    <definedName name="Calc_NetSur">[6]Calculator!$D$24</definedName>
    <definedName name="Calc_SplRate">[6]Calculator!$D$20</definedName>
    <definedName name="canada">#REF!</definedName>
    <definedName name="CAP">[11]Assumptions!$D$58</definedName>
    <definedName name="CAP_Base" localSheetId="3">#REF!</definedName>
    <definedName name="CAP_Base" localSheetId="4">#REF!</definedName>
    <definedName name="CAP_Base" localSheetId="6">#REF!</definedName>
    <definedName name="CAP_Base">#REF!</definedName>
    <definedName name="CAP_SEN" localSheetId="3">#REF!</definedName>
    <definedName name="CAP_SEN" localSheetId="4">#REF!</definedName>
    <definedName name="CAP_SEN" localSheetId="6">#REF!</definedName>
    <definedName name="CAP_SEN">#REF!</definedName>
    <definedName name="capch">[8]Valuation!$U$13</definedName>
    <definedName name="capchrg">#REF!</definedName>
    <definedName name="capchrgadj">#REF!</definedName>
    <definedName name="capex">[16]List_ratios!#REF!</definedName>
    <definedName name="capital">#REF!</definedName>
    <definedName name="capital97">#REF!</definedName>
    <definedName name="capitaladj">#REF!</definedName>
    <definedName name="CapitalLink">[29]Capital_by_Years_Valuation!$B$8</definedName>
    <definedName name="case">[30]Cover!$D$22</definedName>
    <definedName name="CC">[31]TB9899!$C$832</definedName>
    <definedName name="ccFootnote">IF([32]!BefAft=1,"","[1] The Pre-Tax Cost of Capital = After-Tax Cost of Capital/(1-Tax Rate)")</definedName>
    <definedName name="CD_EligibleAmount">'[6]80G'!$O$1</definedName>
    <definedName name="CDE_EligibleAmount">'[6]80G'!$P$1</definedName>
    <definedName name="CERCOps">'[15]Core Assumptions'!$H$139:$AS$157</definedName>
    <definedName name="CERCType">'[15]Core Assumptions'!$C$142:$E$157</definedName>
    <definedName name="cg.AmtDeemedCGSec54">[6]CG_OS!$J$54</definedName>
    <definedName name="cg.TotalLTCG">[6]CG_OS!$J$55</definedName>
    <definedName name="cglng.BalanceCG1">[6]CG_OS!$H$41</definedName>
    <definedName name="cglng.BalLTCGNo1121">[6]CG_OS!$J$43</definedName>
    <definedName name="cglng.CGSlumpSale2">[6]CG_OS!$H$30</definedName>
    <definedName name="cglng.DednUs54s2">[6]CG_OS!$H$31</definedName>
    <definedName name="cglng.ExemptionOrDednUs54s1">[6]CG_OS!$H$42</definedName>
    <definedName name="cglng.FullConsideration01">[6]CG_OS!$H$35</definedName>
    <definedName name="cglng.FullConsideration3">[6]CG_OS!$H$28</definedName>
    <definedName name="cglng.NetCGSlumpSale2">[6]CG_OS!$J$32</definedName>
    <definedName name="cglng.NetWorthOfUTDivn2">[6]CG_OS!$H$29</definedName>
    <definedName name="cglng.NRIAssetSec482">[6]CG_OS!$J$33</definedName>
    <definedName name="cglng.TotalDedn1">[6]CG_OS!$H$40</definedName>
    <definedName name="cgoth.BalanceCG2">[6]CG_OS!$H$51</definedName>
    <definedName name="cgoth.BalLTCGNo1122">[6]CG_OS!$J$53</definedName>
    <definedName name="cgoth.ExemptionOrDednUs54s2">[6]CG_OS!$H$52</definedName>
    <definedName name="cgoth.FullConsideration02">[6]CG_OS!$H$45</definedName>
    <definedName name="cgoth.TotalDedn2">[6]CG_OS!$H$50</definedName>
    <definedName name="cgshrt.CGSlumpSale1">[6]CG_OS!$H$6</definedName>
    <definedName name="cgshrt.DednUs54s1">[6]CG_OS!$H$7</definedName>
    <definedName name="cgshrt.FullConsideration2">[6]CG_OS!$H$11</definedName>
    <definedName name="cgshrt.STCGNotSec111A">[6]CG_OS!$J$25</definedName>
    <definedName name="cgshrt.STCGSec111A">[6]CG_OS!$J$24</definedName>
    <definedName name="cgshrt.TotalDedn">[6]CG_OS!$H$16</definedName>
    <definedName name="cgshrt.TotalSTCG">[6]CG_OS!$J$23</definedName>
    <definedName name="cha">'[33]ANNX -II'!$B$80:$K$97</definedName>
    <definedName name="charan">'[9]ANNX -II'!$B$80:$K$97</definedName>
    <definedName name="chartfield">#REF!</definedName>
    <definedName name="Check">'[34]BALANCE SHEET'!$D$27</definedName>
    <definedName name="Chile">[16]List_ratios!#REF!</definedName>
    <definedName name="CIQWBGuid" hidden="1">"97a83bfc-1e52-4472-95e2-3909d983b41d"</definedName>
    <definedName name="Circ">'[35]TATA Power'!$L$2</definedName>
    <definedName name="Clac_MR">[6]Calculator!$D$23</definedName>
    <definedName name="CLIAB">#REF!</definedName>
    <definedName name="Client">"Client"</definedName>
    <definedName name="Client_Grade">"C"</definedName>
    <definedName name="CM10_C_RIGHT___" localSheetId="3">#REF!</definedName>
    <definedName name="CM10_C_RIGHT___" localSheetId="4">#REF!</definedName>
    <definedName name="CM10_C_RIGHT___" localSheetId="6">#REF!</definedName>
    <definedName name="CM10_C_RIGHT___">#REF!</definedName>
    <definedName name="cmb_A_GEN1.AsseseeRepFlg">[6]GENERAL!$DH$52:$DH$53</definedName>
    <definedName name="cmb_A_GEN1.IncomeTaxSec">[6]GENERAL!$AJ$52:$AJ$59</definedName>
    <definedName name="cmb_A_GEN1.NRI_PE">[6]GENERAL!$DA$52:$DA$53</definedName>
    <definedName name="cmb_A_GEN1.ResidentialStatus">[6]GENERAL!$EM$52:$EM$53</definedName>
    <definedName name="cmb_A_GEN1.ReturnType">[6]GENERAL!$EB$52:$EB$53</definedName>
    <definedName name="cmb_A_GEN1.StateCode">[6]GENERAL!$B$52:$B$87</definedName>
    <definedName name="cmb_A_GEN1.StatusOrCompanyType">[6]GENERAL!$U$52:$U$53</definedName>
    <definedName name="cmb_A_GEN2.LiableSec44AAflg">[6]GENERAL!$DP$52:$DP$53</definedName>
    <definedName name="cmb_A_GEN2.LiableSec44ABflg">[6]GENERAL!$DS$52:$DS$53</definedName>
    <definedName name="cmb_DDT.RateDividPrevYrType">[6]DDT_TDS_TCS!$Z$3:$Z$4</definedName>
    <definedName name="cmb_FBI.EmployeesInOutIndiaFlg">[6]FRINGE_BENEFIT_INFO!$P$2:$P$3</definedName>
    <definedName name="cmb_FBI.SeparateAcntMaintainForIndiaForeignFlg">[6]FRINGE_BENEFIT_INFO!$Q$2:$Q$3</definedName>
    <definedName name="cmb_FSI.Country">[6]FSI!$B$400:$B$639</definedName>
    <definedName name="cmb_HP.ifLetOut1">#REF!</definedName>
    <definedName name="cmb_HP.StateCode1">#REF!</definedName>
    <definedName name="cmb_NOB.Code">[6]NATUREOFBUSINESS!$C$31:$C$104</definedName>
    <definedName name="cmb_OI.ChangeInAcctMethFlg">[6]OTHER_INFORMATION!$P$4:$P$5</definedName>
    <definedName name="cmb_OI.MethodOfAcct">[6]OTHER_INFORMATION!$O$4:$O$5</definedName>
    <definedName name="cmb_OIMethodofValClgStk.ChngStockValMetFlg">[6]OTHER_INFORMATION!$S$4:$S$5</definedName>
    <definedName name="cmb_OIMethodofValClgStk.ValFinishedGoods">[6]OTHER_INFORMATION!$R$4:$R$6</definedName>
    <definedName name="cmb_OIMethodofValClgStk.ValRawMaterial">[6]OTHER_INFORMATION!$Q$4:$Q$6</definedName>
    <definedName name="cmb_PAGBU2.BusOrgType">[6]GENERAL2!$D$50:$D$53</definedName>
    <definedName name="cmb_PAGH2.NatOfCompFlg">[6]GENERAL2!$C$50:$C$53</definedName>
    <definedName name="cmb_PAGH2.StateCode">[6]GENERAL2!$E$50:$E$85</definedName>
    <definedName name="cmb_PAGNA2.PubSectCompUs2_36AFlg">[6]GENERAL2!$G$50:$G$51</definedName>
    <definedName name="cmb_PAGS2.StateCode">'[6]SUBSIDIARY DETAILS'!$C$10:$C$45</definedName>
    <definedName name="cmb_Per10080G.StateCode">'[6]80G'!$B$79:$B$114</definedName>
    <definedName name="cmb_PMChange.PrevYrMemPartChange">[6]NATUREOFBUSINESS!$E$31:$E$32</definedName>
    <definedName name="cmb_PMInfo.StateCode">[6]NATUREOFBUSINESS!$I$31:$I$63</definedName>
    <definedName name="cmb_QDFinishrByProd.UnitOfMeasure">[6]QUANTITATIVE_DETAILS!$C$77:$C$99</definedName>
    <definedName name="cmb_QDRawMaterial.UnitOfMeasure">[6]QUANTITATIVE_DETAILS!$B$77:$B$99</definedName>
    <definedName name="cmb_QDTradingConcern.UnitOfMeasure">[6]QUANTITATIVE_DETAILS!$A$77:$A$99</definedName>
    <definedName name="cmb_SI.SecCode">[6]SI!$BC$11:$BC$33</definedName>
    <definedName name="cmb_TR.Country">[6]TR_FA!$B$400:$B$639</definedName>
    <definedName name="CNC">#REF!</definedName>
    <definedName name="cntr.hprptfrm">#REF!</definedName>
    <definedName name="COAL_ESC">'[11]CERC Esc. rates'!$I$30</definedName>
    <definedName name="COAL_ESC_BASE" localSheetId="3">#REF!</definedName>
    <definedName name="COAL_ESC_BASE" localSheetId="4">#REF!</definedName>
    <definedName name="COAL_ESC_BASE" localSheetId="6">#REF!</definedName>
    <definedName name="COAL_ESC_BASE">#REF!</definedName>
    <definedName name="COAL_ESC_SEN" localSheetId="3">#REF!</definedName>
    <definedName name="COAL_ESC_SEN" localSheetId="4">#REF!</definedName>
    <definedName name="COAL_ESC_SEN" localSheetId="6">#REF!</definedName>
    <definedName name="COAL_ESC_SEN">#REF!</definedName>
    <definedName name="CoalSPV_DSCR" localSheetId="3">#REF!</definedName>
    <definedName name="CoalSPV_DSCR" localSheetId="4">#REF!</definedName>
    <definedName name="CoalSPV_DSCR" localSheetId="6">#REF!</definedName>
    <definedName name="CoalSPV_DSCR">#REF!</definedName>
    <definedName name="COALSPV_FLAG" localSheetId="3">[11]Input!#REF!</definedName>
    <definedName name="COALSPV_FLAG" localSheetId="4">[11]Input!#REF!</definedName>
    <definedName name="COALSPV_FLAG" localSheetId="6">[11]Input!#REF!</definedName>
    <definedName name="COALSPV_FLAG">[11]Input!#REF!</definedName>
    <definedName name="COD">[11]Assumptions!$D$12</definedName>
    <definedName name="Company">#REF!</definedName>
    <definedName name="Company98">#REF!</definedName>
    <definedName name="CONSOLID_E">#REF!</definedName>
    <definedName name="CONSOLIDATION">#REF!</definedName>
    <definedName name="CONTROL">#REF!</definedName>
    <definedName name="conv_mil_units">[36]Assum!$D$679</definedName>
    <definedName name="conv_mn_units">[19]Assum!$D$1017</definedName>
    <definedName name="conv_USD_INR">'[19]Debt Schedule - HNGFL'!$C$213</definedName>
    <definedName name="CORONATION_DIRECT_JULY">#REF!</definedName>
    <definedName name="cot">[8]wwww!$D$64</definedName>
    <definedName name="cota">[37]Assume!$D$6</definedName>
    <definedName name="cotsw">[8]Assume!$D$6</definedName>
    <definedName name="covbookfield">#REF!</definedName>
    <definedName name="cover">#REF!</definedName>
    <definedName name="cover1">#REF!</definedName>
    <definedName name="cover2">#REF!</definedName>
    <definedName name="coverage">[16]List_ratios!#REF!</definedName>
    <definedName name="CR">[11]Indices!$B$171</definedName>
    <definedName name="CUF_.5" localSheetId="3">#REF!</definedName>
    <definedName name="CUF_.5" localSheetId="4">#REF!</definedName>
    <definedName name="CUF_.5" localSheetId="6">#REF!</definedName>
    <definedName name="CUF_.5">#REF!</definedName>
    <definedName name="CUF_1" localSheetId="3">#REF!</definedName>
    <definedName name="CUF_1" localSheetId="4">#REF!</definedName>
    <definedName name="CUF_1" localSheetId="6">#REF!</definedName>
    <definedName name="CUF_1">#REF!</definedName>
    <definedName name="CUF_1.5" localSheetId="3">#REF!</definedName>
    <definedName name="CUF_1.5" localSheetId="4">#REF!</definedName>
    <definedName name="CUF_1.5" localSheetId="6">#REF!</definedName>
    <definedName name="CUF_1.5">#REF!</definedName>
    <definedName name="CUF_2" localSheetId="4">#REF!</definedName>
    <definedName name="CUF_2">#REF!</definedName>
    <definedName name="CUF_2.5" localSheetId="4">#REF!</definedName>
    <definedName name="CUF_2.5">#REF!</definedName>
    <definedName name="CUF_3" localSheetId="4">#REF!</definedName>
    <definedName name="CUF_3">#REF!</definedName>
    <definedName name="CUF_P50" localSheetId="4">#REF!</definedName>
    <definedName name="CUF_P50">#REF!</definedName>
    <definedName name="CUF_P75" localSheetId="4">#REF!</definedName>
    <definedName name="CUF_P75">#REF!</definedName>
    <definedName name="Cum_Int">#REF!</definedName>
    <definedName name="CurA" localSheetId="4">#REF!</definedName>
    <definedName name="CurA">#REF!</definedName>
    <definedName name="CurT" localSheetId="4">#REF!</definedName>
    <definedName name="CurT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3">#REF!</definedName>
    <definedName name="CV" localSheetId="4">#REF!</definedName>
    <definedName name="CV" localSheetId="6">#REF!</definedName>
    <definedName name="CV">#REF!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'[6]CYLA BFLA'!$F$4</definedName>
    <definedName name="cyla.TotHPlossCurYr">'[6]CYLA BFLA'!$E$4</definedName>
    <definedName name="cyla.TotOthSrcLossNoRaceHorse">'[6]CYLA BFLA'!$G$4</definedName>
    <definedName name="D">#N/A</definedName>
    <definedName name="D_1" localSheetId="3">#REF!</definedName>
    <definedName name="D_1" localSheetId="4">#REF!</definedName>
    <definedName name="D_1" localSheetId="6">#REF!</definedName>
    <definedName name="D_1">#REF!</definedName>
    <definedName name="D_2" localSheetId="3">#REF!</definedName>
    <definedName name="D_2" localSheetId="4">#REF!</definedName>
    <definedName name="D_2" localSheetId="6">#REF!</definedName>
    <definedName name="D_2">#REF!</definedName>
    <definedName name="D_3" localSheetId="3">#REF!</definedName>
    <definedName name="D_3" localSheetId="4">#REF!</definedName>
    <definedName name="D_3" localSheetId="6">#REF!</definedName>
    <definedName name="D_3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RANGE">#REF!</definedName>
    <definedName name="d1_range">#REF!</definedName>
    <definedName name="dadfsdf" localSheetId="4">#REF!</definedName>
    <definedName name="dadfsdf">#REF!</definedName>
    <definedName name="dafsff" localSheetId="4">#REF!</definedName>
    <definedName name="dafsff">#REF!</definedName>
    <definedName name="DAOB10.AdditionsGrThan180Days">[6]DPM_DOA!$E$27</definedName>
    <definedName name="DAOB10.AdditionsLessThan180Days">[6]DPM_DOA!$E$30</definedName>
    <definedName name="DAOB10.AddlnDeprDuringYearAdditions">[6]DPM_DOA!$E$36</definedName>
    <definedName name="DAOB10.AddlnDeprOnGT180DayAdditions">[6]DPM_DOA!$E$35</definedName>
    <definedName name="DAOB10.DepreciationAtFullRate">[6]DPM_DOA!$E$33</definedName>
    <definedName name="DAOB10.DepreciationAtHalfRate">[6]DPM_DOA!$E$34</definedName>
    <definedName name="DAOB10.FullRateDeprAmt">[6]DPM_DOA!$E$29</definedName>
    <definedName name="DAOB10.HalfRateDeprAmt">[6]DPM_DOA!$E$32</definedName>
    <definedName name="DAOB10.RATE">[6]DPM_DOA!$E$24</definedName>
    <definedName name="DAOB10.RealizationPeriodDuringYear">[6]DPM_DOA!$E$31</definedName>
    <definedName name="DAOB10.RealizationTotalPeriod">[6]DPM_DOA!$E$28</definedName>
    <definedName name="DAOB10.TotalDepreciation">[6]DPM_DOA!$E$37</definedName>
    <definedName name="DAOB10.WDVFirstDay">[6]DPM_DOA!$E$26</definedName>
    <definedName name="DAOB100.AdditionsGrThan180Days">[6]DPM_DOA!$F$27</definedName>
    <definedName name="DAOB100.AdditionsLessThan180Days">[6]DPM_DOA!$F$30</definedName>
    <definedName name="DAOB100.AddlnDeprDuringYearAdditions">[6]DPM_DOA!$F$36</definedName>
    <definedName name="DAOB100.AddlnDeprOnGT180DayAdditions">[6]DPM_DOA!$F$35</definedName>
    <definedName name="DAOB100.DepreciationAtFullRate">[6]DPM_DOA!$F$33</definedName>
    <definedName name="DAOB100.DepreciationAtHalfRate">[6]DPM_DOA!$F$34</definedName>
    <definedName name="DAOB100.FullRateDeprAmt">[6]DPM_DOA!$F$29</definedName>
    <definedName name="DAOB100.HalfRateDeprAmt">[6]DPM_DOA!$F$32</definedName>
    <definedName name="DAOB100.RATE">[6]DPM_DOA!$F$24</definedName>
    <definedName name="DAOB100.RealizationPeriodDuringYear">[6]DPM_DOA!$F$31</definedName>
    <definedName name="DAOB100.RealizationTotalPeriod">[6]DPM_DOA!$F$28</definedName>
    <definedName name="DAOB100.TotalDepreciation">[6]DPM_DOA!$F$37</definedName>
    <definedName name="DAOB100.WDVFirstDay">[6]DPM_DOA!$F$26</definedName>
    <definedName name="DAOB5.AdditionsGrThan180Days">[6]DPM_DOA!$D$27</definedName>
    <definedName name="DAOB5.AdditionsLessThan180Days">[6]DPM_DOA!$D$30</definedName>
    <definedName name="DAOB5.AddlnDeprDuringYearAdditions">[6]DPM_DOA!$D$36</definedName>
    <definedName name="DAOB5.AddlnDeprOnGT180DayAdditions">[6]DPM_DOA!$D$35</definedName>
    <definedName name="DAOB5.DepreciationAtFullRate">[6]DPM_DOA!$D$33</definedName>
    <definedName name="DAOB5.DepreciationAtHalfRate">[6]DPM_DOA!$D$34</definedName>
    <definedName name="DAOB5.FullRateDeprAmt">[6]DPM_DOA!$D$29</definedName>
    <definedName name="DAOB5.HalfRateDeprAmt">[6]DPM_DOA!$D$32</definedName>
    <definedName name="DAOB5.RATE">[6]DPM_DOA!$D$24</definedName>
    <definedName name="DAOB5.RealizationPeriodDuringYear">[6]DPM_DOA!$D$31</definedName>
    <definedName name="DAOB5.RealizationTotalPeriod">[6]DPM_DOA!$D$28</definedName>
    <definedName name="DAOB5.TotalDepreciation">[6]DPM_DOA!$D$37</definedName>
    <definedName name="DAOB5.WDVFirstDay">[6]DPM_DOA!$D$26</definedName>
    <definedName name="DAOF10.AdditionsGrThan180Days">[6]DPM_DOA!$G$27</definedName>
    <definedName name="DAOF10.AdditionsLessThan180Days">[6]DPM_DOA!$G$30</definedName>
    <definedName name="DAOF10.AddlnDeprDuringYearAdditions">[6]DPM_DOA!$G$36</definedName>
    <definedName name="DAOF10.AddlnDeprOnGT180DayAdditions">[6]DPM_DOA!$G$35</definedName>
    <definedName name="DAOF10.DepreciationAtFullRate">[6]DPM_DOA!$G$33</definedName>
    <definedName name="DAOF10.DepreciationAtHalfRate">[6]DPM_DOA!$G$34</definedName>
    <definedName name="DAOF10.FullRateDeprAmt">[6]DPM_DOA!$G$29</definedName>
    <definedName name="DAOF10.HalfRateDeprAmt">[6]DPM_DOA!$G$32</definedName>
    <definedName name="DAOF10.RATE">[6]DPM_DOA!$G$24</definedName>
    <definedName name="DAOF10.RealizationPeriodDuringYear">[6]DPM_DOA!$G$31</definedName>
    <definedName name="DAOF10.RealizationTotalPeriod">[6]DPM_DOA!$G$28</definedName>
    <definedName name="DAOF10.TotalDepreciation">[6]DPM_DOA!$G$37</definedName>
    <definedName name="DAOF10.WDVFirstDay">[6]DPM_DOA!$G$26</definedName>
    <definedName name="DAOI25.AdditionsGrThan180Days">[6]DPM_DOA!$H$27</definedName>
    <definedName name="DAOI25.AdditionsLessThan180Days">[6]DPM_DOA!$H$30</definedName>
    <definedName name="DAOI25.AddlnDeprDuringYearAdditions">[6]DPM_DOA!$H$36</definedName>
    <definedName name="DAOI25.AddlnDeprOnGT180DayAdditions">[6]DPM_DOA!$H$35</definedName>
    <definedName name="DAOI25.DepreciationAtFullRate">[6]DPM_DOA!$H$33</definedName>
    <definedName name="DAOI25.DepreciationAtHalfRate">[6]DPM_DOA!$H$34</definedName>
    <definedName name="DAOI25.FullRateDeprAmt">[6]DPM_DOA!$H$29</definedName>
    <definedName name="DAOI25.HalfRateDeprAmt">[6]DPM_DOA!$H$32</definedName>
    <definedName name="DAOI25.RATE">[6]DPM_DOA!$H$24</definedName>
    <definedName name="DAOI25.RealizationPeriodDuringYear">[6]DPM_DOA!$H$31</definedName>
    <definedName name="DAOI25.RealizationTotalPeriod">[6]DPM_DOA!$H$28</definedName>
    <definedName name="DAOI25.TotalDepreciation">[6]DPM_DOA!$H$37</definedName>
    <definedName name="DAOI25.WDVFirstDay">[6]DPM_DOA!$H$26</definedName>
    <definedName name="DAOS20.AdditionsGrThan180Days">[6]DPM_DOA!$I$27</definedName>
    <definedName name="DAOS20.AdditionsLessThan180Days">[6]DPM_DOA!$I$30</definedName>
    <definedName name="DAOS20.AddlnDeprDuringYearAdditions">[6]DPM_DOA!$I$36</definedName>
    <definedName name="DAOS20.AddlnDeprOnGT180DayAdditions">[6]DPM_DOA!$I$35</definedName>
    <definedName name="DAOS20.DepreciationAtFullRate">[6]DPM_DOA!$I$33</definedName>
    <definedName name="DAOS20.DepreciationAtHalfRate">[6]DPM_DOA!$I$34</definedName>
    <definedName name="DAOS20.FullRateDeprAmt">[6]DPM_DOA!$I$29</definedName>
    <definedName name="DAOS20.HalfRateDeprAmt">[6]DPM_DOA!$I$32</definedName>
    <definedName name="DAOS20.RATE">[6]DPM_DOA!$I$24</definedName>
    <definedName name="DAOS20.RealizationPeriodDuringYear">[6]DPM_DOA!$I$31</definedName>
    <definedName name="DAOS20.RealizationTotalPeriod">[6]DPM_DOA!$I$28</definedName>
    <definedName name="DAOS20.TotalDepreciation">[6]DPM_DOA!$I$37</definedName>
    <definedName name="DAOS20.WDVFirstDay">[6]DPM_DOA!$I$26</definedName>
    <definedName name="dargad" localSheetId="3">#REF!,#REF!</definedName>
    <definedName name="dargad" localSheetId="4">#REF!,#REF!</definedName>
    <definedName name="dargad" localSheetId="6">#REF!,#REF!</definedName>
    <definedName name="dargad">#REF!,#REF!</definedName>
    <definedName name="Data" localSheetId="4">#REF!</definedName>
    <definedName name="data">'[38]T &amp; D LOSS'!$A$39:$Z$79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>#REF!</definedName>
    <definedName name="Database_MI">#REF!</definedName>
    <definedName name="DateRange">"1998.10.01 To 1998.10.31"</definedName>
    <definedName name="Days">365</definedName>
    <definedName name="DC">[6]Calculator!$M$48</definedName>
    <definedName name="DCGP.TotPlntMach">[6]DEP_DCG!$H$30</definedName>
    <definedName name="dd">#N/A</definedName>
    <definedName name="ddd" localSheetId="3">'[39]04REL'!#REF!</definedName>
    <definedName name="ddd" localSheetId="4">'[39]04REL'!#REF!</definedName>
    <definedName name="ddd" localSheetId="6">'[39]04REL'!#REF!</definedName>
    <definedName name="ddd">'[39]04REL'!#REF!</definedName>
    <definedName name="dddddd">'[33]ANNX -II'!$B$80:$K$97</definedName>
    <definedName name="DDT.AddLITPlusIntrestPayable">[6]DDT_TDS_TCS!$J$3:$J$8</definedName>
    <definedName name="DDT.TaxAndInterestPaid">[6]DDT_TDS_TCS!$I$13</definedName>
    <definedName name="DDTP.Amt">[6]IT_DDTP!$F$44:$F$49</definedName>
    <definedName name="Deal" localSheetId="3">#REF!</definedName>
    <definedName name="Deal" localSheetId="4">#REF!</definedName>
    <definedName name="Deal" localSheetId="6">#REF!</definedName>
    <definedName name="Deal">#REF!</definedName>
    <definedName name="Debt">[40]Inputs!$D$68</definedName>
    <definedName name="Debt_Pct">[41]Assumptions!$B$13</definedName>
    <definedName name="DebtEquity">[16]List_ratios!#REF!</definedName>
    <definedName name="Debts">'[42]Final Accounts'!#REF!</definedName>
    <definedName name="Dec_Proj_Cost" localSheetId="3">#REF!</definedName>
    <definedName name="Dec_Proj_Cost" localSheetId="4">#REF!</definedName>
    <definedName name="Dec_Proj_Cost" localSheetId="6">#REF!</definedName>
    <definedName name="Dec_Proj_Cost">#REF!</definedName>
    <definedName name="ded_usincome">[6]Calculator!$Q$7</definedName>
    <definedName name="Deg_.25" localSheetId="3">#REF!</definedName>
    <definedName name="Deg_.25" localSheetId="4">#REF!</definedName>
    <definedName name="Deg_.25" localSheetId="6">#REF!</definedName>
    <definedName name="Deg_.25">#REF!</definedName>
    <definedName name="Deg_.5" localSheetId="3">#REF!</definedName>
    <definedName name="Deg_.5" localSheetId="4">#REF!</definedName>
    <definedName name="Deg_.5" localSheetId="6">#REF!</definedName>
    <definedName name="Deg_.5">#REF!</definedName>
    <definedName name="degra_var_mod">[23]Assumptions!$L$38</definedName>
    <definedName name="dep">#REF!</definedName>
    <definedName name="DEP.TotalDepreciation">[6]DEP_DCG!$H$19</definedName>
    <definedName name="DEPOSITS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R_1" localSheetId="3">#REF!</definedName>
    <definedName name="DER_1" localSheetId="4">#REF!</definedName>
    <definedName name="DER_1" localSheetId="6">#REF!</definedName>
    <definedName name="DER_1">#REF!</definedName>
    <definedName name="DER_2" localSheetId="3">#REF!</definedName>
    <definedName name="DER_2" localSheetId="4">#REF!</definedName>
    <definedName name="DER_2" localSheetId="6">#REF!</definedName>
    <definedName name="DER_2">#REF!</definedName>
    <definedName name="DER_3" localSheetId="3">#REF!</definedName>
    <definedName name="DER_3" localSheetId="4">#REF!</definedName>
    <definedName name="DER_3" localSheetId="6">#REF!</definedName>
    <definedName name="DER_3">#REF!</definedName>
    <definedName name="DER_4" localSheetId="4">#REF!</definedName>
    <definedName name="DER_4">#REF!</definedName>
    <definedName name="DER_5" localSheetId="4">#REF!</definedName>
    <definedName name="DER_5">#REF!</definedName>
    <definedName name="DER_6" localSheetId="4">#REF!</definedName>
    <definedName name="DER_6">#REF!</definedName>
    <definedName name="DETAIL">#REF!</definedName>
    <definedName name="dgxgfzdg" localSheetId="3">#REF!,#REF!</definedName>
    <definedName name="dgxgfzdg" localSheetId="4">#REF!,#REF!</definedName>
    <definedName name="dgxgfzdg" localSheetId="6">#REF!,#REF!</definedName>
    <definedName name="dgxgfzdg">#REF!,#REF!</definedName>
    <definedName name="dicer">#REF!</definedName>
    <definedName name="DIF">#REF!</definedName>
    <definedName name="diff">#REF!</definedName>
    <definedName name="Diff_IDC">'[43]PC &amp; MOF'!$C$67</definedName>
    <definedName name="DIFF_SPV" localSheetId="3">#REF!</definedName>
    <definedName name="DIFF_SPV" localSheetId="4">#REF!</definedName>
    <definedName name="DIFF_SPV" localSheetId="6">#REF!</definedName>
    <definedName name="DIFF_SPV">#REF!</definedName>
    <definedName name="Difference">#REF!</definedName>
    <definedName name="Disaggregations">#REF!</definedName>
    <definedName name="dividends97">#REF!</definedName>
    <definedName name="Dollar_Threshold">#REF!</definedName>
    <definedName name="dpc">'[44]dpc cost'!$D$1</definedName>
    <definedName name="DPM100.AdditionsGrThan180Days">[6]DPM_DOA!$J$6</definedName>
    <definedName name="DPM100.AdditionsLessThan180Days">[6]DPM_DOA!$J$9</definedName>
    <definedName name="DPM100.AddlnDeprDuringYearAdditions">[6]DPM_DOA!$J$15</definedName>
    <definedName name="DPM100.AddlnDeprOnGT180DayAdditions">[6]DPM_DOA!$J$14</definedName>
    <definedName name="DPM100.DepreciationAtFullRate">[6]DPM_DOA!$J$12</definedName>
    <definedName name="DPM100.DepreciationAtHalfRate">[6]DPM_DOA!$J$13</definedName>
    <definedName name="DPM100.FullRateDeprAmt">[6]DPM_DOA!$J$8</definedName>
    <definedName name="DPM100.HalfRateDeprAmt">[6]DPM_DOA!$J$11</definedName>
    <definedName name="DPM100.RATE">[6]DPM_DOA!$J$3</definedName>
    <definedName name="DPM100.RealizationPeriodDuringYear">[6]DPM_DOA!$J$10</definedName>
    <definedName name="DPM100.RealizationTotalPeriod">[6]DPM_DOA!$J$7</definedName>
    <definedName name="DPM100.TotalDepreciation">[6]DPM_DOA!$J$16</definedName>
    <definedName name="DPM100.WDVFirstDay">[6]DPM_DOA!$J$5</definedName>
    <definedName name="DPM15.AdditionsGrThan180Days">[6]DPM_DOA!$D$6</definedName>
    <definedName name="DPM15.AdditionsLessThan180Days">[6]DPM_DOA!$D$9</definedName>
    <definedName name="DPM15.AddlnDeprDuringYearAdditions">[6]DPM_DOA!$D$15</definedName>
    <definedName name="DPM15.AddlnDeprOnGT180DayAdditions">[6]DPM_DOA!$D$14</definedName>
    <definedName name="DPM15.DepreciationAtFullRate">[6]DPM_DOA!$D$12</definedName>
    <definedName name="DPM15.DepreciationAtHalfRate">[6]DPM_DOA!$D$13</definedName>
    <definedName name="DPM15.FullRateDeprAmt">[6]DPM_DOA!$D$8</definedName>
    <definedName name="DPM15.HalfRateDeprAmt">[6]DPM_DOA!$D$11</definedName>
    <definedName name="DPM15.RATE">[6]DPM_DOA!$D$3</definedName>
    <definedName name="DPM15.RealizationPeriodDuringYear">[6]DPM_DOA!$D$10</definedName>
    <definedName name="DPM15.RealizationTotalPeriod">[6]DPM_DOA!$D$7</definedName>
    <definedName name="DPM15.TotalDepreciation">[6]DPM_DOA!$D$16</definedName>
    <definedName name="DPM15.WDVFirstDay">[6]DPM_DOA!$D$5</definedName>
    <definedName name="DPM30.AdditionsGrThan180Days">[6]DPM_DOA!$E$6</definedName>
    <definedName name="DPM30.AdditionsLessThan180Days">[6]DPM_DOA!$E$9</definedName>
    <definedName name="DPM30.AddlnDeprDuringYearAdditions">[6]DPM_DOA!$E$15</definedName>
    <definedName name="DPM30.AddlnDeprOnGT180DayAdditions">[6]DPM_DOA!$E$14</definedName>
    <definedName name="DPM30.DepreciationAtFullRate">[6]DPM_DOA!$E$12</definedName>
    <definedName name="DPM30.DepreciationAtHalfRate">[6]DPM_DOA!$E$13</definedName>
    <definedName name="DPM30.FullRateDeprAmt">[6]DPM_DOA!$E$8</definedName>
    <definedName name="DPM30.HalfRateDeprAmt">[6]DPM_DOA!$E$11</definedName>
    <definedName name="DPM30.RATE">[6]DPM_DOA!$E$3</definedName>
    <definedName name="DPM30.RealizationPeriodDuringYear">[6]DPM_DOA!$E$10</definedName>
    <definedName name="DPM30.RealizationTotalPeriod">[6]DPM_DOA!$E$7</definedName>
    <definedName name="DPM30.TotalDepreciation">[6]DPM_DOA!$E$16</definedName>
    <definedName name="DPM30.WDVFirstDay">[6]DPM_DOA!$E$5</definedName>
    <definedName name="DPM40.AdditionsGrThan180Days">[6]DPM_DOA!$F$6</definedName>
    <definedName name="DPM40.AdditionsLessThan180Days">[6]DPM_DOA!$F$9</definedName>
    <definedName name="DPM40.AddlnDeprDuringYearAdditions">[6]DPM_DOA!$F$15</definedName>
    <definedName name="DPM40.AddlnDeprOnGT180DayAdditions">[6]DPM_DOA!$F$14</definedName>
    <definedName name="DPM40.DepreciationAtFullRate">[6]DPM_DOA!$F$12</definedName>
    <definedName name="DPM40.DepreciationAtHalfRate">[6]DPM_DOA!$F$13</definedName>
    <definedName name="DPM40.FullRateDeprAmt">[6]DPM_DOA!$F$8</definedName>
    <definedName name="DPM40.HalfRateDeprAmt">[6]DPM_DOA!$F$11</definedName>
    <definedName name="DPM40.RATE">[6]DPM_DOA!$F$3</definedName>
    <definedName name="DPM40.RealizationPeriodDuringYear">[6]DPM_DOA!$F$10</definedName>
    <definedName name="DPM40.RealizationTotalPeriod">[6]DPM_DOA!$F$7</definedName>
    <definedName name="DPM40.TotalDepreciation">[6]DPM_DOA!$F$16</definedName>
    <definedName name="DPM40.WDVFirstDay">[6]DPM_DOA!$F$5</definedName>
    <definedName name="DPM50.AdditionsGrThan180Days">[6]DPM_DOA!$G$6</definedName>
    <definedName name="DPM50.AdditionsLessThan180Days">[6]DPM_DOA!$G$9</definedName>
    <definedName name="DPM50.AddlnDeprDuringYearAdditions">[6]DPM_DOA!$G$15</definedName>
    <definedName name="DPM50.AddlnDeprOnGT180DayAdditions">[6]DPM_DOA!$G$14</definedName>
    <definedName name="DPM50.DepreciationAtFullRate">[6]DPM_DOA!$G$12</definedName>
    <definedName name="DPM50.DepreciationAtHalfRate">[6]DPM_DOA!$G$13</definedName>
    <definedName name="DPM50.FullRateDeprAmt">[6]DPM_DOA!$G$8</definedName>
    <definedName name="DPM50.HalfRateDeprAmt">[6]DPM_DOA!$G$11</definedName>
    <definedName name="DPM50.RATE">[6]DPM_DOA!$G$3</definedName>
    <definedName name="DPM50.RealizationPeriodDuringYear">[6]DPM_DOA!$G$10</definedName>
    <definedName name="DPM50.RealizationTotalPeriod">[6]DPM_DOA!$G$7</definedName>
    <definedName name="DPM50.TotalDepreciation">[6]DPM_DOA!$G$16</definedName>
    <definedName name="DPM50.WDVFirstDay">[6]DPM_DOA!$G$5</definedName>
    <definedName name="DPM60.AdditionsGrThan180Days">[6]DPM_DOA!$H$6</definedName>
    <definedName name="DPM60.AdditionsLessThan180Days">[6]DPM_DOA!$H$9</definedName>
    <definedName name="DPM60.AddlnDeprDuringYearAdditions">[6]DPM_DOA!$H$15</definedName>
    <definedName name="DPM60.AddlnDeprOnGT180DayAdditions">[6]DPM_DOA!$H$14</definedName>
    <definedName name="DPM60.DepreciationAtFullRate">[6]DPM_DOA!$H$12</definedName>
    <definedName name="DPM60.DepreciationAtHalfRate">[6]DPM_DOA!$H$13</definedName>
    <definedName name="DPM60.FullRateDeprAmt">[6]DPM_DOA!$H$8</definedName>
    <definedName name="DPM60.HalfRateDeprAmt">[6]DPM_DOA!$H$11</definedName>
    <definedName name="DPM60.RATE">[6]DPM_DOA!$H$3</definedName>
    <definedName name="DPM60.RealizationPeriodDuringYear">[6]DPM_DOA!$H$10</definedName>
    <definedName name="DPM60.RealizationTotalPeriod">[6]DPM_DOA!$H$7</definedName>
    <definedName name="DPM60.TotalDepreciation">[6]DPM_DOA!$H$16</definedName>
    <definedName name="DPM60.WDVFirstDay">[6]DPM_DOA!$H$5</definedName>
    <definedName name="DPM80.AdditionsGrThan180Days">[6]DPM_DOA!$I$6</definedName>
    <definedName name="DPM80.AdditionsLessThan180Days">[6]DPM_DOA!$I$9</definedName>
    <definedName name="DPM80.AddlnDeprDuringYearAdditions">[6]DPM_DOA!$I$15</definedName>
    <definedName name="DPM80.AddlnDeprOnGT180DayAdditions">[6]DPM_DOA!$I$14</definedName>
    <definedName name="DPM80.DepreciationAtFullRate">[6]DPM_DOA!$I$12</definedName>
    <definedName name="DPM80.DepreciationAtHalfRate">[6]DPM_DOA!$I$13</definedName>
    <definedName name="DPM80.FullRateDeprAmt">[6]DPM_DOA!$I$8</definedName>
    <definedName name="DPM80.HalfRateDeprAmt">[6]DPM_DOA!$I$11</definedName>
    <definedName name="DPM80.RATE">[6]DPM_DOA!$I$3</definedName>
    <definedName name="DPM80.RealizationPeriodDuringYear">[6]DPM_DOA!$I$10</definedName>
    <definedName name="DPM80.RealizationTotalPeriod">[6]DPM_DOA!$I$7</definedName>
    <definedName name="DPM80.TotalDepreciation">[6]DPM_DOA!$I$16</definedName>
    <definedName name="DPM80.WDVFirstDay">[6]DPM_DOA!$I$5</definedName>
    <definedName name="ds" localSheetId="3">#REF!</definedName>
    <definedName name="ds" localSheetId="4">#REF!</definedName>
    <definedName name="ds" localSheetId="6">#REF!</definedName>
    <definedName name="ds">#REF!</definedName>
    <definedName name="dsd" localSheetId="3">#REF!</definedName>
    <definedName name="dsd" localSheetId="4">#REF!</definedName>
    <definedName name="dsd" localSheetId="6">#REF!</definedName>
    <definedName name="dsd">#REF!</definedName>
    <definedName name="dsfdfADF" localSheetId="3">#REF!</definedName>
    <definedName name="dsfdfADF" localSheetId="4">#REF!</definedName>
    <definedName name="dsfdfADF" localSheetId="6">#REF!</definedName>
    <definedName name="dsfdfADF">#REF!</definedName>
    <definedName name="dsrao">'[45]Core Assumptions'!$C$247</definedName>
    <definedName name="dsrap">'[45]Core Assumptions'!$D$246</definedName>
    <definedName name="dta">[8]wwww!$E$64</definedName>
    <definedName name="DTAA_INCOME">[6]SI!$L$1</definedName>
    <definedName name="DTAA_TAX">[6]SI!$M$1</definedName>
    <definedName name="dtl">[8]wwww!$F$64</definedName>
    <definedName name="DTRS">#REF!</definedName>
    <definedName name="dxzxxx" localSheetId="3">#REF!,#REF!</definedName>
    <definedName name="dxzxxx" localSheetId="4">#REF!,#REF!</definedName>
    <definedName name="dxzxxx" localSheetId="6">#REF!,#REF!</definedName>
    <definedName name="dxzxxx">#REF!,#REF!</definedName>
    <definedName name="E" localSheetId="3">#REF!</definedName>
    <definedName name="E" localSheetId="4">#REF!</definedName>
    <definedName name="E" localSheetId="6">#REF!</definedName>
    <definedName name="E">#REF!</definedName>
    <definedName name="E_1" localSheetId="3">#REF!</definedName>
    <definedName name="E_1" localSheetId="4">#REF!</definedName>
    <definedName name="E_1" localSheetId="6">#REF!</definedName>
    <definedName name="E_1">#REF!</definedName>
    <definedName name="E_2" localSheetId="3">#REF!</definedName>
    <definedName name="E_2" localSheetId="4">#REF!</definedName>
    <definedName name="E_2" localSheetId="6">#REF!</definedName>
    <definedName name="E_2">#REF!</definedName>
    <definedName name="E_3" localSheetId="4">#REF!</definedName>
    <definedName name="E_3">#REF!</definedName>
    <definedName name="E_315MVA_Addl_Page1" localSheetId="4">#REF!</definedName>
    <definedName name="E_315MVA_Addl_Page1">#REF!</definedName>
    <definedName name="E_315MVA_Addl_Page2" localSheetId="4">#REF!</definedName>
    <definedName name="E_315MVA_Addl_Page2">#REF!</definedName>
    <definedName name="E_4" localSheetId="4">#REF!</definedName>
    <definedName name="E_4">#REF!</definedName>
    <definedName name="E_5" localSheetId="4">#REF!</definedName>
    <definedName name="E_5">#REF!</definedName>
    <definedName name="E_6" localSheetId="4">#REF!</definedName>
    <definedName name="E_6">#REF!</definedName>
    <definedName name="East_Europe_Average">[16]List_ratios!#REF!</definedName>
    <definedName name="EBIT">[16]List_ratios!#REF!</definedName>
    <definedName name="EBITCAP">[16]List_ratios!#REF!</definedName>
    <definedName name="EBITDA__int_cvrge_x">[16]List_ratios!#REF!</definedName>
    <definedName name="EbitdaLine">[16]List_ratios!#REF!</definedName>
    <definedName name="EBITDAMultipleHigh">[46]Factset!$IU$25</definedName>
    <definedName name="EBITDAMultipleLow">[46]Factset!$IU$26</definedName>
    <definedName name="ECB" localSheetId="3">[11]Input!#REF!</definedName>
    <definedName name="ECB" localSheetId="4">[11]Input!#REF!</definedName>
    <definedName name="ECB" localSheetId="6">[11]Input!#REF!</definedName>
    <definedName name="ECB">[11]Input!#REF!</definedName>
    <definedName name="ECB_BASE" localSheetId="3">[11]Input!#REF!</definedName>
    <definedName name="ECB_BASE" localSheetId="4">[11]Input!#REF!</definedName>
    <definedName name="ECB_BASE" localSheetId="6">[11]Input!#REF!</definedName>
    <definedName name="ECB_BASE">[11]Input!#REF!</definedName>
    <definedName name="ECB_REFI" localSheetId="3">[11]Input!#REF!</definedName>
    <definedName name="ECB_REFI" localSheetId="4">[11]Input!#REF!</definedName>
    <definedName name="ECB_REFI" localSheetId="6">[11]Input!#REF!</definedName>
    <definedName name="ECB_REFI">[11]Input!#REF!</definedName>
    <definedName name="Eco_Transport_Base" localSheetId="3">#REF!</definedName>
    <definedName name="Eco_Transport_Base" localSheetId="4">#REF!</definedName>
    <definedName name="Eco_Transport_Base" localSheetId="6">#REF!</definedName>
    <definedName name="Eco_Transport_Base">#REF!</definedName>
    <definedName name="Eco_Transport_SEN" localSheetId="3">#REF!</definedName>
    <definedName name="Eco_Transport_SEN" localSheetId="4">#REF!</definedName>
    <definedName name="Eco_Transport_SEN" localSheetId="6">#REF!</definedName>
    <definedName name="Eco_Transport_SEN">#REF!</definedName>
    <definedName name="ECOEsc_Base" localSheetId="3">#REF!</definedName>
    <definedName name="ECOEsc_Base" localSheetId="4">#REF!</definedName>
    <definedName name="ECOEsc_Base" localSheetId="6">#REF!</definedName>
    <definedName name="ECOEsc_Base">#REF!</definedName>
    <definedName name="ECOEsc_SEN" localSheetId="4">#REF!</definedName>
    <definedName name="ECOEsc_SEN">#REF!</definedName>
    <definedName name="ECOPrice_Base" localSheetId="4">#REF!</definedName>
    <definedName name="ECOPrice_Base">#REF!</definedName>
    <definedName name="ECOPrice_SEN" localSheetId="4">#REF!</definedName>
    <definedName name="ECOPrice_SEN">#REF!</definedName>
    <definedName name="edcess_stcgoththan111aincome">[6]Calculator!$R$6</definedName>
    <definedName name="edcess_usincome">[6]Calculator!$Q$6</definedName>
    <definedName name="egtdgtgxdg" localSheetId="3">#REF!</definedName>
    <definedName name="egtdgtgxdg" localSheetId="4">#REF!</definedName>
    <definedName name="egtdgtgxdg" localSheetId="6">#REF!</definedName>
    <definedName name="egtdgtgxdg">#REF!</definedName>
    <definedName name="EHTPA10.DedFromUndertaking">'[6]10A'!$F$7:$F$7</definedName>
    <definedName name="EHTPA10.TotalDedUs10Sub">'[6]10A'!$H$8</definedName>
    <definedName name="EMPExp">[11]Assumptions!$E$67</definedName>
    <definedName name="EmpExp_Base" localSheetId="3">#REF!</definedName>
    <definedName name="EmpExp_Base" localSheetId="4">#REF!</definedName>
    <definedName name="EmpExp_Base" localSheetId="6">#REF!</definedName>
    <definedName name="EmpExp_Base">#REF!</definedName>
    <definedName name="EmpExp_SEN" localSheetId="3">#REF!</definedName>
    <definedName name="EmpExp_SEN" localSheetId="4">#REF!</definedName>
    <definedName name="EmpExp_SEN" localSheetId="6">#REF!</definedName>
    <definedName name="EmpExp_SEN">#REF!</definedName>
    <definedName name="End_Bal">#REF!</definedName>
    <definedName name="ENERGY">'[47]Data Input'!$B$274:$P$375</definedName>
    <definedName name="Entity">#REF!</definedName>
    <definedName name="EPZA10.DedFromUndertaking">'[6]10A'!$F$15</definedName>
    <definedName name="EPZA10.TotalDedUs10Sub">'[6]10A'!$H$16</definedName>
    <definedName name="equity97">#REF!</definedName>
    <definedName name="equitydata">#REF!</definedName>
    <definedName name="Erai_level">[48]Level_qty!$B$8:$C$528</definedName>
    <definedName name="Esc_AGExp">[49]Assumptions!$B$4</definedName>
    <definedName name="Esc_Coal">[41]Assumptions!$B$6</definedName>
    <definedName name="Esc_DomGas">[41]Assumptions!$B$8</definedName>
    <definedName name="Esc_EmpExp">[41]Assumptions!$B$3</definedName>
    <definedName name="Esc_LNGas">[41]Assumptions!$B$9</definedName>
    <definedName name="Esc_Oil">[41]Assumptions!$B$7</definedName>
    <definedName name="Esc_OtherVarCharge">[41]Assumptions!$B$10</definedName>
    <definedName name="Esc_RMExp">[49]Assumptions!$B$5</definedName>
    <definedName name="EscAGExp" localSheetId="3">#REF!</definedName>
    <definedName name="EscAGExp" localSheetId="4">#REF!</definedName>
    <definedName name="EscAGExp" localSheetId="6">#REF!</definedName>
    <definedName name="EscAGExp">#REF!</definedName>
    <definedName name="EscCoal" localSheetId="3">#REF!</definedName>
    <definedName name="EscCoal" localSheetId="4">#REF!</definedName>
    <definedName name="EscCoal" localSheetId="6">#REF!</definedName>
    <definedName name="EscCoal">#REF!</definedName>
    <definedName name="EscDomGas" localSheetId="3">#REF!</definedName>
    <definedName name="EscDomGas" localSheetId="4">#REF!</definedName>
    <definedName name="EscDomGas" localSheetId="6">#REF!</definedName>
    <definedName name="EscDomGas">#REF!</definedName>
    <definedName name="EscEmpExp" localSheetId="4">#REF!</definedName>
    <definedName name="EscEmpExp">#REF!</definedName>
    <definedName name="EscLNGas" localSheetId="4">#REF!</definedName>
    <definedName name="EscLNGas">#REF!</definedName>
    <definedName name="EscOil" localSheetId="4">#REF!</definedName>
    <definedName name="EscOil">#REF!</definedName>
    <definedName name="EscOtherIncome" localSheetId="4">#REF!</definedName>
    <definedName name="EscOtherIncome">#REF!</definedName>
    <definedName name="EscOtherVarCharge" localSheetId="4">#REF!</definedName>
    <definedName name="EscOtherVarCharge">#REF!</definedName>
    <definedName name="EscRMExp" localSheetId="4">#REF!</definedName>
    <definedName name="EscRMExp">#REF!</definedName>
    <definedName name="Europe_Average">[16]List_ratios!#REF!</definedName>
    <definedName name="ev.Calculation" hidden="1">2</definedName>
    <definedName name="ev.Initialized" hidden="1">FALSE</definedName>
    <definedName name="eva">#REF!</definedName>
    <definedName name="ex" localSheetId="4">#REF!</definedName>
    <definedName name="ex">#REF!</definedName>
    <definedName name="EXC" localSheetId="4">#REF!</definedName>
    <definedName name="EXC">#REF!</definedName>
    <definedName name="Excel_BuiltIn_Print_Area_3" localSheetId="4">[50]EPS!#REF!</definedName>
    <definedName name="Excel_BuiltIn_Print_Area_3">[50]EPS!#REF!</definedName>
    <definedName name="exfactcost">'[47]HI-TARGE'!#REF!</definedName>
    <definedName name="EXH" localSheetId="3">#REF!</definedName>
    <definedName name="EXH" localSheetId="4">#REF!</definedName>
    <definedName name="EXH" localSheetId="6">#REF!</definedName>
    <definedName name="EXH">#REF!</definedName>
    <definedName name="EXHXV.1">[51]mancount!#REF!</definedName>
    <definedName name="EXHXVII.2">[51]PRESFMS!#REF!</definedName>
    <definedName name="EXP">#REF!</definedName>
    <definedName name="Expected_balance">#REF!</definedName>
    <definedName name="EXPENSES">#REF!</definedName>
    <definedName name="Extra_Pay">#REF!</definedName>
    <definedName name="F" localSheetId="3">#REF!</definedName>
    <definedName name="F" localSheetId="4">#REF!</definedName>
    <definedName name="F" localSheetId="6">#REF!</definedName>
    <definedName name="F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_A_PeakBal">[6]TR_FA!$G$29:$G$33</definedName>
    <definedName name="FA_B_TotalInv">[6]TR_FA!$G$42:$G$46</definedName>
    <definedName name="FA_C_TotalInv">[6]TR_FA!$E$55:$E$59</definedName>
    <definedName name="FA_D_TotalInv">[6]TR_FA!$E$68:$E$72</definedName>
    <definedName name="FA_E_PeakBalInv">[6]TR_FA!$F$81:$F$85</definedName>
    <definedName name="Fatty_Acids__Price__Rs___Unit">'[13]EVA Calculations'!#REF!</definedName>
    <definedName name="Fatty_Acids__Volume__Units">'[13]EVA Calculations'!#REF!</definedName>
    <definedName name="Fatty_Alcohols__Price__Rs___Unit">'[13]EVA Calculations'!#REF!</definedName>
    <definedName name="FAX" localSheetId="3">#REF!</definedName>
    <definedName name="FAX" localSheetId="4">#REF!</definedName>
    <definedName name="FAX" localSheetId="6">#REF!</definedName>
    <definedName name="FAX">#REF!</definedName>
    <definedName name="fbdfhsh" localSheetId="3">#REF!</definedName>
    <definedName name="fbdfhsh" localSheetId="4">#REF!</definedName>
    <definedName name="fbdfhsh" localSheetId="6">#REF!</definedName>
    <definedName name="fbdfhsh">#REF!</definedName>
    <definedName name="FBT.Amt">[6]IT_DDTP!$H$30:$H$35</definedName>
    <definedName name="FBT.FormulaOfS">[6]IT_DDTP!$S$30:$S$35</definedName>
    <definedName name="FBTSection">[52]Lists!$A$61:$A$63</definedName>
    <definedName name="FBValBIF1.ValueOfFBIf1OfSchFBIisNo">[6]FRINGE_BENEFIT_INFO!$J$43</definedName>
    <definedName name="FBValBIF2N.ValueOfFBIf2OfSchFBIisNo">[6]FRINGE_BENEFIT_INFO!$J$45</definedName>
    <definedName name="FBValBIF2Y.ValueOfFBIf2OfSchFBIisYes">[6]FRINGE_BENEFIT_INFO!$J$44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gdgd" localSheetId="3">#REF!</definedName>
    <definedName name="fdfdgdgd" localSheetId="4">#REF!</definedName>
    <definedName name="fdfdgdgd" localSheetId="6">#REF!</definedName>
    <definedName name="fdfdgdgd">#REF!</definedName>
    <definedName name="fdsfdsf" localSheetId="3">#REF!</definedName>
    <definedName name="fdsfdsf" localSheetId="4">#REF!</definedName>
    <definedName name="fdsfdsf" localSheetId="6">#REF!</definedName>
    <definedName name="fdsfdsf">#REF!</definedName>
    <definedName name="fdxfds" localSheetId="3">#REF!</definedName>
    <definedName name="fdxfds" localSheetId="4">#REF!</definedName>
    <definedName name="fdxfds" localSheetId="6">#REF!</definedName>
    <definedName name="fdxfds">#REF!</definedName>
    <definedName name="FERMENTATION_LOSS">#REF!</definedName>
    <definedName name="FF">#REF!</definedName>
    <definedName name="fff">'[33]ANNX -II'!$AI$2:$AS$55</definedName>
    <definedName name="fffff">'[33]ANNX -II'!$B$80:$K$97</definedName>
    <definedName name="ffffffffff">'[33]ANNX -II'!$A$6:$V$37</definedName>
    <definedName name="FFFYYJ" hidden="1">#REF!</definedName>
    <definedName name="fgdgchjgd" localSheetId="3">#REF!</definedName>
    <definedName name="fgdgchjgd" localSheetId="4">#REF!</definedName>
    <definedName name="fgdgchjgd">#REF!</definedName>
    <definedName name="fgvdata">#REF!</definedName>
    <definedName name="Fhandling">[11]Assumptions!$D$61</definedName>
    <definedName name="FHandling_Base" localSheetId="3">#REF!</definedName>
    <definedName name="FHandling_Base" localSheetId="4">#REF!</definedName>
    <definedName name="FHandling_Base" localSheetId="6">#REF!</definedName>
    <definedName name="FHandling_Base">#REF!</definedName>
    <definedName name="FHandling_SEN" localSheetId="3">#REF!</definedName>
    <definedName name="FHandling_SEN" localSheetId="4">#REF!</definedName>
    <definedName name="FHandling_SEN" localSheetId="6">#REF!</definedName>
    <definedName name="FHandling_SEN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N">#REF!</definedName>
    <definedName name="FINALPBT">[6]BP!$P$6</definedName>
    <definedName name="FinCharge">[41]Assumptions!$B$25</definedName>
    <definedName name="FIRE">#N/A</definedName>
    <definedName name="FLAG7A7B7C">[6]BP!$P$4</definedName>
    <definedName name="FORECAST">#REF!</definedName>
    <definedName name="FOREX">[11]Assumptions!$C$241</definedName>
    <definedName name="Forex_Base" localSheetId="3">#REF!</definedName>
    <definedName name="Forex_Base" localSheetId="4">#REF!</definedName>
    <definedName name="Forex_Base" localSheetId="6">#REF!</definedName>
    <definedName name="Forex_Base">#REF!</definedName>
    <definedName name="Forex_SEN" localSheetId="3">#REF!</definedName>
    <definedName name="Forex_SEN" localSheetId="4">#REF!</definedName>
    <definedName name="Forex_SEN" localSheetId="6">#REF!</definedName>
    <definedName name="Forex_SEN">#REF!</definedName>
    <definedName name="FormatStringTable">[29]ReportsParameters!$A$50:$E$55</definedName>
    <definedName name="FORMIV_">#REF!</definedName>
    <definedName name="FormulaOfQ">[6]IT_DDTP!$T$4:$T$9</definedName>
    <definedName name="FormulaOfQF">[6]IT_DDTP!$T$30:$T$35</definedName>
    <definedName name="FormulaOfSat">[6]IT_DDTP!$U$4:$U$9</definedName>
    <definedName name="FormulaOfSATF">[6]IT_DDTP!$U$30:$U$35</definedName>
    <definedName name="FormulaofSI">[6]SI!$L$12:$L$21</definedName>
    <definedName name="FORMV">#REF!</definedName>
    <definedName name="FOUR">'[53]CAPITAL (2)'!#REF!</definedName>
    <definedName name="FRGHT">[31]TB9899!#REF!</definedName>
    <definedName name="fsa_coal_esc">[54]Assumptions!$D$46</definedName>
    <definedName name="FSI.BusinessIncome">[6]FSI!$F$8:$F$12</definedName>
    <definedName name="FSI.CapGainIncome">[6]FSI!$G$8:$G$12</definedName>
    <definedName name="FSI.IncomeFromHP">[6]FSI!$E$8:$E$12</definedName>
    <definedName name="FSI.OtherSourceIncome">[6]FSI!$H$8:$H$12</definedName>
    <definedName name="FSI.TotalIncome">[6]FSI!$I$8:$I$12</definedName>
    <definedName name="FSI.TotalIncomeGTotal">[6]FSI!$I$13</definedName>
    <definedName name="FSI.TotalIncomeOutIndia">[6]FSI!$I$16</definedName>
    <definedName name="FSI.TotalIncomeOutIndiaDTAAAppli">[6]FSI!$I$17</definedName>
    <definedName name="fssdzfzsdffzsdf" localSheetId="3">#REF!</definedName>
    <definedName name="fssdzfzsdffzsdf" localSheetId="4">#REF!</definedName>
    <definedName name="fssdzfzsdffzsdf" localSheetId="6">#REF!</definedName>
    <definedName name="fssdzfzsdffzsdf">#REF!</definedName>
    <definedName name="FTZA10.DedFromUndertaking">'[6]10A'!$F$11:$F$11</definedName>
    <definedName name="FTZA10.TotalDedUs10Sub">'[6]10A'!$H$12</definedName>
    <definedName name="FUEL">[11]Assumptions!$D$59</definedName>
    <definedName name="Fuel_Base" localSheetId="3">#REF!</definedName>
    <definedName name="Fuel_Base" localSheetId="4">#REF!</definedName>
    <definedName name="Fuel_Base" localSheetId="6">#REF!</definedName>
    <definedName name="Fuel_Base">#REF!</definedName>
    <definedName name="Fuel_Exp_CY" localSheetId="3">#REF!</definedName>
    <definedName name="Fuel_Exp_CY" localSheetId="4">#REF!</definedName>
    <definedName name="Fuel_Exp_CY" localSheetId="6">#REF!</definedName>
    <definedName name="Fuel_Exp_CY">#REF!</definedName>
    <definedName name="Fuel_Exp_EY" localSheetId="3">#REF!</definedName>
    <definedName name="Fuel_Exp_EY" localSheetId="4">#REF!</definedName>
    <definedName name="Fuel_Exp_EY" localSheetId="6">#REF!</definedName>
    <definedName name="Fuel_Exp_EY">#REF!</definedName>
    <definedName name="Fuel_Exp_PY" localSheetId="4">#REF!</definedName>
    <definedName name="Fuel_Exp_PY">#REF!</definedName>
    <definedName name="FUEL_SEN" localSheetId="4">#REF!</definedName>
    <definedName name="FUEL_SEN">#REF!</definedName>
    <definedName name="Full_Print">#REF!</definedName>
    <definedName name="FUNDFLOW">#REF!</definedName>
    <definedName name="FURNITURE___FIXTURE">#REF!</definedName>
    <definedName name="Fx">[11]Input!$D$38</definedName>
    <definedName name="Fx_Base" localSheetId="3">#REF!</definedName>
    <definedName name="Fx_Base" localSheetId="4">#REF!</definedName>
    <definedName name="Fx_Base" localSheetId="6">#REF!</definedName>
    <definedName name="Fx_Base">#REF!</definedName>
    <definedName name="Fx_SEN" localSheetId="3">#REF!</definedName>
    <definedName name="Fx_SEN" localSheetId="4">#REF!</definedName>
    <definedName name="Fx_SEN" localSheetId="6">#REF!</definedName>
    <definedName name="Fx_SEN">#REF!</definedName>
    <definedName name="fy" localSheetId="3">#REF!</definedName>
    <definedName name="fy" localSheetId="4">#REF!</definedName>
    <definedName name="fy" localSheetId="6">#REF!</definedName>
    <definedName name="fy">#REF!</definedName>
    <definedName name="FYMonths">[29]ReportsParameters!$B$42</definedName>
    <definedName name="g" localSheetId="3">#REF!</definedName>
    <definedName name="g" localSheetId="4">#REF!</definedName>
    <definedName name="g" localSheetId="6">#REF!</definedName>
    <definedName name="g">#REF!</definedName>
    <definedName name="g_1">[6]Calculator!$Q$9</definedName>
    <definedName name="g_1F">[6]Calculator!$Q$15</definedName>
    <definedName name="g_2">[6]Calculator!$Q$10</definedName>
    <definedName name="g_2F">[6]Calculator!$Q$16</definedName>
    <definedName name="g_3">[6]Calculator!$Q$11</definedName>
    <definedName name="g_3F">[6]Calculator!$Q$17</definedName>
    <definedName name="g_4">[6]Calculator!$Q$12</definedName>
    <definedName name="g_4F">[6]Calculator!$Q$18</definedName>
    <definedName name="g_5">[6]Calculator!$Q$13</definedName>
    <definedName name="g_5F">[6]Calculator!$Q$19</definedName>
    <definedName name="gaga" localSheetId="3">#REF!</definedName>
    <definedName name="gaga" localSheetId="4">#REF!</definedName>
    <definedName name="gaga" localSheetId="6">#REF!</definedName>
    <definedName name="gaga">#REF!</definedName>
    <definedName name="gahZh" localSheetId="4">#REF!</definedName>
    <definedName name="gahZh">#REF!</definedName>
    <definedName name="gajkahuah" localSheetId="4">#REF!</definedName>
    <definedName name="gajkahuah">#REF!</definedName>
    <definedName name="gasgdskhdu" localSheetId="3">#REF!,#REF!</definedName>
    <definedName name="gasgdskhdu" localSheetId="4">#REF!,#REF!</definedName>
    <definedName name="gasgdskhdu" localSheetId="6">#REF!,#REF!</definedName>
    <definedName name="gasgdskhdu">#REF!,#REF!</definedName>
    <definedName name="gdgfg" localSheetId="3">#REF!,#REF!</definedName>
    <definedName name="gdgfg" localSheetId="4">#REF!,#REF!</definedName>
    <definedName name="gdgfg" localSheetId="6">#REF!,#REF!</definedName>
    <definedName name="gdgfg">#REF!,#REF!</definedName>
    <definedName name="gf" localSheetId="3">#REF!</definedName>
    <definedName name="gf" localSheetId="4">#REF!</definedName>
    <definedName name="gf" localSheetId="6">#REF!</definedName>
    <definedName name="gf">#REF!</definedName>
    <definedName name="gfg" localSheetId="3">#REF!</definedName>
    <definedName name="gfg" localSheetId="4">#REF!</definedName>
    <definedName name="gfg" localSheetId="6">#REF!</definedName>
    <definedName name="gfg">#REF!</definedName>
    <definedName name="gggggg">'[33]ANNX -II'!$X$20:$AG$41</definedName>
    <definedName name="ghhfh" localSheetId="3">#REF!</definedName>
    <definedName name="ghhfh" localSheetId="4">#REF!</definedName>
    <definedName name="ghhfh" localSheetId="6">#REF!</definedName>
    <definedName name="ghhfh">#REF!</definedName>
    <definedName name="GHHHHHH">#REF!</definedName>
    <definedName name="Glycerine__Price__Rs___Unit">'[13]EVA Calculations'!#REF!</definedName>
    <definedName name="Glycerine__Volume__Units">'[13]EVA Calculations'!#REF!</definedName>
    <definedName name="GR" localSheetId="3">#REF!</definedName>
    <definedName name="GR" localSheetId="4">#REF!</definedName>
    <definedName name="GR" localSheetId="6">#REF!</definedName>
    <definedName name="GR">#REF!</definedName>
    <definedName name="Grade">"C"</definedName>
    <definedName name="Grade_Level">"Grade "</definedName>
    <definedName name="GrossFA">[16]List_ratios!#REF!</definedName>
    <definedName name="gshjgshgs" localSheetId="3">#REF!</definedName>
    <definedName name="gshjgshgs" localSheetId="4">#REF!</definedName>
    <definedName name="gshjgshgs" localSheetId="6">#REF!</definedName>
    <definedName name="gshjgshgs">#REF!</definedName>
    <definedName name="GTAX1">[6]Calculator!$AK$48</definedName>
    <definedName name="GTAX3">[6]Calculator!$AK$50</definedName>
    <definedName name="GTAX4">[6]Calculator!$AK$51</definedName>
    <definedName name="GTAX5">[6]Calculator!$AK$52</definedName>
    <definedName name="GTLS">[6]Calculator!$D$26</definedName>
    <definedName name="gydgdg" localSheetId="3">#REF!,#REF!</definedName>
    <definedName name="gydgdg" localSheetId="4">#REF!,#REF!</definedName>
    <definedName name="gydgdg" localSheetId="6">#REF!,#REF!</definedName>
    <definedName name="gydgdg">#REF!,#REF!</definedName>
    <definedName name="h" localSheetId="3">'[55]04REL'!#REF!</definedName>
    <definedName name="h" localSheetId="4">'[55]04REL'!#REF!</definedName>
    <definedName name="h" localSheetId="6">'[55]04REL'!#REF!</definedName>
    <definedName name="h">'[55]04REL'!#REF!</definedName>
    <definedName name="h_1">[6]Calculator!$R$9</definedName>
    <definedName name="h_1F">[6]Calculator!$R$15</definedName>
    <definedName name="h_2">[6]Calculator!$R$10</definedName>
    <definedName name="h_2F">[6]Calculator!$R$16</definedName>
    <definedName name="h_3">[6]Calculator!$R$11</definedName>
    <definedName name="h_3F">[6]Calculator!$R$17</definedName>
    <definedName name="h_4">[6]Calculator!$R$12</definedName>
    <definedName name="h_4F">[6]Calculator!$R$18</definedName>
    <definedName name="h_5">[6]Calculator!$R$13</definedName>
    <definedName name="h_5F">[6]Calculator!$R$19</definedName>
    <definedName name="hahshuis" localSheetId="3">#REF!</definedName>
    <definedName name="hahshuis" localSheetId="4">#REF!</definedName>
    <definedName name="hahshuis" localSheetId="6">#REF!</definedName>
    <definedName name="hahshuis">#REF!</definedName>
    <definedName name="halol">[56]HALOL!$A$10:$D$182</definedName>
    <definedName name="hasnain" localSheetId="3">#REF!</definedName>
    <definedName name="hasnain" localSheetId="4">#REF!</definedName>
    <definedName name="hasnain" localSheetId="6">#REF!</definedName>
    <definedName name="hasnain">#REF!</definedName>
    <definedName name="hdhdjh" localSheetId="3">#REF!</definedName>
    <definedName name="hdhdjh" localSheetId="4">#REF!</definedName>
    <definedName name="hdhdjh" localSheetId="6">#REF!</definedName>
    <definedName name="hdhdjh">#REF!</definedName>
    <definedName name="Header_Row">ROW(#REF!)</definedName>
    <definedName name="headquarters">#REF!</definedName>
    <definedName name="HEATING_LOSS_CONF.BISC.">#REF!</definedName>
    <definedName name="hgtfhdh" localSheetId="3">'[39]04REL'!#REF!</definedName>
    <definedName name="hgtfhdh" localSheetId="4">'[39]04REL'!#REF!</definedName>
    <definedName name="hgtfhdh" localSheetId="6">'[39]04REL'!#REF!</definedName>
    <definedName name="hgtfhdh">'[39]04REL'!#REF!</definedName>
    <definedName name="hhhuh" localSheetId="3">#REF!</definedName>
    <definedName name="hhhuh" localSheetId="4">#REF!</definedName>
    <definedName name="hhhuh" localSheetId="6">#REF!</definedName>
    <definedName name="hhhuh">#REF!</definedName>
    <definedName name="hHzhzh" localSheetId="3">#REF!</definedName>
    <definedName name="hHzhzh" localSheetId="4">#REF!</definedName>
    <definedName name="hHzhzh" localSheetId="6">#REF!</definedName>
    <definedName name="hHzhzh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'[6]CYLA BFLA'!$H$6</definedName>
    <definedName name="hp.IncOfCurYrUnderThatHead2">'[6]CYLA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'[6]CYLA BFLA'!$AF$11</definedName>
    <definedName name="hpincome.bp">'[6]CYLA BFLA'!$AB$11</definedName>
    <definedName name="hpincome.hp">'[6]CYLA BFLA'!$X$11</definedName>
    <definedName name="hpincome.ih">'[6]CYLA BFLA'!$Q$11</definedName>
    <definedName name="hpincome.os">'[6]CYLA BFLA'!$T$11</definedName>
    <definedName name="hpincome.rem">'[6]CYLA BFLA'!$AO$15</definedName>
    <definedName name="hploss.aftbfl">'[6]CYLA BFLA'!$AH$11</definedName>
    <definedName name="hploss.bf">'[6]CYLA BFLA'!$AE$11</definedName>
    <definedName name="hploss.bfadj">'[6]CYLA BFLA'!$AG$11</definedName>
    <definedName name="hploss.bp">'[6]CYLA BFLA'!$AD$11</definedName>
    <definedName name="hploss.hp">'[6]CYLA BFLA'!$Z$11</definedName>
    <definedName name="hploss.ih">'[6]CYLA BFLA'!$R$11</definedName>
    <definedName name="hploss.os">'[6]CYLA BFLA'!$V$11</definedName>
    <definedName name="hploss.unabs">'[6]CYLA BFLA'!$AN$15</definedName>
    <definedName name="hploss1.unabs">'[6]CYLA BFLA'!$F$53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R">[11]Indices!$B$173</definedName>
    <definedName name="hshhxuhxu" localSheetId="3">#REF!</definedName>
    <definedName name="hshhxuhxu" localSheetId="4">#REF!</definedName>
    <definedName name="hshhxuhxu" localSheetId="6">#REF!</definedName>
    <definedName name="hshhxuhxu">#REF!</definedName>
    <definedName name="hvdc.avlblty">'[15]PPT Inputs'!$C$27</definedName>
    <definedName name="HWSheet">1</definedName>
    <definedName name="i" localSheetId="3">#REF!</definedName>
    <definedName name="i" localSheetId="4">#REF!</definedName>
    <definedName name="i" localSheetId="6">#REF!</definedName>
    <definedName name="i">#REF!</definedName>
    <definedName name="IA80.TotSchedule80_IA">'[6]80_'!$I$8</definedName>
    <definedName name="iarea1">[57]Input!$B$10:$V$21,[57]Input!$B$28:$V$28,[57]Input!$B$32:$V$43,[57]Input!$B$57:$V$57,[57]Input!$B$66:$B$67,[57]Input!$B$75:$B$76,[57]Input!$C$66:$V$66,[57]Input!$B$69:$V$71,[57]Input!$C$75:$V$75,[57]Input!$B$78:$V$80,[57]Input!$B$111:$V$111,[57]Input!$C$113:$V$118,[57]Input!$B$113:$B$117,[57]Input!$B$44:$V$51,[57]Input!$B$84:$B$85,[57]Input!$C$84:$V$84,[57]Input!$C$87:$V$89,[57]Input!$B$93:$B$94,[57]Input!$C$93:$V$93</definedName>
    <definedName name="iarea2">[57]Input!$B$159:$D$159,[57]Input!$B$162:$D$162,[57]Input!$E$159:$K$159,[57]Input!$E$162:$K$162</definedName>
    <definedName name="iarea3">[57]Input!$C$96:$V$98,[57]Input!$B$102:$B$103,[57]Input!$C$102:$V$102,[57]Input!$C$105:$V$107,[57]Input!$B$123:$B$124,[57]Input!$C$123:$V$123,[57]Input!$B$132:$V$135,[57]Input!$B$139:$V$142</definedName>
    <definedName name="IB80.TotSchedule80_IB">'[6]80_'!$I$24</definedName>
    <definedName name="IC80.TotDeductInNorthEast">'[6]80_'!$I$38</definedName>
    <definedName name="IC80.TotSchedule80_IC">'[6]80_'!$I$39</definedName>
    <definedName name="idc">'[58]Debt Scheduling'!$E$49:$Q$49</definedName>
    <definedName name="idc_copy_3" localSheetId="3">#REF!</definedName>
    <definedName name="idc_copy_3" localSheetId="4">#REF!</definedName>
    <definedName name="idc_copy_3" localSheetId="6">#REF!</definedName>
    <definedName name="idc_copy_3">#REF!</definedName>
    <definedName name="idc_diff" localSheetId="3">#REF!</definedName>
    <definedName name="idc_diff" localSheetId="4">#REF!</definedName>
    <definedName name="idc_diff" localSheetId="6">#REF!</definedName>
    <definedName name="idc_diff">#REF!</definedName>
    <definedName name="IDC_DIFF_1" localSheetId="3">'[23]Capex Scheduling'!#REF!</definedName>
    <definedName name="IDC_DIFF_1" localSheetId="4">'[23]Capex Scheduling'!#REF!</definedName>
    <definedName name="IDC_DIFF_1" localSheetId="6">'[23]Capex Scheduling'!#REF!</definedName>
    <definedName name="IDC_DIFF_1">'[23]Capex Scheduling'!#REF!</definedName>
    <definedName name="idc_p">'[58]Debt Scheduling'!$E$50:$Q$50</definedName>
    <definedName name="idc_paste" localSheetId="3">#REF!</definedName>
    <definedName name="idc_paste" localSheetId="4">#REF!</definedName>
    <definedName name="idc_paste" localSheetId="6">#REF!</definedName>
    <definedName name="idc_paste">#REF!</definedName>
    <definedName name="idc_paste_3" localSheetId="3">#REF!</definedName>
    <definedName name="idc_paste_3" localSheetId="4">#REF!</definedName>
    <definedName name="idc_paste_3" localSheetId="6">#REF!</definedName>
    <definedName name="idc_paste_3">#REF!</definedName>
    <definedName name="IdcDiff" localSheetId="3">'[23]Capex Scheduling'!#REF!</definedName>
    <definedName name="IdcDiff" localSheetId="4">'[23]Capex Scheduling'!#REF!</definedName>
    <definedName name="IdcDiff" localSheetId="6">'[23]Capex Scheduling'!#REF!</definedName>
    <definedName name="IdcDiff">'[23]Capex Scheduling'!#REF!</definedName>
    <definedName name="IDCDifference" localSheetId="3">'[23]Capex Scheduling'!#REF!</definedName>
    <definedName name="IDCDifference" localSheetId="4">'[23]Capex Scheduling'!#REF!</definedName>
    <definedName name="IDCDifference" localSheetId="6">'[23]Capex Scheduling'!#REF!</definedName>
    <definedName name="IDCDifference">'[23]Capex Scheduling'!#REF!</definedName>
    <definedName name="idcPaste1">'[23]Capex Scheduling'!$F$35:$W$35</definedName>
    <definedName name="Inc_Proj_Cost" localSheetId="3">#REF!</definedName>
    <definedName name="Inc_Proj_Cost" localSheetId="4">#REF!</definedName>
    <definedName name="Inc_Proj_Cost" localSheetId="6">#REF!</definedName>
    <definedName name="Inc_Proj_Cost">#REF!</definedName>
    <definedName name="income97">#REF!</definedName>
    <definedName name="India">[16]List_ratios!#REF!</definedName>
    <definedName name="INI_CurMth">[59]Sheet1!$B$4</definedName>
    <definedName name="Ini_CurUnit">[59]Sheet1!$A$10</definedName>
    <definedName name="INPUT_AREA">#REF!</definedName>
    <definedName name="INS">#REF!</definedName>
    <definedName name="Insulation_Volume" localSheetId="3">'[60]LTC-Insulation_Volume'!#REF!</definedName>
    <definedName name="Insulation_Volume" localSheetId="4">'[60]LTC-Insulation_Volume'!#REF!</definedName>
    <definedName name="Insulation_Volume" localSheetId="6">'[60]LTC-Insulation_Volume'!#REF!</definedName>
    <definedName name="Insulation_Volume">'[60]LTC-Insulation_Volume'!#REF!</definedName>
    <definedName name="Int">#REF!</definedName>
    <definedName name="Int_Diff">[61]CF!$D$43</definedName>
    <definedName name="Int_DSRA_Diff">[61]CF!$D$46</definedName>
    <definedName name="Int_on_cash_calc">[61]CF!$I$37:$AG$37</definedName>
    <definedName name="Int_on_cash_paste">'[61]P&amp;L'!$J$11:$AH$11</definedName>
    <definedName name="Int_on_DSRA_paste">'[61]P&amp;L'!$J$12:$AH$12</definedName>
    <definedName name="Interest_Rate">#REF!</definedName>
    <definedName name="InterestOnTermLoanBorrowingJuly">#REF!</definedName>
    <definedName name="InternetProtection">"Internet Protection"</definedName>
    <definedName name="InternetProtection_Grade">"C"</definedName>
    <definedName name="IntRate_100" localSheetId="3">#REF!</definedName>
    <definedName name="IntRate_100" localSheetId="4">#REF!</definedName>
    <definedName name="IntRate_100" localSheetId="6">#REF!</definedName>
    <definedName name="IntRate_100">#REF!</definedName>
    <definedName name="IntRate_11">[41]Assumptions!$B$11</definedName>
    <definedName name="IntRate_12">[41]Assumptions!$B$12</definedName>
    <definedName name="IntRate_25" localSheetId="3">#REF!</definedName>
    <definedName name="IntRate_25" localSheetId="4">#REF!</definedName>
    <definedName name="IntRate_25" localSheetId="6">#REF!</definedName>
    <definedName name="IntRate_25">#REF!</definedName>
    <definedName name="IntRate_50" localSheetId="3">#REF!</definedName>
    <definedName name="IntRate_50" localSheetId="4">#REF!</definedName>
    <definedName name="IntRate_50" localSheetId="6">#REF!</definedName>
    <definedName name="IntRate_50">#REF!</definedName>
    <definedName name="IntRate_75" localSheetId="3">#REF!</definedName>
    <definedName name="IntRate_75" localSheetId="4">#REF!</definedName>
    <definedName name="IntRate_75" localSheetId="6">#REF!</definedName>
    <definedName name="IntRate_75">#REF!</definedName>
    <definedName name="IntRate_WC">[22]Assumptions!$B$16</definedName>
    <definedName name="IntRate_WC10">[41]Assumptions!$B$16</definedName>
    <definedName name="IntRate_WC11">[41]Assumptions!$B$17</definedName>
    <definedName name="IntRate_WC12">[41]Assumptions!$B$18</definedName>
    <definedName name="IntRate12" localSheetId="3">#REF!</definedName>
    <definedName name="IntRate12" localSheetId="4">#REF!</definedName>
    <definedName name="IntRate12" localSheetId="6">#REF!</definedName>
    <definedName name="IntRate12">#REF!</definedName>
    <definedName name="IntRate13" localSheetId="3">#REF!</definedName>
    <definedName name="IntRate13" localSheetId="4">#REF!</definedName>
    <definedName name="IntRate13" localSheetId="6">#REF!</definedName>
    <definedName name="IntRate13">#REF!</definedName>
    <definedName name="IntRateWC11" localSheetId="3">#REF!</definedName>
    <definedName name="IntRateWC11" localSheetId="4">#REF!</definedName>
    <definedName name="IntRateWC11" localSheetId="6">#REF!</definedName>
    <definedName name="IntRateWC11">#REF!</definedName>
    <definedName name="IntRateWC12" localSheetId="4">#REF!</definedName>
    <definedName name="IntRateWC12">#REF!</definedName>
    <definedName name="IntRateWC13" localSheetId="4">#REF!</definedName>
    <definedName name="IntRateWC13">#REF!</definedName>
    <definedName name="Intt_Charge_cY" localSheetId="3">#REF!,#REF!</definedName>
    <definedName name="Intt_Charge_cY" localSheetId="4">#REF!,#REF!</definedName>
    <definedName name="Intt_Charge_cY" localSheetId="6">#REF!,#REF!</definedName>
    <definedName name="Intt_Charge_cY">#REF!,#REF!</definedName>
    <definedName name="Intt_Charge_cy_1">'[62]A 3.7'!$H$35,'[62]A 3.7'!$H$44</definedName>
    <definedName name="Intt_Charge_eY" localSheetId="3">#REF!,#REF!</definedName>
    <definedName name="Intt_Charge_eY" localSheetId="4">#REF!,#REF!</definedName>
    <definedName name="Intt_Charge_eY" localSheetId="6">#REF!,#REF!</definedName>
    <definedName name="Intt_Charge_eY">#REF!,#REF!</definedName>
    <definedName name="Intt_Charge_ey_1">'[62]A 3.7'!$I$35,'[62]A 3.7'!$I$44</definedName>
    <definedName name="Intt_Charge_PY" localSheetId="3">#REF!,#REF!</definedName>
    <definedName name="Intt_Charge_PY" localSheetId="4">#REF!,#REF!</definedName>
    <definedName name="Intt_Charge_PY" localSheetId="6">#REF!,#REF!</definedName>
    <definedName name="Intt_Charge_PY">#REF!,#REF!</definedName>
    <definedName name="Intt_Charge_py_1">'[62]A 3.7'!$G$35,'[62]A 3.7'!$G$44</definedName>
    <definedName name="INTT_MTH.">#REF!</definedName>
    <definedName name="INV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42873.2601388889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blnHideRow">#N/A</definedName>
    <definedName name="IsCircular" localSheetId="3">#REF!</definedName>
    <definedName name="IsCircular" localSheetId="4">#REF!</definedName>
    <definedName name="IsCircular" localSheetId="6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T">#REF!</definedName>
    <definedName name="IT.Amt">[6]IT_DDTP!$F$4:$F$9</definedName>
    <definedName name="IT.FormulaOFS">[6]IT_DDTP!$S$4:$S$9</definedName>
    <definedName name="Italia">[16]List_ratios!#REF!</definedName>
    <definedName name="ITEM_C">#REF!</definedName>
    <definedName name="ITEM_V">#REF!</definedName>
    <definedName name="ITSection">[63]Lists!$A$56:$A$58</definedName>
    <definedName name="j" localSheetId="3">#REF!</definedName>
    <definedName name="j" localSheetId="4">#REF!</definedName>
    <definedName name="j" localSheetId="6">#REF!</definedName>
    <definedName name="j">#REF!</definedName>
    <definedName name="JDCL_MISC">#REF!</definedName>
    <definedName name="jjjj">#REF!</definedName>
    <definedName name="jjkjklj" localSheetId="3">#REF!,#REF!</definedName>
    <definedName name="jjkjklj" localSheetId="4">#REF!,#REF!</definedName>
    <definedName name="jjkjklj" localSheetId="6">#REF!,#REF!</definedName>
    <definedName name="jjkjklj">#REF!,#REF!</definedName>
    <definedName name="jjskjsklj" localSheetId="3">#REF!</definedName>
    <definedName name="jjskjsklj" localSheetId="4">#REF!</definedName>
    <definedName name="jjskjsklj" localSheetId="6">#REF!</definedName>
    <definedName name="jjskjsklj">#REF!</definedName>
    <definedName name="jsdkf3" localSheetId="3">#REF!</definedName>
    <definedName name="jsdkf3" localSheetId="4">#REF!</definedName>
    <definedName name="jsdkf3" localSheetId="6">#REF!</definedName>
    <definedName name="jsdkf3">#REF!</definedName>
    <definedName name="jsjssij" localSheetId="3">#REF!</definedName>
    <definedName name="jsjssij" localSheetId="4">#REF!</definedName>
    <definedName name="jsjssij" localSheetId="6">#REF!</definedName>
    <definedName name="jsjssij">#REF!</definedName>
    <definedName name="k" localSheetId="4">#REF!</definedName>
    <definedName name="k">#REF!</definedName>
    <definedName name="K2000_">#N/A</definedName>
    <definedName name="Kettex">#REF!</definedName>
    <definedName name="kettex98">#REF!</definedName>
    <definedName name="kishor" localSheetId="3">#REF!</definedName>
    <definedName name="kishor" localSheetId="4">#REF!</definedName>
    <definedName name="kishor" localSheetId="6">#REF!</definedName>
    <definedName name="kishor">#REF!</definedName>
    <definedName name="kk">#REF!</definedName>
    <definedName name="kkJJ" localSheetId="3">#REF!</definedName>
    <definedName name="kkJJ" localSheetId="4">#REF!</definedName>
    <definedName name="kkJJ" localSheetId="6">#REF!</definedName>
    <definedName name="kkJJ">#REF!</definedName>
    <definedName name="kkk">#REF!</definedName>
    <definedName name="Korea_Telecom">[16]List_ratios!#REF!</definedName>
    <definedName name="ksokskosk" localSheetId="3">#REF!</definedName>
    <definedName name="ksokskosk" localSheetId="4">#REF!</definedName>
    <definedName name="ksokskosk" localSheetId="6">#REF!</definedName>
    <definedName name="ksokskosk">#REF!</definedName>
    <definedName name="kv.avlblty">'[15]PPT Inputs'!$C$28</definedName>
    <definedName name="l" localSheetId="3">#REF!</definedName>
    <definedName name="l" localSheetId="4">#REF!</definedName>
    <definedName name="l" localSheetId="6">#REF!</definedName>
    <definedName name="l">#REF!</definedName>
    <definedName name="L_A">#REF!</definedName>
    <definedName name="L_Adjust">[64]Links!$H$1:$H$65536</definedName>
    <definedName name="L_AJE_Tot">[64]Links!$G$1:$G$65536</definedName>
    <definedName name="L_CY_Beg">[64]Links!$F$1:$F$65536</definedName>
    <definedName name="L_CY_End">[64]Links!$J$1:$J$65536</definedName>
    <definedName name="L_PY_End">[64]Links!$K$1:$K$65536</definedName>
    <definedName name="L_RJE_Tot">[64]Links!$I$1:$I$65536</definedName>
    <definedName name="LACS">#REF!</definedName>
    <definedName name="LACS_E">#REF!</definedName>
    <definedName name="Last_Row">IF(Values_Entered,Header_Row+Number_of_Payments,Header_Row)</definedName>
    <definedName name="Last_Year">#REF!</definedName>
    <definedName name="LDFHDFHJ">#REF!</definedName>
    <definedName name="LinesYee">[16]List_ratios!#REF!</definedName>
    <definedName name="lkjuh">#REF!</definedName>
    <definedName name="ll">#REF!</definedName>
    <definedName name="llJkljl" localSheetId="3">#REF!</definedName>
    <definedName name="llJkljl" localSheetId="4">#REF!</definedName>
    <definedName name="llJkljl" localSheetId="6">#REF!</definedName>
    <definedName name="llJkljl">#REF!</definedName>
    <definedName name="Loan_Amount">#REF!</definedName>
    <definedName name="loan_cntr">'[65]Capital Cost'!$A$111:$IV$111</definedName>
    <definedName name="Loan_CoalSPV" localSheetId="3">#REF!</definedName>
    <definedName name="Loan_CoalSPV" localSheetId="4">#REF!</definedName>
    <definedName name="Loan_CoalSPV" localSheetId="6">#REF!</definedName>
    <definedName name="Loan_CoalSPV">#REF!</definedName>
    <definedName name="Loan_Start">#REF!</definedName>
    <definedName name="Loan_Years">#REF!</definedName>
    <definedName name="loans">'[42]Final Accounts'!#REF!</definedName>
    <definedName name="lottery.ecq1">[6]Calculator!$AD$13</definedName>
    <definedName name="lottery.ecq2">[6]Calculator!$AE$13</definedName>
    <definedName name="lottery.ecq3">[6]Calculator!$AF$13</definedName>
    <definedName name="lottery.ecq4">[6]Calculator!$AG$13</definedName>
    <definedName name="lottery.ecq5">[6]Calculator!$AH$13</definedName>
    <definedName name="lottery.scq1">[6]Calculator!$Y$13</definedName>
    <definedName name="lottery.scq2">[6]Calculator!$Z$13</definedName>
    <definedName name="lottery.scq3">[6]Calculator!$AA$13</definedName>
    <definedName name="lottery.scq4">[6]Calculator!$AB$13</definedName>
    <definedName name="lottery.scq5">[6]Calculator!$AC$13</definedName>
    <definedName name="lotteryec.usratio">[6]Calculator!$X$13</definedName>
    <definedName name="lotteryincome">[6]Calculator!$R$3</definedName>
    <definedName name="lotteryincome.usratio">[6]Calculator!$V$13</definedName>
    <definedName name="lotterysur.usratio">[6]Calculator!$W$13</definedName>
    <definedName name="lp">#REF!</definedName>
    <definedName name="ltcg.BFlossPrevYrUndSameHeadSetoff4">'[6]CYLA BFLA'!$E$25</definedName>
    <definedName name="ltcg.BFUnabsorbedDeprSetoff4">'[6]CYLA BFLA'!$F$25</definedName>
    <definedName name="ltcg.IncOfCurYrAfterSetOff2">'[6]CYLA BFLA'!$H$11</definedName>
    <definedName name="ltcg.IncOfCurYrUnderThatHead2">'[6]CYLA BFLA'!$D$11</definedName>
    <definedName name="ltcgloss.aftbfl">'[6]CYLA BFLA'!$AH$18</definedName>
    <definedName name="ltcgloss.bf">'[6]CYLA BFLA'!$AE$18</definedName>
    <definedName name="ltcgloss.bfftnp">'[6]CYLA BFLA'!$E$43</definedName>
    <definedName name="ltcgloss.bfftp">'[6]CYLA BFLA'!$E$46</definedName>
    <definedName name="ltcgloss1.unabs">'[6]CYLA BFLA'!$F$59</definedName>
    <definedName name="ltcgnonproviso.ecq1">[6]Calculator!$AD$10</definedName>
    <definedName name="ltcgnonproviso.ecq2">[6]Calculator!$AE$10</definedName>
    <definedName name="ltcgnonproviso.ecq3">[6]Calculator!$AF$10</definedName>
    <definedName name="ltcgnonproviso.ecq4">[6]Calculator!$AG$10</definedName>
    <definedName name="ltcgnonproviso.ecq5">[6]Calculator!$AH$10</definedName>
    <definedName name="ltcgnonproviso.savings">[6]Calculator!$AI$10</definedName>
    <definedName name="ltcgnonproviso.scq1">[6]Calculator!$Y$10</definedName>
    <definedName name="ltcgnonproviso.scq2">[6]Calculator!$Z$10</definedName>
    <definedName name="ltcgnonproviso.scq3">[6]Calculator!$AA$10</definedName>
    <definedName name="ltcgnonproviso.scq4">[6]Calculator!$AB$10</definedName>
    <definedName name="ltcgnonproviso.scq5">[6]Calculator!$AC$10</definedName>
    <definedName name="ltcgnonprovisoec.usratio">[6]Calculator!$X$10</definedName>
    <definedName name="ltcgnonprovisoincome">'[6]CYLA BFLA'!$O$19</definedName>
    <definedName name="ltcgnonprovisoincome.bf">'[6]CYLA BFLA'!$AF$19</definedName>
    <definedName name="ltcgnonprovisoincome.bp">'[6]CYLA BFLA'!$AB$19</definedName>
    <definedName name="ltcgnonprovisoincome.hp">'[6]CYLA BFLA'!$X$19</definedName>
    <definedName name="ltcgnonprovisoincome.ih">'[6]CYLA BFLA'!$Q$19</definedName>
    <definedName name="ltcgnonprovisoincome.ltcladj">'[6]CYLA BFLA'!$E$42</definedName>
    <definedName name="ltcgnonprovisoincome.os">'[6]CYLA BFLA'!$T$19</definedName>
    <definedName name="ltcgnonprovisoincome.rem">'[6]CYLA BFLA'!$AO$17</definedName>
    <definedName name="ltcgnonprovisoincome.stcl">'[6]CYLA BFLA'!$F$44</definedName>
    <definedName name="ltcgnonprovisoincome.usratio">[6]Calculator!$V$10</definedName>
    <definedName name="ltcgnonprovisoloss">'[6]CYLA BFLA'!$P$19</definedName>
    <definedName name="ltcgnonprovisoloss.bfadj">'[6]CYLA BFLA'!$AG$19</definedName>
    <definedName name="ltcgnonprovisoloss.bp">'[6]CYLA BFLA'!$AD$19</definedName>
    <definedName name="ltcgnonprovisoloss.hp">'[6]CYLA BFLA'!$Z$19</definedName>
    <definedName name="ltcgnonprovisoloss.ih">'[6]CYLA BFLA'!$R$19</definedName>
    <definedName name="ltcgnonprovisoloss.os">'[6]CYLA BFLA'!$V$19</definedName>
    <definedName name="ltcgnonprovisoloss.stcladj">'[6]CYLA BFLA'!$F$43</definedName>
    <definedName name="ltcgnonprovisoloss.unabs">'[6]CYLA BFLA'!$AN$17</definedName>
    <definedName name="ltcgnonprovisosur.usratio">[6]Calculator!$W$10</definedName>
    <definedName name="ltcgproviso.ecq1">[6]Calculator!$AD$12</definedName>
    <definedName name="ltcgproviso.ecq2">[6]Calculator!$AE$12</definedName>
    <definedName name="ltcgproviso.ecq3">[6]Calculator!$AF$12</definedName>
    <definedName name="ltcgproviso.ecq4">[6]Calculator!$AG$12</definedName>
    <definedName name="ltcgproviso.ecq5">[6]Calculator!$AH$12</definedName>
    <definedName name="ltcgproviso.savings">[6]Calculator!$AI$12</definedName>
    <definedName name="ltcgproviso.scq1">[6]Calculator!$Y$12</definedName>
    <definedName name="ltcgproviso.scq2">[6]Calculator!$Z$12</definedName>
    <definedName name="ltcgproviso.scq3">[6]Calculator!$AA$12</definedName>
    <definedName name="ltcgproviso.scq4">[6]Calculator!$AB$12</definedName>
    <definedName name="ltcgproviso.scq5">[6]Calculator!$AC$12</definedName>
    <definedName name="ltcgprovisoec.usratio">[6]Calculator!$X$12</definedName>
    <definedName name="ltcgprovisoincome">'[6]CYLA BFLA'!$O$18</definedName>
    <definedName name="ltcgprovisoincome.bf">'[6]CYLA BFLA'!$AF$18</definedName>
    <definedName name="ltcgprovisoincome.bp">'[6]CYLA BFLA'!$AB$18</definedName>
    <definedName name="ltcgprovisoincome.hp">'[6]CYLA BFLA'!$X$18</definedName>
    <definedName name="ltcgprovisoincome.ih">'[6]CYLA BFLA'!$Q$18</definedName>
    <definedName name="ltcgprovisoincome.ltcladj">'[6]CYLA BFLA'!$E$45</definedName>
    <definedName name="ltcgprovisoincome.os">'[6]CYLA BFLA'!$T$18</definedName>
    <definedName name="ltcgprovisoincome.rem">'[6]CYLA BFLA'!$AO$18</definedName>
    <definedName name="ltcgprovisoincome.stcl">'[6]CYLA BFLA'!$F$49</definedName>
    <definedName name="ltcgprovisoincome.usratio">[6]Calculator!$V$12</definedName>
    <definedName name="ltcgprovisoloss">'[6]CYLA BFLA'!$P$18</definedName>
    <definedName name="ltcgprovisoloss.bfadj">'[6]CYLA BFLA'!$AG$18</definedName>
    <definedName name="ltcgprovisoloss.bp">'[6]CYLA BFLA'!$AD$18</definedName>
    <definedName name="ltcgprovisoloss.hp">'[6]CYLA BFLA'!$Z$18</definedName>
    <definedName name="ltcgprovisoloss.ih">'[6]CYLA BFLA'!$R$18</definedName>
    <definedName name="ltcgprovisoloss.os">'[6]CYLA BFLA'!$V$18</definedName>
    <definedName name="ltcgprovisoloss.stcladj">'[6]CYLA BFLA'!$F$47</definedName>
    <definedName name="ltcgprovisoloss.unabs">'[6]CYLA BFLA'!$AN$18</definedName>
    <definedName name="ltcgprovisosur.usratio">[6]Calculator!$W$12</definedName>
    <definedName name="ltcla1">'[6]CYLA BFLA'!$E$41</definedName>
    <definedName name="ltcla2">'[6]CYLA BFLA'!$E$44</definedName>
    <definedName name="LTR_M_NEW" localSheetId="3">#REF!</definedName>
    <definedName name="LTR_M_NEW" localSheetId="4">#REF!</definedName>
    <definedName name="LTR_M_NEW" localSheetId="6">#REF!</definedName>
    <definedName name="LTR_M_NEW">#REF!</definedName>
    <definedName name="LTR_MOR" localSheetId="3">#REF!</definedName>
    <definedName name="LTR_MOR" localSheetId="4">#REF!</definedName>
    <definedName name="LTR_MOR" localSheetId="6">#REF!</definedName>
    <definedName name="LTR_MOR">#REF!</definedName>
    <definedName name="lvkfeqvlkqe" localSheetId="4">#REF!</definedName>
    <definedName name="lvkfeqvlkqe">#REF!</definedName>
    <definedName name="M_CapitalAvg">[29]ReportsParameters!$B$32</definedName>
    <definedName name="M_CoName">[29]ReportsParameters!$B$29</definedName>
    <definedName name="M_Denomination">[29]ReportsParameters!$B$38</definedName>
    <definedName name="M_FinanseerTitle">[29]ReportsParameters!$B$33</definedName>
    <definedName name="M_Lf">[29]ReportsParameters!$C$19</definedName>
    <definedName name="M_Pf">[29]ReportsParameters!$C$20</definedName>
    <definedName name="M_PrintFrom">[29]ReportsParameters!$B$11</definedName>
    <definedName name="M_PrintTo">[29]ReportsParameters!$B$12</definedName>
    <definedName name="M_Pt">[29]ReportsParameters!$C$21</definedName>
    <definedName name="M_SSAdjustments">[29]ReportsParameters!$B$26</definedName>
    <definedName name="m105." localSheetId="3">#REF!</definedName>
    <definedName name="m105." localSheetId="4">#REF!</definedName>
    <definedName name="m105." localSheetId="6">#REF!</definedName>
    <definedName name="m105.">#REF!</definedName>
    <definedName name="MailSystem">"Mail System"</definedName>
    <definedName name="MailSystem_Grade">"C"</definedName>
    <definedName name="MAIN">#REF!</definedName>
    <definedName name="MAIN_E">#REF!</definedName>
    <definedName name="mal">#REF!</definedName>
    <definedName name="MARINE">#N/A</definedName>
    <definedName name="MaruHold">'[15]Core Assumptions'!$C$358</definedName>
    <definedName name="MaruOGI">'[15]Core Assumptions'!$G$358</definedName>
    <definedName name="master_ref">[61]Input!$J$8</definedName>
    <definedName name="masterdata">#REF!</definedName>
    <definedName name="MAT">#REF!</definedName>
    <definedName name="MATAV__Hungary">[16]List_ratios!#REF!</definedName>
    <definedName name="MATC.AmtTaxCredUs115JAA">[6]EI_MAT!$H$53</definedName>
    <definedName name="MATC.TaxOthProvCurrAssYr">[6]EI_MAT!$H$41</definedName>
    <definedName name="MATC.TaxUs115JBCurrAssYr">[6]EI_MAT!$H$40</definedName>
    <definedName name="Maximum_DER">'[40]SBI - PFSBU - P90'!$A$52</definedName>
    <definedName name="mdno">'[15]Core Assumptions'!$D$218</definedName>
    <definedName name="Melawan_Transport_Base" localSheetId="3">#REF!</definedName>
    <definedName name="Melawan_Transport_Base" localSheetId="4">#REF!</definedName>
    <definedName name="Melawan_Transport_Base" localSheetId="6">#REF!</definedName>
    <definedName name="Melawan_Transport_Base">#REF!</definedName>
    <definedName name="Melawan_Transport_SEN" localSheetId="3">#REF!</definedName>
    <definedName name="Melawan_Transport_SEN" localSheetId="4">#REF!</definedName>
    <definedName name="Melawan_Transport_SEN" localSheetId="6">#REF!</definedName>
    <definedName name="Melawan_Transport_SEN">#REF!</definedName>
    <definedName name="MelawanEsc_Base" localSheetId="3">#REF!</definedName>
    <definedName name="MelawanEsc_Base" localSheetId="4">#REF!</definedName>
    <definedName name="MelawanEsc_Base" localSheetId="6">#REF!</definedName>
    <definedName name="MelawanEsc_Base">#REF!</definedName>
    <definedName name="MelawanEsc_SEN" localSheetId="4">#REF!</definedName>
    <definedName name="MelawanEsc_SEN">#REF!</definedName>
    <definedName name="Melawanprice_Base" localSheetId="4">#REF!</definedName>
    <definedName name="Melawanprice_Base">#REF!</definedName>
    <definedName name="MelawanPrice_SEN" localSheetId="4">#REF!</definedName>
    <definedName name="MelawanPrice_SEN">#REF!</definedName>
    <definedName name="MERCOps">'[15]Core Assumptions'!$H$161:$AS$171</definedName>
    <definedName name="MERCType">'[15]Core Assumptions'!$C$163:$E$171</definedName>
    <definedName name="Methods">#REF!</definedName>
    <definedName name="millions">1000000</definedName>
    <definedName name="Min_SPV" localSheetId="3">#REF!</definedName>
    <definedName name="Min_SPV" localSheetId="4">#REF!</definedName>
    <definedName name="Min_SPV" localSheetId="6">#REF!</definedName>
    <definedName name="Min_SPV">#REF!</definedName>
    <definedName name="Minimum_DSCR">[23]Assumptions!$I$32</definedName>
    <definedName name="Minimum_FACR">'[40]SBI - PFSBU - P90'!$A$47</definedName>
    <definedName name="Minimum_ICR">'[40]SBI - PFSBU - P90'!$A$46</definedName>
    <definedName name="minq1">[6]Calculator!$O$9</definedName>
    <definedName name="minq2">[6]Calculator!$O$10</definedName>
    <definedName name="MISC">#REF!</definedName>
    <definedName name="MIX_ECO">[11]Assumptions!$D$92</definedName>
    <definedName name="Mix_Eco_Base" localSheetId="3">#REF!</definedName>
    <definedName name="Mix_Eco_Base" localSheetId="4">#REF!</definedName>
    <definedName name="Mix_Eco_Base" localSheetId="6">#REF!</definedName>
    <definedName name="Mix_Eco_Base">#REF!</definedName>
    <definedName name="Mix_Eco_Sen" localSheetId="3">#REF!</definedName>
    <definedName name="Mix_Eco_Sen" localSheetId="4">#REF!</definedName>
    <definedName name="Mix_Eco_Sen" localSheetId="6">#REF!</definedName>
    <definedName name="Mix_Eco_Sen">#REF!</definedName>
    <definedName name="MIX_MEL">[11]Assumptions!$C$92</definedName>
    <definedName name="Mix_Melawan_Base" localSheetId="3">#REF!</definedName>
    <definedName name="Mix_Melawan_Base" localSheetId="4">#REF!</definedName>
    <definedName name="Mix_Melawan_Base" localSheetId="6">#REF!</definedName>
    <definedName name="Mix_Melawan_Base">#REF!</definedName>
    <definedName name="Mix_Melawan_SEN" localSheetId="3">#REF!</definedName>
    <definedName name="Mix_Melawan_SEN" localSheetId="4">#REF!</definedName>
    <definedName name="Mix_Melawan_SEN" localSheetId="6">#REF!</definedName>
    <definedName name="Mix_Melawan_SEN">#REF!</definedName>
    <definedName name="mktvalue97">#REF!</definedName>
    <definedName name="mmac">'[15]Core Assumptions'!$E$220</definedName>
    <definedName name="mmno">'[15]Core Assumptions'!$C$218</definedName>
    <definedName name="MN">[11]Indices!$B$172</definedName>
    <definedName name="Monetary_Precision">#REF!</definedName>
    <definedName name="Month">#REF!</definedName>
    <definedName name="MOTORCAR">#REF!</definedName>
    <definedName name="mould">#REF!</definedName>
    <definedName name="mrk">#REF!</definedName>
    <definedName name="mtax">'[15]Core Assumptions'!$D$51</definedName>
    <definedName name="mva">#REF!</definedName>
    <definedName name="myDialog">"dial"</definedName>
    <definedName name="NA_Average">[16]List_ratios!#REF!</definedName>
    <definedName name="name">[66]Company!$C$16</definedName>
    <definedName name="NDC">[6]Calculator!$M$47</definedName>
    <definedName name="new" localSheetId="3" hidden="1">[67]CE!#REF!</definedName>
    <definedName name="new" localSheetId="4" hidden="1">[67]CE!#REF!</definedName>
    <definedName name="new" localSheetId="6" hidden="1">[67]CE!#REF!</definedName>
    <definedName name="new" hidden="1">[67]CE!#REF!</definedName>
    <definedName name="New_Zealand">[16]List_ratios!#REF!</definedName>
    <definedName name="NEWLINE">'[15]Core Assumptions'!$C$251</definedName>
    <definedName name="newmr">[6]Calculator!$P$5</definedName>
    <definedName name="nnkklj" localSheetId="3">#REF!</definedName>
    <definedName name="nnkklj" localSheetId="4">#REF!</definedName>
    <definedName name="nnkklj" localSheetId="6">#REF!</definedName>
    <definedName name="nnkklj">#REF!</definedName>
    <definedName name="NO_G" localSheetId="3">#REF!</definedName>
    <definedName name="NO_G" localSheetId="4">#REF!</definedName>
    <definedName name="NO_G" localSheetId="6">#REF!</definedName>
    <definedName name="NO_G">#REF!</definedName>
    <definedName name="nonop">[8]Capital!$Q$82:$Q$88</definedName>
    <definedName name="NOPAT">#REF!</definedName>
    <definedName name="nopat97">#REF!</definedName>
    <definedName name="nopatadj">#REF!</definedName>
    <definedName name="nopatcapital97">#REF!</definedName>
    <definedName name="NOPATLink">[29]Nopat_by_Years_Valuation!$B$8</definedName>
    <definedName name="nopatsales97">#REF!</definedName>
    <definedName name="norms">#REF!</definedName>
    <definedName name="ntax">'[15]Core Assumptions'!$E$51</definedName>
    <definedName name="Num_Pmt_Per_Year">#REF!</definedName>
    <definedName name="Number_of_Payments">MATCH(0.01,End_Bal,-1)+1</definedName>
    <definedName name="O" localSheetId="3">#REF!</definedName>
    <definedName name="O" localSheetId="4">#REF!</definedName>
    <definedName name="O" localSheetId="6">#REF!</definedName>
    <definedName name="O">#REF!</definedName>
    <definedName name="oandm_var_mod">[23]Assumptions!$L$40</definedName>
    <definedName name="oc">[68]Sensitivity!$J$12</definedName>
    <definedName name="oldsur_usincome">[6]Calculator!$P$4</definedName>
    <definedName name="Olklkk" localSheetId="3">#REF!</definedName>
    <definedName name="Olklkk" localSheetId="4">#REF!</definedName>
    <definedName name="Olklkk" localSheetId="6">#REF!</definedName>
    <definedName name="Olklkk">#REF!</definedName>
    <definedName name="OM.5" localSheetId="3">#REF!</definedName>
    <definedName name="OM.5" localSheetId="4">#REF!</definedName>
    <definedName name="OM.5" localSheetId="6">#REF!</definedName>
    <definedName name="OM.5">#REF!</definedName>
    <definedName name="OM_1" localSheetId="3">#REF!</definedName>
    <definedName name="OM_1" localSheetId="4">#REF!</definedName>
    <definedName name="OM_1" localSheetId="6">#REF!</definedName>
    <definedName name="OM_1">#REF!</definedName>
    <definedName name="OM_1.5" localSheetId="4">#REF!</definedName>
    <definedName name="OM_1.5">#REF!</definedName>
    <definedName name="OM_2" localSheetId="4">#REF!</definedName>
    <definedName name="OM_2">#REF!</definedName>
    <definedName name="OM_2.5" localSheetId="4">#REF!</definedName>
    <definedName name="OM_2.5">#REF!</definedName>
    <definedName name="OM_3" localSheetId="4">#REF!</definedName>
    <definedName name="OM_3">#REF!</definedName>
    <definedName name="ONM_Base" localSheetId="4">#REF!</definedName>
    <definedName name="ONM_Base">#REF!</definedName>
    <definedName name="ONM_SEN" localSheetId="4">#REF!</definedName>
    <definedName name="ONM_SEN">#REF!</definedName>
    <definedName name="order_value" localSheetId="4">#REF!</definedName>
    <definedName name="order_value">#REF!</definedName>
    <definedName name="os.BalanceNoRaceHorse">[6]CG_OS!$J$91</definedName>
    <definedName name="os.BalanceOwnRaceHorse">[6]CG_OS!$J$97</definedName>
    <definedName name="os.DeductSec57">[6]CG_OS!$H$96</definedName>
    <definedName name="os.Receipts">[6]CG_OS!$H$95</definedName>
    <definedName name="os.TotalOSGross">[6]CG_OS!$J$86</definedName>
    <definedName name="os.TotDeductions">[6]CG_OS!$H$90</definedName>
    <definedName name="os.TotOthSrcNoRaceHorse">[6]CG_OS!$J$93</definedName>
    <definedName name="os.WinLottRacePuzz">[6]CG_OS!$J$92</definedName>
    <definedName name="osloss1.unabs">'[6]CYLA BFLA'!$F$61</definedName>
    <definedName name="otherosincome">'[6]CYLA BFLA'!$O$15</definedName>
    <definedName name="otherosincome.bf">'[6]CYLA BFLA'!$AF$15</definedName>
    <definedName name="otherosincome.bp">'[6]CYLA BFLA'!$AB$15</definedName>
    <definedName name="otherosincome.hp">'[6]CYLA BFLA'!$X$15</definedName>
    <definedName name="otherosincome.ih">'[6]CYLA BFLA'!$Q$15</definedName>
    <definedName name="otherosincome.os">'[6]CYLA BFLA'!$T$15</definedName>
    <definedName name="otherosincome.rem">'[6]CYLA BFLA'!$AO$12</definedName>
    <definedName name="otherosloss">'[6]CYLA BFLA'!$P$15</definedName>
    <definedName name="otherosloss.aftbfl">'[6]CYLA BFLA'!$AH$15</definedName>
    <definedName name="otherosloss.bf">'[6]CYLA BFLA'!$AE$15</definedName>
    <definedName name="otherosloss.bfadj">'[6]CYLA BFLA'!$AG$15</definedName>
    <definedName name="otherosloss.bp">'[6]CYLA BFLA'!$AD$15</definedName>
    <definedName name="otherosloss.hp">'[6]CYLA BFLA'!$Z$15</definedName>
    <definedName name="otherosloss.ih">'[6]CYLA BFLA'!$R$15</definedName>
    <definedName name="otherosloss.os">'[6]CYLA BFLA'!$V$15</definedName>
    <definedName name="otherosloss.unabs">'[6]CYLA BFLA'!$AN$12</definedName>
    <definedName name="OTHERS">#REF!</definedName>
    <definedName name="OTHLIAB">#REF!</definedName>
    <definedName name="othSecinclnlhrs.IncOfCurYrAfterSetOff3">'[6]CYLA BFLA'!$H$12</definedName>
    <definedName name="othSecinclnlhrs.IncOfCurYrUnderThatHead3">'[6]CYLA BFLA'!$D$12</definedName>
    <definedName name="othsrcincl.BFlossPrevYrUndSameHeadSetoff5">'[6]CYLA BFLA'!$E$26</definedName>
    <definedName name="othsrcincl.BFUnabsorbedDeprSetoff5">'[6]CYLA BFLA'!$F$26</definedName>
    <definedName name="OUTPUT_AREA">#REF!</definedName>
    <definedName name="Outputs">#REF!</definedName>
    <definedName name="P" localSheetId="4">#REF!</definedName>
    <definedName name="P">#REF!</definedName>
    <definedName name="P_L">#REF!</definedName>
    <definedName name="P_M">#REF!</definedName>
    <definedName name="P90_var_mod">[23]Assumptions!$L$41</definedName>
    <definedName name="PAF">[11]Assumptions!$C$44</definedName>
    <definedName name="PAF_Base" localSheetId="3">#REF!</definedName>
    <definedName name="PAF_Base" localSheetId="4">#REF!</definedName>
    <definedName name="PAF_Base" localSheetId="6">#REF!</definedName>
    <definedName name="PAF_Base">#REF!</definedName>
    <definedName name="PAF_SEN" localSheetId="3">#REF!</definedName>
    <definedName name="PAF_SEN" localSheetId="4">#REF!</definedName>
    <definedName name="PAF_SEN" localSheetId="6">#REF!</definedName>
    <definedName name="PAF_SEN">#REF!</definedName>
    <definedName name="PAGE1" localSheetId="3">#REF!</definedName>
    <definedName name="PAGE1" localSheetId="4">#REF!</definedName>
    <definedName name="PAGE1" localSheetId="6">#REF!</definedName>
    <definedName name="PAGE1">#REF!</definedName>
    <definedName name="page10" localSheetId="4">#REF!</definedName>
    <definedName name="page10">#REF!</definedName>
    <definedName name="PAGE10_6" localSheetId="4">#REF!</definedName>
    <definedName name="PAGE10_6">#REF!</definedName>
    <definedName name="PAGE11_6" localSheetId="4">#REF!</definedName>
    <definedName name="PAGE11_6">#REF!</definedName>
    <definedName name="PAGE12_6" localSheetId="4">#REF!</definedName>
    <definedName name="PAGE12_6">#REF!</definedName>
    <definedName name="PAGE14" localSheetId="4">#REF!</definedName>
    <definedName name="PAGE14">#REF!</definedName>
    <definedName name="PAGE15" localSheetId="4">#REF!</definedName>
    <definedName name="PAGE15">#REF!</definedName>
    <definedName name="PAGE16" localSheetId="4">#REF!</definedName>
    <definedName name="PAGE16">#REF!</definedName>
    <definedName name="PAGE17" localSheetId="4">#REF!</definedName>
    <definedName name="PAGE17">#REF!</definedName>
    <definedName name="PAGE18" localSheetId="4">#REF!</definedName>
    <definedName name="PAGE18">#REF!</definedName>
    <definedName name="PAGE19" localSheetId="4">#REF!</definedName>
    <definedName name="PAGE19">#REF!</definedName>
    <definedName name="PAGE2" localSheetId="4">#REF!</definedName>
    <definedName name="PAGE2">#REF!</definedName>
    <definedName name="PAGE2_6" localSheetId="4">#REF!</definedName>
    <definedName name="PAGE2_6">#REF!</definedName>
    <definedName name="PAGE20" localSheetId="4">#REF!</definedName>
    <definedName name="PAGE20">#REF!</definedName>
    <definedName name="PAGE21" localSheetId="4">#REF!</definedName>
    <definedName name="PAGE21">#REF!</definedName>
    <definedName name="PAGE210" localSheetId="4">#REF!</definedName>
    <definedName name="PAGE210">#REF!</definedName>
    <definedName name="PAGE22" localSheetId="4">#REF!</definedName>
    <definedName name="PAGE22">#REF!</definedName>
    <definedName name="PAGE23" localSheetId="4">#REF!</definedName>
    <definedName name="PAGE23">#REF!</definedName>
    <definedName name="PAGE24" localSheetId="4">#REF!</definedName>
    <definedName name="PAGE24">#REF!</definedName>
    <definedName name="PAGE25" localSheetId="4">#REF!</definedName>
    <definedName name="PAGE25">#REF!</definedName>
    <definedName name="PAGE26" localSheetId="4">#REF!</definedName>
    <definedName name="PAGE26">#REF!</definedName>
    <definedName name="PAGE27" localSheetId="4">#REF!</definedName>
    <definedName name="PAGE27">#REF!</definedName>
    <definedName name="PAGE28" localSheetId="4">#REF!</definedName>
    <definedName name="PAGE28">#REF!</definedName>
    <definedName name="PAGE29" localSheetId="4">#REF!</definedName>
    <definedName name="PAGE29">#REF!</definedName>
    <definedName name="PAGE3_6" localSheetId="4">#REF!</definedName>
    <definedName name="PAGE3_6">#REF!</definedName>
    <definedName name="page34" localSheetId="4">#REF!</definedName>
    <definedName name="page34">#REF!</definedName>
    <definedName name="Page35" localSheetId="4">#REF!</definedName>
    <definedName name="Page35">#REF!</definedName>
    <definedName name="PAGE4_6" localSheetId="4">#REF!</definedName>
    <definedName name="PAGE4_6">#REF!</definedName>
    <definedName name="PAGE5_6" localSheetId="4">#REF!</definedName>
    <definedName name="PAGE5_6">#REF!</definedName>
    <definedName name="page50" localSheetId="4">#REF!</definedName>
    <definedName name="page50">#REF!</definedName>
    <definedName name="page51" localSheetId="4">#REF!</definedName>
    <definedName name="page51">#REF!</definedName>
    <definedName name="page52" localSheetId="4">#REF!</definedName>
    <definedName name="page52">#REF!</definedName>
    <definedName name="PAGE6" localSheetId="4">#REF!</definedName>
    <definedName name="PAGE6">#REF!</definedName>
    <definedName name="PAGE6_6" localSheetId="4">#REF!</definedName>
    <definedName name="PAGE6_6">#REF!</definedName>
    <definedName name="PAGE7" localSheetId="4">#REF!</definedName>
    <definedName name="PAGE7">#REF!</definedName>
    <definedName name="PAGE7_6" localSheetId="4">#REF!</definedName>
    <definedName name="PAGE7_6">#REF!</definedName>
    <definedName name="PAGE8" localSheetId="4">#REF!</definedName>
    <definedName name="PAGE8">#REF!</definedName>
    <definedName name="PAGE8_6U1A" localSheetId="4">#REF!</definedName>
    <definedName name="PAGE8_6U1A">#REF!</definedName>
    <definedName name="PAGE8_6U1B" localSheetId="4">#REF!</definedName>
    <definedName name="PAGE8_6U1B">#REF!</definedName>
    <definedName name="PAGE8_6U2A" localSheetId="4">#REF!</definedName>
    <definedName name="PAGE8_6U2A">#REF!</definedName>
    <definedName name="PAGE8_6U2B" localSheetId="4">#REF!</definedName>
    <definedName name="PAGE8_6U2B">#REF!</definedName>
    <definedName name="PAGE8_6U3A" localSheetId="4">#REF!</definedName>
    <definedName name="PAGE8_6U3A">#REF!</definedName>
    <definedName name="PAGE8_6U3B" localSheetId="4">#REF!</definedName>
    <definedName name="PAGE8_6U3B">#REF!</definedName>
    <definedName name="PAGE9" localSheetId="4">#REF!</definedName>
    <definedName name="PAGE9">#REF!</definedName>
    <definedName name="PAGE9_6" localSheetId="4">#REF!</definedName>
    <definedName name="PAGE9_6">#REF!</definedName>
    <definedName name="PandL">#REF!</definedName>
    <definedName name="PART1">#REF!</definedName>
    <definedName name="partc.AggreFBTLiability">[6]PART_C!$J$17</definedName>
    <definedName name="partc.DefaultFileUs115WK">[6]PART_C!$H$15</definedName>
    <definedName name="partc.DefaultPayUs115WJ3">[6]PART_C!$H$14</definedName>
    <definedName name="partc.EducationCess">[6]PART_C!$J$11</definedName>
    <definedName name="partc.FBTPayable">[6]PART_C!$J$9</definedName>
    <definedName name="partc.SurchargeOnFBT">[6]PART_C!$J$10</definedName>
    <definedName name="partc.TotalTaxesPaid">[6]PART_C!$J$21</definedName>
    <definedName name="partc.TotFBTInterestPayable">[6]PART_C!$J$16</definedName>
    <definedName name="partc.TotFBTLiability">[6]PART_C!$J$12</definedName>
    <definedName name="partc.TotValueOfFBT">[6]PART_C!$J$8</definedName>
    <definedName name="PASTE_LoanCOALSPV" localSheetId="3">#REF!</definedName>
    <definedName name="PASTE_LoanCOALSPV" localSheetId="4">#REF!</definedName>
    <definedName name="PASTE_LoanCOALSPV" localSheetId="6">#REF!</definedName>
    <definedName name="PASTE_LoanCOALSPV">#REF!</definedName>
    <definedName name="Pay_Date">#REF!</definedName>
    <definedName name="Pay_Num">#REF!</definedName>
    <definedName name="Payment_Date">DATE(YEAR(Loan_Start),MONTH(Loan_Start)+Payment_Number,DAY(Loan_Start))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[58]Sensitivity!$F$9</definedName>
    <definedName name="PC_1" localSheetId="3">#REF!</definedName>
    <definedName name="PC_1" localSheetId="4">#REF!</definedName>
    <definedName name="PC_1" localSheetId="6">#REF!</definedName>
    <definedName name="PC_1">#REF!</definedName>
    <definedName name="PC_2" localSheetId="4">#REF!</definedName>
    <definedName name="PC_2">#REF!</definedName>
    <definedName name="PC_3" localSheetId="4">#REF!</definedName>
    <definedName name="PC_3">#REF!</definedName>
    <definedName name="PC_4" localSheetId="4">#REF!</definedName>
    <definedName name="PC_4">#REF!</definedName>
    <definedName name="PC_5" localSheetId="4">#REF!</definedName>
    <definedName name="PC_5">#REF!</definedName>
    <definedName name="PC_6" localSheetId="4">#REF!</definedName>
    <definedName name="PC_6">#REF!</definedName>
    <definedName name="PEHigh">[46]Factset!$IU$29</definedName>
    <definedName name="PELow">[46]Factset!$IU$30</definedName>
    <definedName name="Per10080G.DonationAmt">'[6]80G'!$I$4:$I$8</definedName>
    <definedName name="Per10080G.EligibleAmt">'[6]80G'!$J$4:$J$8</definedName>
    <definedName name="Per10080G.TotDon100Percent">'[6]80G'!$I$10</definedName>
    <definedName name="Per10080G.TotElig100Percent">'[6]80G'!$J$10</definedName>
    <definedName name="Per5080G.DonationAmt">'[6]80G'!$I$50:$I$54</definedName>
    <definedName name="Per5080G.EligibleAmt">'[6]80G'!$J$50:$J$54</definedName>
    <definedName name="Per5080G.TotalEligibleDonationsUs80G">'[6]80G'!$J$61</definedName>
    <definedName name="Per5080G.TotDon100Percent">'[6]80G'!$I$56</definedName>
    <definedName name="Per5080G.TotElig100Percent">'[6]80G'!$J$56</definedName>
    <definedName name="Percent_Threshold">#REF!</definedName>
    <definedName name="periodcerc">'[15]Core Assumptions'!$G$220</definedName>
    <definedName name="periodmerc">'[15]Core Assumptions'!$G$219</definedName>
    <definedName name="PerNO5080G.DonationAmt">'[6]80G'!$I$18:$I$22</definedName>
    <definedName name="PerNO5080G.EligibleAmtCalc">'[6]80G'!$O$18:$O$22</definedName>
    <definedName name="PerNO5080G.TotDon100Percent">'[6]80G'!$I$24</definedName>
    <definedName name="PerNO5080G.TotElig100Percent">'[6]80G'!$J$24</definedName>
    <definedName name="PerYES10080G.DonationAmt">'[6]80G'!$I$34:$I$38</definedName>
    <definedName name="PerYES10080G.EligibleAmt">'[6]80G'!$J$34:$J$38</definedName>
    <definedName name="PerYES10080G.TotDon100Percent">'[6]80G'!$I$40</definedName>
    <definedName name="PerYES10080G.TotElig100Percent">'[6]80G'!$J$40</definedName>
    <definedName name="Philippines_PLDT">[16]List_ratios!#REF!</definedName>
    <definedName name="PIC">"Picture 1"</definedName>
    <definedName name="PKG.CHGS.">#REF!</definedName>
    <definedName name="PKTCLHold">'[15]Core Assumptions'!$C$361</definedName>
    <definedName name="PKTCLOGI">'[15]Core Assumptions'!$G$361</definedName>
    <definedName name="PL" localSheetId="3">#REF!</definedName>
    <definedName name="PL" localSheetId="4">#REF!</definedName>
    <definedName name="PL" localSheetId="6">#REF!</definedName>
    <definedName name="PL">#REF!</definedName>
    <definedName name="PL.BalBFPrevYr">[6]PROFIT_LOSS!$J$96</definedName>
    <definedName name="PL.BusinessReceipts">[6]PROFIT_LOSS!$J$2</definedName>
    <definedName name="PL.ClosingStock">[6]PROFIT_LOSS!$J$21</definedName>
    <definedName name="PL.DepreciationAmort">[6]PROFIT_LOSS!$J$90</definedName>
    <definedName name="PL.Expenses">[6]PROFIT_LOSS!$J$108</definedName>
    <definedName name="PL.GrossProfit">[6]PROFIT_LOSS!$J$107</definedName>
    <definedName name="PL.InterestExpdr">[6]PROFIT_LOSS!$J$89</definedName>
    <definedName name="PL.NetProfit">[6]PROFIT_LOSS!$J$109</definedName>
    <definedName name="PL.PBIDTA">[6]PROFIT_LOSS!$J$88</definedName>
    <definedName name="PL.PBT">[6]PROFIT_LOSS!$J$91</definedName>
    <definedName name="PL.ProfitAfterTax">[6]PROFIT_LOSS!$J$95</definedName>
    <definedName name="PL.TotCreditsToPL">[6]PROFIT_LOSS!$J$22</definedName>
    <definedName name="PL.TotOthIncome">[6]PROFIT_LOSS!$J$20</definedName>
    <definedName name="PLAN">[69]PLAN!$A$2:$A$32</definedName>
    <definedName name="PLAN_LIST">[69]PLAN!$A$2:$A$65536</definedName>
    <definedName name="plan1">[57]Input!$B$159</definedName>
    <definedName name="plan10">[57]Input!$K$159</definedName>
    <definedName name="plan2">[57]Input!$C$159</definedName>
    <definedName name="plan3">[57]Input!$D$159</definedName>
    <definedName name="plan4">[57]Input!$E$159</definedName>
    <definedName name="plan5">[57]Input!$F$159</definedName>
    <definedName name="plan6">[57]Input!$G$159</definedName>
    <definedName name="plan7">[57]Input!$H$159</definedName>
    <definedName name="plan8">[57]Input!$I$159</definedName>
    <definedName name="plan9">[57]Input!$J$159</definedName>
    <definedName name="plant">'[70]Freehold Land '!$A$6:$L$10</definedName>
    <definedName name="PLANT_LIST">[71]PLANT!$D$2:$D$65504</definedName>
    <definedName name="PLANT_TYPE_LIST">[71]PLANT_TYPE!$A$2:$A$65536</definedName>
    <definedName name="PLCrEx.TotExciseCustomsVAT">[6]PROFIT_LOSS!$J$8</definedName>
    <definedName name="PLF">[11]Assumptions!$C$45</definedName>
    <definedName name="PLF_Base" localSheetId="3">#REF!</definedName>
    <definedName name="PLF_Base" localSheetId="4">#REF!</definedName>
    <definedName name="PLF_Base" localSheetId="6">#REF!</definedName>
    <definedName name="PLF_Base">#REF!</definedName>
    <definedName name="PLF_SEN" localSheetId="3">#REF!</definedName>
    <definedName name="PLF_SEN" localSheetId="4">#REF!</definedName>
    <definedName name="PLF_SEN" localSheetId="6">#REF!</definedName>
    <definedName name="PLF_SEN">#REF!</definedName>
    <definedName name="Pop_Ratio" localSheetId="3">#REF!</definedName>
    <definedName name="Pop_Ratio" localSheetId="4">#REF!</definedName>
    <definedName name="Pop_Ratio" localSheetId="6">#REF!</definedName>
    <definedName name="Pop_Ratio">#REF!</definedName>
    <definedName name="POST">#REF!</definedName>
    <definedName name="POWER">#REF!</definedName>
    <definedName name="power_existing_furnace">[36]Assum!$C$362:$M$374</definedName>
    <definedName name="power_new_furnace">[36]Assum!$C$377:$M$389</definedName>
    <definedName name="ppp">'[8]Print Menu'!$A$5</definedName>
    <definedName name="pptt">[57]b!$C$11</definedName>
    <definedName name="PR_RTL">[11]Input!$C$34</definedName>
    <definedName name="Premium" localSheetId="3">#REF!</definedName>
    <definedName name="Premium" localSheetId="4">#REF!</definedName>
    <definedName name="Premium" localSheetId="6">#REF!</definedName>
    <definedName name="Premium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F_1" localSheetId="3">#REF!</definedName>
    <definedName name="PRF_1" localSheetId="4">#REF!</definedName>
    <definedName name="PRF_1" localSheetId="6">#REF!</definedName>
    <definedName name="PRF_1">#REF!</definedName>
    <definedName name="PRF_2_P1" localSheetId="3">#REF!</definedName>
    <definedName name="PRF_2_P1" localSheetId="4">#REF!</definedName>
    <definedName name="PRF_2_P1" localSheetId="6">#REF!</definedName>
    <definedName name="PRF_2_P1">#REF!</definedName>
    <definedName name="PRF_2_P2" localSheetId="4">#REF!</definedName>
    <definedName name="PRF_2_P2">#REF!</definedName>
    <definedName name="PRF_3_AN1" localSheetId="4">#REF!</definedName>
    <definedName name="PRF_3_AN1">#REF!</definedName>
    <definedName name="PRF_3_AN2" localSheetId="4">#REF!</definedName>
    <definedName name="PRF_3_AN2">#REF!</definedName>
    <definedName name="PRF_3_AN3" localSheetId="4">#REF!</definedName>
    <definedName name="PRF_3_AN3">#REF!</definedName>
    <definedName name="price97">#REF!</definedName>
    <definedName name="Princ">#REF!</definedName>
    <definedName name="Print">'[72]Annex 1 &amp; 2'!$A$1:$H$65</definedName>
    <definedName name="Print_Accounts_lacs">#REF!</definedName>
    <definedName name="_xlnm.Print_Area" localSheetId="3">#REF!</definedName>
    <definedName name="_xlnm.Print_Area" localSheetId="4">'[73]Dep It'!#REF!</definedName>
    <definedName name="_xlnm.Print_Area" localSheetId="6">#REF!</definedName>
    <definedName name="_xlnm.Print_Area">#REF!</definedName>
    <definedName name="Print_Area_2">#REF!</definedName>
    <definedName name="Print_Area_3">#REF!</definedName>
    <definedName name="Print_Area_5">'[72]Opening Balance'!#REF!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>#REF!</definedName>
    <definedName name="Print_Area_Reset">OFFSET(Full_Print,0,0,Last_Row)</definedName>
    <definedName name="Print_Details">#REF!</definedName>
    <definedName name="Print_Hotels">#REF!</definedName>
    <definedName name="Print_Range">#REF!</definedName>
    <definedName name="Print_Title">#REF!</definedName>
    <definedName name="_xlnm.Print_Titles">#REF!</definedName>
    <definedName name="Print_Titles_MI">#REF!,#REF!</definedName>
    <definedName name="Printed_Accounts">#REF!</definedName>
    <definedName name="PUB">#REF!</definedName>
    <definedName name="PUB_UserID" hidden="1">"MAYERX"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>'[74]A 3.7'!$I$35,'[74]A 3.7'!$I$44</definedName>
    <definedName name="Qtr1F">[6]IT_DDTP!$X$29</definedName>
    <definedName name="Qtr2F">[6]IT_DDTP!$Y$29</definedName>
    <definedName name="Qtr3F">[6]IT_DDTP!$Z$29</definedName>
    <definedName name="Qtr4F">[6]IT_DDTP!$AA$29</definedName>
    <definedName name="Qtr5F">[6]IT_DDTP!$AB$29</definedName>
    <definedName name="QualifyingAmount80G">'[6]80G'!$N$1</definedName>
    <definedName name="quickfield">#REF!</definedName>
    <definedName name="R_Factor">#REF!</definedName>
    <definedName name="racehorseincome.bf">'[6]CYLA BFLA'!$AF$14</definedName>
    <definedName name="racehorseincome.bp">'[6]CYLA BFLA'!$AB$14</definedName>
    <definedName name="racehorseincome.hp">'[6]CYLA BFLA'!$X$14</definedName>
    <definedName name="racehorseincome.ih">'[6]CYLA BFLA'!$Q$14</definedName>
    <definedName name="racehorseincome.os">'[6]CYLA BFLA'!$T$14</definedName>
    <definedName name="racehorseincome.rem">'[6]CYLA BFLA'!$AO$14</definedName>
    <definedName name="racehorseloss.aftbfl">'[6]CYLA BFLA'!$AH$14</definedName>
    <definedName name="racehorseloss.bf">'[6]CYLA BFLA'!$AE$14</definedName>
    <definedName name="racehorseloss.bfadj">'[6]CYLA BFLA'!$AG$14</definedName>
    <definedName name="racehorseloss.bp">'[6]CYLA BFLA'!$AD$14</definedName>
    <definedName name="racehorseloss.hp">'[6]CYLA BFLA'!$Z$14</definedName>
    <definedName name="racehorseloss.ih">'[6]CYLA BFLA'!$R$14</definedName>
    <definedName name="racehorseloss.os">'[6]CYLA BFLA'!$V$14</definedName>
    <definedName name="racehorseloss.unabs">'[6]CYLA BFLA'!$AN$14</definedName>
    <definedName name="racehorseosincome">'[6]CYLA BFLA'!$O$14</definedName>
    <definedName name="racehorseosloss">'[6]CYLA BFLA'!$P$14</definedName>
    <definedName name="RATE">#REF!</definedName>
    <definedName name="RAUX" localSheetId="3">#REF!</definedName>
    <definedName name="RAUX" localSheetId="4">#REF!</definedName>
    <definedName name="RAUX" localSheetId="6">#REF!</definedName>
    <definedName name="RAUX">#REF!</definedName>
    <definedName name="RAWMAT">'[47]Data Input'!$B$195:$P$272</definedName>
    <definedName name="RBASE" localSheetId="3">#REF!</definedName>
    <definedName name="RBASE" localSheetId="4">#REF!</definedName>
    <definedName name="RBASE" localSheetId="6">#REF!</definedName>
    <definedName name="RBASE">#REF!</definedName>
    <definedName name="RCAP" localSheetId="3">#REF!</definedName>
    <definedName name="RCAP" localSheetId="4">#REF!</definedName>
    <definedName name="RCAP" localSheetId="6">#REF!</definedName>
    <definedName name="RCAP">#REF!</definedName>
    <definedName name="RCERC" localSheetId="4">#REF!</definedName>
    <definedName name="RCERC">#REF!</definedName>
    <definedName name="RCOALCOST" localSheetId="4">#REF!</definedName>
    <definedName name="RCOALCOST">#REF!</definedName>
    <definedName name="RCoalScenario" localSheetId="4">#REF!</definedName>
    <definedName name="RCoalScenario">#REF!</definedName>
    <definedName name="rdterm">#REF!</definedName>
    <definedName name="Rebate_AgriInc_Calc">[6]Calculator!$D$18</definedName>
    <definedName name="recap_dividend">"Picture 69"</definedName>
    <definedName name="recap_repurchase">"Picture 64"</definedName>
    <definedName name="RECOMMENDATION">" 
"</definedName>
    <definedName name="_xlnm.Recorder">#REF!</definedName>
    <definedName name="Red_Tariff_.25" localSheetId="3">#REF!</definedName>
    <definedName name="Red_Tariff_.25" localSheetId="4">#REF!</definedName>
    <definedName name="Red_Tariff_.25" localSheetId="6">#REF!</definedName>
    <definedName name="Red_Tariff_.25">#REF!</definedName>
    <definedName name="Red_Tariff_.5" localSheetId="3">#REF!</definedName>
    <definedName name="Red_Tariff_.5" localSheetId="4">#REF!</definedName>
    <definedName name="Red_Tariff_.5" localSheetId="6">#REF!</definedName>
    <definedName name="Red_Tariff_.5">#REF!</definedName>
    <definedName name="Ref_1">[75]PyrllDeduc!#REF!</definedName>
    <definedName name="Ref_2">[76]Year_End!#REF!</definedName>
    <definedName name="Ref_3">#REF!</definedName>
    <definedName name="Ref_4">'[77]Price Testing - Used - 1'!#REF!</definedName>
    <definedName name="Ref_5">'[77]Price Testing - Used - 1'!#REF!</definedName>
    <definedName name="Ref_6">'[77]Price Testing - Used - 1'!#REF!</definedName>
    <definedName name="refin" localSheetId="3">#REF!</definedName>
    <definedName name="refin" localSheetId="4">#REF!</definedName>
    <definedName name="refin" localSheetId="6">#REF!</definedName>
    <definedName name="refin">#REF!</definedName>
    <definedName name="Reinvest">#REF!</definedName>
    <definedName name="REmpExp" localSheetId="4">#REF!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c_Melawan" localSheetId="3">#REF!</definedName>
    <definedName name="REsc_Melawan" localSheetId="4">#REF!</definedName>
    <definedName name="REsc_Melawan" localSheetId="6">#REF!</definedName>
    <definedName name="REsc_Melawan">#REF!</definedName>
    <definedName name="reserve_rate">'[45]Core Assumptions'!$F$48</definedName>
    <definedName name="Residual_difference">#REF!</definedName>
    <definedName name="return">NOPAT/capital</definedName>
    <definedName name="return1">nopat1/capital1</definedName>
    <definedName name="RevLine">[16]List_ratios!#REF!</definedName>
    <definedName name="RevMultipleHigh">[46]Factset!$IU$23</definedName>
    <definedName name="RevMultipleLow">[46]Factset!$IU$24</definedName>
    <definedName name="RevYee">[16]List_ratios!#REF!</definedName>
    <definedName name="RFHandling" localSheetId="3">#REF!</definedName>
    <definedName name="RFHandling" localSheetId="4">#REF!</definedName>
    <definedName name="RFHandling" localSheetId="6">#REF!</definedName>
    <definedName name="RFHandling">#REF!</definedName>
    <definedName name="RFOREX" localSheetId="3">#REF!</definedName>
    <definedName name="RFOREX" localSheetId="4">#REF!</definedName>
    <definedName name="RFOREX" localSheetId="6">#REF!</definedName>
    <definedName name="RFOREX">#REF!</definedName>
    <definedName name="RFUEL" localSheetId="3">#REF!</definedName>
    <definedName name="RFUEL" localSheetId="4">#REF!</definedName>
    <definedName name="RFUEL" localSheetId="6">#REF!</definedName>
    <definedName name="RFUEL">#REF!</definedName>
    <definedName name="RFx" localSheetId="4">#REF!</definedName>
    <definedName name="RFx">#REF!</definedName>
    <definedName name="rh.IncOfCurYrAfterSetOff4">'[6]CYLA BFLA'!$H$13</definedName>
    <definedName name="rh.IncOfCurYrUnderThatHead4">'[6]CYLA BFLA'!$D$13</definedName>
    <definedName name="rh.IncOfCurYrUndHeadFromCYLA6">'[6]CYLA BFLA'!$D$27</definedName>
    <definedName name="RISHRA">#REF!</definedName>
    <definedName name="RISHRA_E">#REF!</definedName>
    <definedName name="Risk_Free">#REF!</definedName>
    <definedName name="Risk_Premium">#REF!</definedName>
    <definedName name="RMelawan_Price" localSheetId="4">#REF!</definedName>
    <definedName name="RMelawan_Price">#REF!</definedName>
    <definedName name="RMIX" localSheetId="4">#REF!</definedName>
    <definedName name="RMIX">#REF!</definedName>
    <definedName name="ROA">[16]List_ratios!#REF!</definedName>
    <definedName name="ROE">[16]List_ratios!#REF!</definedName>
    <definedName name="RONM" localSheetId="3">#REF!</definedName>
    <definedName name="RONM" localSheetId="4">#REF!</definedName>
    <definedName name="RONM" localSheetId="6">#REF!</definedName>
    <definedName name="RONM">#REF!</definedName>
    <definedName name="RPAF" localSheetId="4">#REF!</definedName>
    <definedName name="RPAF">#REF!</definedName>
    <definedName name="RPLF" localSheetId="4">#REF!</definedName>
    <definedName name="RPLF">#REF!</definedName>
    <definedName name="rr">[78]STATE!$A$2:$A$65536</definedName>
    <definedName name="rradj">nopatadj/capitaladj</definedName>
    <definedName name="RRTL_Int" localSheetId="3">#REF!</definedName>
    <definedName name="RRTL_Int" localSheetId="4">#REF!</definedName>
    <definedName name="RRTL_Int" localSheetId="6">#REF!</definedName>
    <definedName name="RRTL_Int">#REF!</definedName>
    <definedName name="Rsin">[79]Main!$B$2</definedName>
    <definedName name="RSL" localSheetId="3">#REF!</definedName>
    <definedName name="RSL" localSheetId="4">#REF!</definedName>
    <definedName name="RSL" localSheetId="6">#REF!</definedName>
    <definedName name="RSL">#REF!</definedName>
    <definedName name="RTariff" localSheetId="3">#REF!</definedName>
    <definedName name="RTariff" localSheetId="4">#REF!</definedName>
    <definedName name="RTariff" localSheetId="6">#REF!</definedName>
    <definedName name="RTariff">#REF!</definedName>
    <definedName name="RTL_BASE" localSheetId="3">[11]Input!#REF!</definedName>
    <definedName name="RTL_BASE" localSheetId="4">[11]Input!#REF!</definedName>
    <definedName name="RTL_BASE" localSheetId="6">[11]Input!#REF!</definedName>
    <definedName name="RTL_BASE">[11]Input!#REF!</definedName>
    <definedName name="RTL_INT_Base" localSheetId="3">#REF!</definedName>
    <definedName name="RTL_INT_Base" localSheetId="4">#REF!</definedName>
    <definedName name="RTL_INT_Base" localSheetId="6">#REF!</definedName>
    <definedName name="RTL_INT_Base">#REF!</definedName>
    <definedName name="RTL_INT_SEN" localSheetId="3">#REF!</definedName>
    <definedName name="RTL_INT_SEN" localSheetId="4">#REF!</definedName>
    <definedName name="RTL_INT_SEN" localSheetId="6">#REF!</definedName>
    <definedName name="RTL_INT_SEN">#REF!</definedName>
    <definedName name="RTransporation" localSheetId="3">#REF!</definedName>
    <definedName name="RTransporation" localSheetId="4">#REF!</definedName>
    <definedName name="RTransporation" localSheetId="6">#REF!</definedName>
    <definedName name="RTransporation">#REF!</definedName>
    <definedName name="RTransport" localSheetId="4">#REF!</definedName>
    <definedName name="RTransport">#REF!</definedName>
    <definedName name="RTransportation" localSheetId="4">#REF!</definedName>
    <definedName name="RTransportation">#REF!</definedName>
    <definedName name="S" localSheetId="4">#REF!</definedName>
    <definedName name="S">#REF!</definedName>
    <definedName name="S_0" localSheetId="4">#REF!</definedName>
    <definedName name="S_0">#REF!</definedName>
    <definedName name="S_0.5" localSheetId="4">#REF!</definedName>
    <definedName name="S_0.5">#REF!</definedName>
    <definedName name="S_1" localSheetId="4">#REF!</definedName>
    <definedName name="S_1">#REF!</definedName>
    <definedName name="S_10" localSheetId="4">#REF!</definedName>
    <definedName name="S_10">#REF!</definedName>
    <definedName name="S_11" localSheetId="4">#REF!</definedName>
    <definedName name="S_11">#REF!</definedName>
    <definedName name="S_12" localSheetId="4">#REF!</definedName>
    <definedName name="S_12">#REF!</definedName>
    <definedName name="S_13" localSheetId="4">#REF!</definedName>
    <definedName name="S_13">#REF!</definedName>
    <definedName name="S_14" localSheetId="4">#REF!</definedName>
    <definedName name="S_14">#REF!</definedName>
    <definedName name="S_15" localSheetId="4">#REF!</definedName>
    <definedName name="S_15">#REF!</definedName>
    <definedName name="S_16" localSheetId="4">#REF!</definedName>
    <definedName name="S_16">#REF!</definedName>
    <definedName name="S_17" localSheetId="4">#REF!</definedName>
    <definedName name="S_17">#REF!</definedName>
    <definedName name="S_18" localSheetId="4">#REF!</definedName>
    <definedName name="S_18">#REF!</definedName>
    <definedName name="S_19" localSheetId="4">#REF!</definedName>
    <definedName name="S_19">#REF!</definedName>
    <definedName name="S_2" localSheetId="4">#REF!</definedName>
    <definedName name="S_2">#REF!</definedName>
    <definedName name="S_20" localSheetId="4">#REF!</definedName>
    <definedName name="S_20">#REF!</definedName>
    <definedName name="S_21" localSheetId="4">#REF!</definedName>
    <definedName name="S_21">#REF!</definedName>
    <definedName name="S_22" localSheetId="4">#REF!</definedName>
    <definedName name="S_22">#REF!</definedName>
    <definedName name="S_23" localSheetId="4">#REF!</definedName>
    <definedName name="S_23">#REF!</definedName>
    <definedName name="S_24" localSheetId="4">#REF!</definedName>
    <definedName name="S_24">#REF!</definedName>
    <definedName name="S_25" localSheetId="4">#REF!</definedName>
    <definedName name="S_25">#REF!</definedName>
    <definedName name="S_26" localSheetId="4">#REF!</definedName>
    <definedName name="S_26">#REF!</definedName>
    <definedName name="S_27" localSheetId="4">#REF!</definedName>
    <definedName name="S_27">#REF!</definedName>
    <definedName name="S_28" localSheetId="4">#REF!</definedName>
    <definedName name="S_28">#REF!</definedName>
    <definedName name="S_29" localSheetId="4">#REF!</definedName>
    <definedName name="S_29">#REF!</definedName>
    <definedName name="S_3" localSheetId="4">#REF!</definedName>
    <definedName name="S_3">#REF!</definedName>
    <definedName name="S_30" localSheetId="4">#REF!</definedName>
    <definedName name="S_30">#REF!</definedName>
    <definedName name="S_4" localSheetId="4">#REF!</definedName>
    <definedName name="S_4">#REF!</definedName>
    <definedName name="S_5" localSheetId="4">#REF!</definedName>
    <definedName name="S_5">#REF!</definedName>
    <definedName name="S_6" localSheetId="4">#REF!</definedName>
    <definedName name="S_6">#REF!</definedName>
    <definedName name="S_7" localSheetId="4">#REF!</definedName>
    <definedName name="S_7">#REF!</definedName>
    <definedName name="S_8" localSheetId="4">#REF!</definedName>
    <definedName name="S_8">#REF!</definedName>
    <definedName name="S_9" localSheetId="4">#REF!</definedName>
    <definedName name="S_9">#REF!</definedName>
    <definedName name="S_AcctDes">#REF!</definedName>
    <definedName name="S_AcctNum">#REF!</definedName>
    <definedName name="S_Adjust">#REF!</definedName>
    <definedName name="S_Adjust_Data">[64]Lead!$I$1:$I$402</definedName>
    <definedName name="S_Adjust_GT">#REF!</definedName>
    <definedName name="S_AJE_Tot">#REF!</definedName>
    <definedName name="S_AJE_Tot_Data">[64]Lead!$H$1:$H$402</definedName>
    <definedName name="S_AJE_Tot_GT">#REF!</definedName>
    <definedName name="S_CompNum">#REF!</definedName>
    <definedName name="S_CY_Beg">#REF!</definedName>
    <definedName name="S_CY_Beg_Data">[64]Lead!$F$1:$F$402</definedName>
    <definedName name="S_CY_Beg_GT">#REF!</definedName>
    <definedName name="S_CY_End">#REF!</definedName>
    <definedName name="S_CY_End_Data">[64]Lead!$K$1:$K$402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PY_End">#REF!</definedName>
    <definedName name="S_PY_End_Data">[64]Lead!$M$1:$M$402</definedName>
    <definedName name="S_PY_End_GT">#REF!</definedName>
    <definedName name="S_RJE_Tot">#REF!</definedName>
    <definedName name="S_RJE_Tot_Data">[64]Lead!$J$1:$J$402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hshs" localSheetId="4">'[39]04REL'!#REF!</definedName>
    <definedName name="sahshs">'[39]04REL'!#REF!</definedName>
    <definedName name="SAL">#REF!</definedName>
    <definedName name="salaryincome.bf">'[6]CYLA BFLA'!$AF$10</definedName>
    <definedName name="salaryincome.bp">'[6]CYLA BFLA'!$AB$10</definedName>
    <definedName name="salaryincome.hp">'[6]CYLA BFLA'!$X$10</definedName>
    <definedName name="salaryincome.ih">'[6]CYLA BFLA'!$Q$10</definedName>
    <definedName name="salaryincome.os">'[6]CYLA BFLA'!$T$10</definedName>
    <definedName name="salaryincome.rem">'[6]CYLA BFLA'!$AO$20</definedName>
    <definedName name="salaryloss.aftbfl">'[6]CYLA BFLA'!$AH$10</definedName>
    <definedName name="salaryloss.bf">'[6]CYLA BFLA'!$AE$10</definedName>
    <definedName name="salaryloss.bfadj">'[6]CYLA BFLA'!$AG$10</definedName>
    <definedName name="salaryloss.unabs">'[6]CYLA BFLA'!$AN$20</definedName>
    <definedName name="SALE">#REF!</definedName>
    <definedName name="SALE_MODE">[71]SALE_MODE!$A$2:$A$28</definedName>
    <definedName name="SALES">#REF!</definedName>
    <definedName name="Sales1">#REF!</definedName>
    <definedName name="sales97">#REF!</definedName>
    <definedName name="SAN">[80]Net!#REF!</definedName>
    <definedName name="SAPBEXdnldView" hidden="1">"3SB8LZCV0XHZU35V9QQ6GS6J7"</definedName>
    <definedName name="SAPBEXsysID" hidden="1">"BP1"</definedName>
    <definedName name="savingsq1">[6]Calculator!$AJ$13</definedName>
    <definedName name="savingsq2">[6]Calculator!$AK$13</definedName>
    <definedName name="savingsq3">[6]Calculator!$AL$13</definedName>
    <definedName name="savingsq4">[6]Calculator!$AM$13</definedName>
    <definedName name="savingsq5">[6]Calculator!$AN$13</definedName>
    <definedName name="sbi.bs.rt">'[15]PPT Inputs'!$C$35</definedName>
    <definedName name="SCALE">#REF!</definedName>
    <definedName name="SCH">[4]BSPL!$A$113:$D$160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P">#N/A</definedName>
    <definedName name="sdsdsdsd" localSheetId="3">#REF!</definedName>
    <definedName name="sdsdsdsd" localSheetId="4">#REF!</definedName>
    <definedName name="sdsdsdsd" localSheetId="6">#REF!</definedName>
    <definedName name="sdsdsdsd">#REF!</definedName>
    <definedName name="sdsfszsfzs" localSheetId="3">#REF!,#REF!</definedName>
    <definedName name="sdsfszsfzs" localSheetId="4">#REF!,#REF!</definedName>
    <definedName name="sdsfszsfzs" localSheetId="6">#REF!,#REF!</definedName>
    <definedName name="sdsfszsfzs">#REF!,#REF!</definedName>
    <definedName name="SE_NAME">""</definedName>
    <definedName name="SECOAL" localSheetId="3">#REF!</definedName>
    <definedName name="SECOAL" localSheetId="4">#REF!</definedName>
    <definedName name="SECOAL" localSheetId="6">#REF!</definedName>
    <definedName name="SECOAL">#REF!</definedName>
    <definedName name="SECTOR_LIST">[71]SECTOR!$A$2:$A$65536</definedName>
    <definedName name="SELECT" localSheetId="3">#REF!</definedName>
    <definedName name="SELECT" localSheetId="4">#REF!</definedName>
    <definedName name="SELECT" localSheetId="6">#REF!</definedName>
    <definedName name="SELECT">#REF!</definedName>
    <definedName name="Selection">#REF!</definedName>
    <definedName name="SEMI">#REF!</definedName>
    <definedName name="sencount" hidden="1">1</definedName>
    <definedName name="SEOREP" localSheetId="3">#REF!</definedName>
    <definedName name="SEOREP" localSheetId="4">#REF!</definedName>
    <definedName name="SEOREP" localSheetId="6">#REF!</definedName>
    <definedName name="SEOREP">#REF!</definedName>
    <definedName name="SEREPORT" localSheetId="3">#REF!</definedName>
    <definedName name="SEREPORT" localSheetId="4">#REF!</definedName>
    <definedName name="SEREPORT" localSheetId="6">#REF!</definedName>
    <definedName name="SEREPORT">#REF!</definedName>
    <definedName name="series_assum_ex_rate_USD">[21]Assum!$F$299:$Y$299</definedName>
    <definedName name="Service_Type">"Service Type"</definedName>
    <definedName name="SEZA10.DedFromUndertaking">'[6]10A'!$F$19</definedName>
    <definedName name="SEZA10.TotalDedUs10Sub">'[6]10A'!$H$20</definedName>
    <definedName name="sheet10.NetPLFromSpecBus">[6]BP!$H$4</definedName>
    <definedName name="sheet10.NetPLFromSpecifiedBus">[6]BP!$H$5</definedName>
    <definedName name="sheet11.AdjustedPLOthThanSpecBus">[6]BP!$J$17</definedName>
    <definedName name="sheet11.AdjustPLAfterDeprOthSpecInc">[6]BP!$J$23</definedName>
    <definedName name="sheet11.AmtAllowUs35ACt">[6]BP!$H$41</definedName>
    <definedName name="sheet11.BalancePLOthThanSpecBus">[6]BP!$J$13</definedName>
    <definedName name="sheet11.DebPL35ACAmt">[6]BP!$H$40</definedName>
    <definedName name="sheet11.DepreciationAllowUs32_1_i">[6]BP!$H$21</definedName>
    <definedName name="sheet11.DepreciationDebPLCosAct">[6]BP!$J$18</definedName>
    <definedName name="sheet11.ExpDebToPLExemptInc">[6]BP!$H$15</definedName>
    <definedName name="sheet11.ExpDebToPLOthHeads">[6]BP!$H$14</definedName>
    <definedName name="sheet11.PLAftAdjDedBusOthThanSpec">[6]BP!$J$45</definedName>
    <definedName name="sheet11.TotAfterAddToPLDeprOthSpecInc">[6]BP!$J$34</definedName>
    <definedName name="sheet11.TotDeductionAmts">[6]BP!$J$44</definedName>
    <definedName name="sheet11.TotDeprAllowITAct">[6]BP!$J$22</definedName>
    <definedName name="sheet11.TotExpDebPL">[6]BP!$H$16</definedName>
    <definedName name="sheet12.AdditionUs28to44DA">[6]BP!$J$70</definedName>
    <definedName name="sheet12.AddSec2844DA">[6]BP!$J$75</definedName>
    <definedName name="sheet12.AdjustedPLFrmSpecifiedBus">[6]BP!$J$79</definedName>
    <definedName name="sheet12.AdjustedPLFrmSpecuBus">[6]BP!$J$72</definedName>
    <definedName name="sheet12.DedSec2844DA">[6]BP!$J$76</definedName>
    <definedName name="sheet12.DeductUs28to44DA">[6]BP!$J$71</definedName>
    <definedName name="sheet12.DeductUs35AD">[6]BP!$J$78</definedName>
    <definedName name="sheet12.DENetPLBusOthThanSpec7A7B7C">[6]BP!$H$67</definedName>
    <definedName name="sheet12.NetPLAftAdjBusOthThanSpec">[6]BP!$J$66</definedName>
    <definedName name="sheet12.NetPLBusOthThanSpec7A7B7C">[6]BP!$J$67</definedName>
    <definedName name="sheet12.NetPLFrmSpecBus">[6]BP!$J$69</definedName>
    <definedName name="sheet12.NetPLFrmSpecifiedBus">[6]BP!$J$74</definedName>
    <definedName name="sheet12.ProfitLossBfrDeductUs10s">[6]BP!$J$59</definedName>
    <definedName name="sheet12.ProfLossFromSpecifiedBus">[6]BP!$J$77</definedName>
    <definedName name="sheet12.TotDeductionUs10s">[6]BP!$J$65</definedName>
    <definedName name="sheet12.TotDeemedProfitBusUs">[6]BP!$J$58</definedName>
    <definedName name="sheet16.BalBusLossAftSetoff">'[6]CYLA BFLA'!$F$15</definedName>
    <definedName name="sheet16.BalHPlossCurYrAftSetoff">'[6]CYLA BFLA'!$E$15</definedName>
    <definedName name="sheet16.TotAllUs35cl4Setoff">'[6]CYLA BFLA'!$G$28</definedName>
    <definedName name="sheet16.TotBusLossSetoff">'[6]CYLA BFLA'!$F$14</definedName>
    <definedName name="sheet16.TotHPlossCurYrSetoff">'[6]CYLA BFLA'!$E$14</definedName>
    <definedName name="sheet16.TotOthSrcLossNoRaceHorseSetoff">'[6]CYLA BFLA'!$G$14</definedName>
    <definedName name="sheet16.TotUnabsorbedDeprSetoff">'[6]CYLA BFLA'!$F$28</definedName>
    <definedName name="sheet22.YesNo">[6]PART_C!$IV$9:$IV$10</definedName>
    <definedName name="sheet8b.CurrentYearLoss">[6]PART_B!$J$22</definedName>
    <definedName name="sheet8b.DeductionsUnderScheduleVIA">[6]PART_B!$J$26</definedName>
    <definedName name="sheet8b.GrossTotalIncome">[6]PART_B!$J$25</definedName>
    <definedName name="sheet8b.IncomeFromHP">[6]PART_B!$J$2</definedName>
    <definedName name="sheet8b.LongTerm">[6]PART_B!$H$15</definedName>
    <definedName name="sheet8b.NetAgricultureIncomeOrOtherIncomeForRate">[6]PART_B!$J$28</definedName>
    <definedName name="sheet8b.TotalCapGains">[6]PART_B!$J$16</definedName>
    <definedName name="sheet8b.TotalShortTerm">[6]PART_B!$H$12</definedName>
    <definedName name="sheet8b.TotalTI">[6]PART_B!$J$21</definedName>
    <definedName name="sheet8b.TotIncFromOS">[6]PART_B!$J$20</definedName>
    <definedName name="sheet8b.TotProfBusGain">[6]PART_B!$J$7</definedName>
    <definedName name="sheet9.AdvanceTax">[6]PART_B!$H$63</definedName>
    <definedName name="sheet9.AggregateTaxInterestLiability">[6]PART_B!$J$61</definedName>
    <definedName name="sheet9.AssesseeVerName">[6]PART_B!$F$72</definedName>
    <definedName name="sheet9.Capacity">[6]PART_B!$F$77</definedName>
    <definedName name="sheet9.CreditUnd115JAA">[6]PART_B!$J$46</definedName>
    <definedName name="sheet9.Date">[6]PART_B!$F$79</definedName>
    <definedName name="sheet9.EducationCess">[6]PART_B!$J$43</definedName>
    <definedName name="sheet9.EduCessOnDemandUnd155JB">[6]PART_B!$J$36</definedName>
    <definedName name="sheet9.FatherName">[6]PART_B!$F$73</definedName>
    <definedName name="sheet9.GrossTaxLiability">[6]PART_B!$J$44</definedName>
    <definedName name="sheet9.GrossTaxPayable">[6]PART_B!$J$45</definedName>
    <definedName name="sheet9.IntrstPayUs234A">[6]PART_B!$H$57</definedName>
    <definedName name="sheet9.IntrstPayUs234B">[6]PART_B!$H$58</definedName>
    <definedName name="sheet9.IntrstPayUs234C">[6]PART_B!$H$59</definedName>
    <definedName name="sheet9.NetTaxLiability">[6]PART_B!$J$55</definedName>
    <definedName name="sheet9.Place">[6]PART_B!$F$78</definedName>
    <definedName name="sheet9.RebateUs88E">[6]PART_B!$J$48</definedName>
    <definedName name="sheet9.Section90">[6]PART_B!$H$52</definedName>
    <definedName name="sheet9.Section91">[6]PART_B!$H$53</definedName>
    <definedName name="sheet9.SelfAssessmentTax">[6]PART_B!$H$66</definedName>
    <definedName name="sheet9.SurchargeOnDemandUnd155JB">[6]PART_B!$J$35</definedName>
    <definedName name="sheet9.SurchargeOnTaxPayable">[6]PART_B!$J$42</definedName>
    <definedName name="sheet9.TaxAtNormalRatesOnAggrInc">[6]PART_B!$H$39</definedName>
    <definedName name="sheet9.TaxPayableOnDemandUnd155JB">[6]PART_B!$J$34</definedName>
    <definedName name="sheet9.TaxPayableOnTotInc">[6]PART_B!$J$41</definedName>
    <definedName name="sheet9.TaxpayAfterCreditUnd115JAA">[6]PART_B!$J$50</definedName>
    <definedName name="sheet9.TCS">[6]PART_B!$H$65</definedName>
    <definedName name="sheet9.TDS">[6]PART_B!$H$64</definedName>
    <definedName name="sheet9.TotalIntrstPay">[6]PART_B!$J$60</definedName>
    <definedName name="sheet9.TotalTaxesPaid">[6]PART_B!$J$67</definedName>
    <definedName name="sheet9.TotTaxPayableOnDemandUnd155JB">[6]PART_B!$J$37</definedName>
    <definedName name="sheet9.TotTaxRelief">[6]PART_B!$J$54</definedName>
    <definedName name="sheet9.VerPAN">[6]PART_B!$J$72</definedName>
    <definedName name="shft1">[44]SUMMERY!$P$1</definedName>
    <definedName name="shftI">[81]SUMMERY!$P$1</definedName>
    <definedName name="shshshsh" localSheetId="3">#REF!,#REF!</definedName>
    <definedName name="shshshsh" localSheetId="4">#REF!,#REF!</definedName>
    <definedName name="shshshsh" localSheetId="6">#REF!,#REF!</definedName>
    <definedName name="shshshsh">#REF!,#REF!</definedName>
    <definedName name="SI.SecCode">[6]SI!$C$12:$C$21</definedName>
    <definedName name="SI.SplRateInc">[6]SI!$E$12:$E$21</definedName>
    <definedName name="SI.SplRateIncTax">[6]SI!$G$12:$G$21</definedName>
    <definedName name="SI.TotSplRateIncTax">[6]SI!$G$22</definedName>
    <definedName name="SI_NAME">"Trend Micro HK eDoctor"</definedName>
    <definedName name="SL" localSheetId="3">[11]Input!#REF!</definedName>
    <definedName name="SL" localSheetId="4">[11]Input!#REF!</definedName>
    <definedName name="SL" localSheetId="6">[11]Input!#REF!</definedName>
    <definedName name="SL">[11]Input!#REF!</definedName>
    <definedName name="SL_Base" localSheetId="3">#REF!</definedName>
    <definedName name="SL_Base" localSheetId="4">#REF!</definedName>
    <definedName name="SL_Base" localSheetId="6">#REF!</definedName>
    <definedName name="SL_Base">#REF!</definedName>
    <definedName name="SL_SEN" localSheetId="3">#REF!</definedName>
    <definedName name="SL_SEN" localSheetId="4">#REF!</definedName>
    <definedName name="SL_SEN" localSheetId="6">#REF!</definedName>
    <definedName name="SL_SEN">#REF!</definedName>
    <definedName name="sort_area">#REF!</definedName>
    <definedName name="sort_range">#REF!</definedName>
    <definedName name="spread">#N/A</definedName>
    <definedName name="spread1">return1-CC</definedName>
    <definedName name="spreadadj">#N/A</definedName>
    <definedName name="SPT__Czech">[16]List_ratios!#REF!</definedName>
    <definedName name="SPV_DSCR" localSheetId="3">#REF!</definedName>
    <definedName name="SPV_DSCR" localSheetId="4">#REF!</definedName>
    <definedName name="SPV_DSCR" localSheetId="6">#REF!</definedName>
    <definedName name="SPV_DSCR">#REF!</definedName>
    <definedName name="SPV_Loan" localSheetId="4">#REF!</definedName>
    <definedName name="SPV_Loan">#REF!</definedName>
    <definedName name="Sri_Manoj_Maheshwari">#REF!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FF">#REF!</definedName>
    <definedName name="staffexpline">[16]List_ratios!#REF!</definedName>
    <definedName name="StartSummaryCol">#REF!</definedName>
    <definedName name="STATE_LIST">[71]STATE!$A$2:$A$65536</definedName>
    <definedName name="States">[63]Lists!$A$16:$A$50</definedName>
    <definedName name="STATUS_LIST">[71]STATUS!$A$2:$A$65536</definedName>
    <definedName name="stax">[11]Assumptions!$D$333</definedName>
    <definedName name="stcg.BFlossPrevYrUndSameHeadSetoff3">'[6]CYLA BFLA'!$E$24</definedName>
    <definedName name="stcg.BFUnabsorbedDeprSetoff3">'[6]CYLA BFLA'!$F$24</definedName>
    <definedName name="stcg.IncOfCurYrAfterSetOff1">'[6]CYLA BFLA'!$H$10</definedName>
    <definedName name="stcg.IncOfCurYrUnderThatHead1">'[6]CYLA BFLA'!$D$10</definedName>
    <definedName name="stcg111a.ecq1">[6]Calculator!$AD$11</definedName>
    <definedName name="stcg111a.ecq2">[6]Calculator!$AE$11</definedName>
    <definedName name="stcg111a.ecq3">[6]Calculator!$AF$11</definedName>
    <definedName name="stcg111a.ecq4">[6]Calculator!$AG$11</definedName>
    <definedName name="stcg111a.ecq5">[6]Calculator!$AH$11</definedName>
    <definedName name="stcg111a.savings">[6]Calculator!$AI$11</definedName>
    <definedName name="stcg111a.scq1">[6]Calculator!$Y$11</definedName>
    <definedName name="stcg111a.scq2">[6]Calculator!$Z$11</definedName>
    <definedName name="stcg111a.scq3">[6]Calculator!$AA$11</definedName>
    <definedName name="stcg111a.scq4">[6]Calculator!$AB$11</definedName>
    <definedName name="stcg111a.scq5">[6]Calculator!$AC$11</definedName>
    <definedName name="stcg111aec.usratio">[6]Calculator!$X$11</definedName>
    <definedName name="stcg111aincome">'[6]CYLA BFLA'!$O$16</definedName>
    <definedName name="stcg111aincome.bf">'[6]CYLA BFLA'!$AF$16</definedName>
    <definedName name="stcg111aincome.bp">'[6]CYLA BFLA'!$AB$16</definedName>
    <definedName name="stcg111aincome.hp">'[6]CYLA BFLA'!$X$16</definedName>
    <definedName name="stcg111aincome.ih">'[6]CYLA BFLA'!$Q$16</definedName>
    <definedName name="stcg111aincome.os">'[6]CYLA BFLA'!$T$16</definedName>
    <definedName name="stcg111aincome.rem">'[6]CYLA BFLA'!$AO$19</definedName>
    <definedName name="stcg111aincome.stcl">'[6]CYLA BFLA'!$F$46</definedName>
    <definedName name="stcg111aincome.usratio">[6]Calculator!$V$11</definedName>
    <definedName name="stcg111aloss">'[6]CYLA BFLA'!$P$16</definedName>
    <definedName name="stcg111aloss.bfadj">'[6]CYLA BFLA'!$AG$16</definedName>
    <definedName name="stcg111aloss.bp">'[6]CYLA BFLA'!$AD$16</definedName>
    <definedName name="stcg111aloss.hp">'[6]CYLA BFLA'!$Z$16</definedName>
    <definedName name="stcg111aloss.ih">'[6]CYLA BFLA'!$R$16</definedName>
    <definedName name="stcg111aloss.os">'[6]CYLA BFLA'!$V$16</definedName>
    <definedName name="stcg111aloss.unabs">'[6]CYLA BFLA'!$AN$19</definedName>
    <definedName name="stcg111asur.usratio">[6]Calculator!$W$11</definedName>
    <definedName name="stcgloss.aftbfl">'[6]CYLA BFLA'!$AH$16</definedName>
    <definedName name="stcgloss.bf">'[6]CYLA BFLA'!$AE$16</definedName>
    <definedName name="stcgloss1.unabs">'[6]CYLA BFLA'!$F$57</definedName>
    <definedName name="stcgoththan111a.ecq1">[6]Calculator!$AD$14</definedName>
    <definedName name="stcgoththan111a.scq1">[6]Calculator!$Y$14</definedName>
    <definedName name="stcgoththan111aec.usratio">[6]Calculator!$X$14</definedName>
    <definedName name="stcgoththan111aincome">'[6]CYLA BFLA'!$O$17</definedName>
    <definedName name="stcgoththan111aincome.bf">'[6]CYLA BFLA'!$AF$17</definedName>
    <definedName name="stcgoththan111aincome.bp">'[6]CYLA BFLA'!$AB$17</definedName>
    <definedName name="stcgoththan111aincome.hp">'[6]CYLA BFLA'!$X$17</definedName>
    <definedName name="stcgoththan111aincome.ih">'[6]CYLA BFLA'!$Q$17</definedName>
    <definedName name="stcgoththan111aincome.os">'[6]CYLA BFLA'!$T$17</definedName>
    <definedName name="stcgoththan111aincome.q1diff">[6]Calculator!$AJ$47</definedName>
    <definedName name="stcgoththan111aincome.q2diff">[6]Calculator!$AJ$48</definedName>
    <definedName name="stcgoththan111aincome.q3diff">[6]Calculator!$AJ$49</definedName>
    <definedName name="stcgoththan111aincome.q4diff">[6]Calculator!$AJ$50</definedName>
    <definedName name="stcgoththan111aincome.q5diff">[6]Calculator!$AJ$51</definedName>
    <definedName name="stcgoththan111aincome.rem">'[6]CYLA BFLA'!$AO$16</definedName>
    <definedName name="stcgoththan111aincome.stcl">'[6]CYLA BFLA'!$F$42</definedName>
    <definedName name="stcgoththan111Aincome.usratio">[6]Calculator!$V$14</definedName>
    <definedName name="stcgoththan111aloss">'[6]CYLA BFLA'!$P$17</definedName>
    <definedName name="stcgoththan111aloss.bfadj">'[6]CYLA BFLA'!$AG$17</definedName>
    <definedName name="stcgoththan111aloss.bp">'[6]CYLA BFLA'!$AD$17</definedName>
    <definedName name="stcgoththan111aloss.hp">'[6]CYLA BFLA'!$Z$17</definedName>
    <definedName name="stcgoththan111Aloss.ih">'[6]CYLA BFLA'!$R$17</definedName>
    <definedName name="stcgoththan111aloss.os">'[6]CYLA BFLA'!$V$17</definedName>
    <definedName name="stcgoththan111Aloss.unabs">'[6]CYLA BFLA'!$AN$16</definedName>
    <definedName name="stcgoththan111asur.usratio">[6]Calculator!$W$14</definedName>
    <definedName name="stcla1">'[6]CYLA BFLA'!$F$41</definedName>
    <definedName name="stcla2">'[6]CYLA BFLA'!$F$45</definedName>
    <definedName name="stclremaining">'[6]CYLA BFLA'!$F$48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[8]wwww!$P$77</definedName>
    <definedName name="Stock" localSheetId="3">#REF!</definedName>
    <definedName name="Stock" localSheetId="4">#REF!</definedName>
    <definedName name="Stock" localSheetId="6">#REF!</definedName>
    <definedName name="Stock">#REF!</definedName>
    <definedName name="STOCK_WORKING">#REF!</definedName>
    <definedName name="STPA10.DedFromUndertaking">'[6]10A'!$F$3</definedName>
    <definedName name="STPA10.TotalDedUs10Sub">'[6]10A'!$H$4</definedName>
    <definedName name="strat">[82]Assumptions!#REF!</definedName>
    <definedName name="STTC.STTPaid">'[6]80_'!$G$63</definedName>
    <definedName name="STTC.TaxPaySTTAvgRate">'[6]80_'!$G$62</definedName>
    <definedName name="sub_total" localSheetId="3">#REF!</definedName>
    <definedName name="sub_total" localSheetId="4">#REF!</definedName>
    <definedName name="sub_total" localSheetId="6">#REF!</definedName>
    <definedName name="sub_total">#REF!</definedName>
    <definedName name="Sum_RSq">#REF!</definedName>
    <definedName name="suma">#REF!</definedName>
    <definedName name="SUMM">#REF!</definedName>
    <definedName name="Summary">[16]List_ratios!#REF!</definedName>
    <definedName name="SumRSQu">#REF!</definedName>
    <definedName name="Sur_Calc">[6]Calculator!$D$22</definedName>
    <definedName name="Sur_limit">[6]Calculator!$Q$30</definedName>
    <definedName name="Sur_Rate">[6]Calculator!$R$30</definedName>
    <definedName name="sur_stcgoththan111aincome">[6]Calculator!$R$5</definedName>
    <definedName name="sur_usincome">[6]Calculator!$Q$5</definedName>
    <definedName name="svc0">[83]BSPL!$A$655:$D$692</definedName>
    <definedName name="t" localSheetId="3">#REF!</definedName>
    <definedName name="t" localSheetId="4">#REF!</definedName>
    <definedName name="t" localSheetId="6">#REF!</definedName>
    <definedName name="t">#REF!</definedName>
    <definedName name="taac">'[15]Core Assumptions'!$F$219</definedName>
    <definedName name="table">#REF!</definedName>
    <definedName name="table_annual_draw">[19]Production!$C$77:$O$91</definedName>
    <definedName name="table_annual_production">[36]Assum!$C$125:$M$138</definedName>
    <definedName name="table_avg_realisation">[19]Assum!$C$123:$O$131</definedName>
    <definedName name="table_capex_HO">[19]Assum!$C$692:$O$698</definedName>
    <definedName name="table_capex_nashik_cosmetic">[19]Assum!#REF!</definedName>
    <definedName name="table_closing_stock">[34]Assum!#REF!</definedName>
    <definedName name="table_commence_date">[19]Assum!$C$62:$O$75</definedName>
    <definedName name="table_dep_rate">[19]Assum!$C$776:$F$781</definedName>
    <definedName name="table_depreciation_allocated">#REF!</definedName>
    <definedName name="table_draw_capacity">[19]Assum!$C$10:$O$23</definedName>
    <definedName name="table_draw_per">[19]Assum!#REF!</definedName>
    <definedName name="table_fixed_overheads_growth">[36]Assum!$C$426:$M$433</definedName>
    <definedName name="table_HNGFL_capex_less_180">[20]Assumption!#REF!</definedName>
    <definedName name="table_HNGFL_capex_tax_calc">[20]Assumption!#REF!</definedName>
    <definedName name="table_HNGFL_capex_tax_calx">[20]Assumption!#REF!</definedName>
    <definedName name="table_HNGFL_common_staff_employees">[20]Assumption!#REF!</definedName>
    <definedName name="table_HNGFL_dep_rate">[20]Assumption!#REF!</definedName>
    <definedName name="table_HNGFL_efficiency">[20]Assumption!#REF!</definedName>
    <definedName name="table_HNGFL_float_employees">[20]Assumption!#REF!</definedName>
    <definedName name="table_HNGFL_float_salary">[20]Assumption!#REF!</definedName>
    <definedName name="table_HNGFL_IGU_employees">[20]Assumption!#REF!</definedName>
    <definedName name="table_HNGFL_intt_rates">[20]Assumption!#REF!</definedName>
    <definedName name="table_HNGFL_manufacturing_cost_growth">[19]Sens!$C$87:$O$87</definedName>
    <definedName name="table_HNGFL_P_M_breakdown">[20]Assumption!#REF!</definedName>
    <definedName name="table_HNGFL_packing_cost_growth">[19]Sens!$C$86:$P$86</definedName>
    <definedName name="table_HNGFL_power_cost_growth">[19]Sens!$C$84:$P$84</definedName>
    <definedName name="table_HNGFL_realization_growth">[19]Sens!$C$62:$P$70</definedName>
    <definedName name="table_HNGFL_repairs_cost_growth">[19]Sens!$C$93:$O$93</definedName>
    <definedName name="table_HNGFL_RM_cost_growth">[19]Sens!$C$73:$O$81</definedName>
    <definedName name="table_HNGFL_salary_growth">[19]Sens!$B$89:$O$89</definedName>
    <definedName name="table_HNGFL_stores_spares_growth">[19]Sens!$C$92:$O$92</definedName>
    <definedName name="table_HNGFL_tax_dep_rate">[20]Assumption!#REF!</definedName>
    <definedName name="table_HNGFL_Tempered_employees">[20]Assumption!#REF!</definedName>
    <definedName name="table_HNGFL_water_cost_growth">[19]Sens!$C$85:$P$85</definedName>
    <definedName name="table_investment_schedule">[19]Assum!$C$927:$O$927</definedName>
    <definedName name="table_loans_advances_days">[19]Assum!$C$893:$O$902</definedName>
    <definedName name="table_nashik_cosmetic_power_cons">[19]Assum!#REF!</definedName>
    <definedName name="table_nashik_cosmetic_power_price">[19]Assum!#REF!</definedName>
    <definedName name="table_nashik_cosmetic_realisation">[19]Assum!#REF!</definedName>
    <definedName name="table_nashik_cosmetic_volume">[19]Assum!#REF!</definedName>
    <definedName name="table_op_days">[19]Assum!$C$78:$O$78</definedName>
    <definedName name="table_opening_stock">[34]Assum!#REF!</definedName>
    <definedName name="table_other_variable_overheads">[36]Assum!$C$268:$M$275</definedName>
    <definedName name="table_overheads_growth">[19]Sens!$C$29:$O$29</definedName>
    <definedName name="table_pack_eff">[19]Assum!$C$27:$O$40</definedName>
    <definedName name="table_packing_cost">[36]Assum!$C$225:$M$232</definedName>
    <definedName name="table_packing_cost_growth">[19]Sens!$C$27:$O$27</definedName>
    <definedName name="table_packing_inventory_days">[19]Assum!$C$841:$O$850</definedName>
    <definedName name="table_packing_material_days">[34]Assum!#REF!</definedName>
    <definedName name="table_plant_capacity">[19]Assum!#REF!</definedName>
    <definedName name="table_power_cost_growth">[19]Sens!$C$33:$O$39</definedName>
    <definedName name="table_prod_overheads">[19]Assum!$C$386:$O$394</definedName>
    <definedName name="table_prod_overheads_growth">[19]Sens!$C$29:$O$29</definedName>
    <definedName name="table_product_volume">[19]Assum!$C$112:$O$120</definedName>
    <definedName name="table_raw_material_cost">[36]Assum!$C$203:$M$210</definedName>
    <definedName name="table_raw_material_days">[34]Assum!#REF!</definedName>
    <definedName name="table_realisation_growth">[19]Sens!$C$10:$O$18</definedName>
    <definedName name="table_rebuild_sch">[19]Assum!$C$46:$O$59</definedName>
    <definedName name="table_return_investments">[19]Assum!$C$928:$O$928</definedName>
    <definedName name="table_RM_cons">[19]Assum!$C$354:$O$356</definedName>
    <definedName name="table_RM_cost">[19]Assum!$C$359:$O$361</definedName>
    <definedName name="table_RM_cost_growth">[19]Sens!$C$21:$O$24</definedName>
    <definedName name="table_RM_inventory_days">[19]Assum!$C$829:$O$838</definedName>
    <definedName name="table_salary_growth">[36]Assum!$C$393:$M$401</definedName>
    <definedName name="table_sale_volume">[36]Assum!$C$155:$M$163</definedName>
    <definedName name="table_sales_realisation">[36]Assum!$C$179:$M$186</definedName>
    <definedName name="table_savings_shift_gas">[19]Assum!$C$587:$O$595</definedName>
    <definedName name="table_secured_additions">[19]Assum!$C$936:$O$950</definedName>
    <definedName name="table_secured_int_rates">[19]Assum!$C$969:$F$983</definedName>
    <definedName name="table_secured_repayments">[19]Assum!$C$953:$O$966</definedName>
    <definedName name="table_selling_expenses">[36]Assum!$C$289:$M$296</definedName>
    <definedName name="table_selling_expenses_growth">[19]Sens!$C$30:$O$30</definedName>
    <definedName name="table_stores_inventory_days">[19]Assum!$C$854:$O$863</definedName>
    <definedName name="table_stores_spares_cost">[36]Assum!$C$247:$M$254</definedName>
    <definedName name="table_stores_spares_cost_growth">[19]Sens!$C$28:$O$28</definedName>
    <definedName name="table_stores_spares_days">[34]Assum!#REF!</definedName>
    <definedName name="table_sundry_creditor_days">[19]Assum!$C$906:$O$915</definedName>
    <definedName name="table_sundry_debtor_days">[19]Assum!$C$880:$O$889</definedName>
    <definedName name="table_tax_dep_rate">[19]Assum!$C$787:$F$796</definedName>
    <definedName name="table_tax_rate">[19]Assum!$C$803:$O$803</definedName>
    <definedName name="table_total_depreciation">[36]Assum!$C$588:$M$597</definedName>
    <definedName name="table_unsecured_additions">[19]Assum!$C$988:$O$992</definedName>
    <definedName name="table_unsecured_int_rates">[19]Assum!$C$1002:$F$1006</definedName>
    <definedName name="table_unsecured_repayments">[19]Assum!$C$995:$O$999</definedName>
    <definedName name="table_wages_cost">[36]Assum!$C$415:$M$422</definedName>
    <definedName name="table_WIP_days">[34]Assum!#REF!</definedName>
    <definedName name="table_WIP_inventory">[34]WCAP!#REF!</definedName>
    <definedName name="table_WIP_inventory_days">[19]Assum!$C$867:$O$876</definedName>
    <definedName name="TAno">'[15]Core Assumptions'!$F$218</definedName>
    <definedName name="Target" localSheetId="3">#REF!</definedName>
    <definedName name="Target" localSheetId="4">#REF!</definedName>
    <definedName name="Target" localSheetId="6">#REF!</definedName>
    <definedName name="Target">#REF!</definedName>
    <definedName name="Tariff">[23]Assumptions!$H$8</definedName>
    <definedName name="tariff_var_mod">[23]Assumptions!$L$37</definedName>
    <definedName name="TAX_DIFF" localSheetId="3">#REF!</definedName>
    <definedName name="TAX_DIFF" localSheetId="4">#REF!</definedName>
    <definedName name="TAX_DIFF" localSheetId="6">#REF!</definedName>
    <definedName name="TAX_DIFF">#REF!</definedName>
    <definedName name="TAX_PAS" localSheetId="3">#REF!</definedName>
    <definedName name="TAX_PAS" localSheetId="4">#REF!</definedName>
    <definedName name="TAX_PAS" localSheetId="6">#REF!</definedName>
    <definedName name="TAX_PAS">#REF!</definedName>
    <definedName name="Tax_Rate">'[84]TJC - Total'!$N$172</definedName>
    <definedName name="taxes">[85]wwww!$C$59:$C$62</definedName>
    <definedName name="taxestable">[8]wwww!$E$67:$P$70</definedName>
    <definedName name="TaxPaid10">[41]Assumptions!$B$22</definedName>
    <definedName name="TaxRate11">[41]Assumptions!$B$20</definedName>
    <definedName name="Taxrate12" localSheetId="3">#REF!</definedName>
    <definedName name="Taxrate12" localSheetId="4">#REF!</definedName>
    <definedName name="Taxrate12" localSheetId="6">#REF!</definedName>
    <definedName name="Taxrate12">#REF!</definedName>
    <definedName name="TCS.AmtTCSClaimedThisYear">[6]DDT_TDS_TCS!$F$1540:$F$1542</definedName>
    <definedName name="TDS">'[85]Consolidated-31-03-00'!#REF!</definedName>
    <definedName name="TDS2.ClaimOutOfTotTDSOnAmtPaid">[6]DDT_TDS_TCS!$H$21:$H$1533</definedName>
    <definedName name="TDSCR_FCSPV" localSheetId="3">#REF!</definedName>
    <definedName name="TDSCR_FCSPV" localSheetId="4">#REF!</definedName>
    <definedName name="TDSCR_FCSPV" localSheetId="6">#REF!</definedName>
    <definedName name="TDSCR_FCSPV">#REF!</definedName>
    <definedName name="Telefonica__Spain">[16]List_ratios!#REF!</definedName>
    <definedName name="Telekom_Malaysia">[16]List_ratios!#REF!</definedName>
    <definedName name="Telephone">"eDoctor"</definedName>
    <definedName name="Telkom">[16]List_ratios!#REF!</definedName>
    <definedName name="Telstra">[16]List_ratios!#REF!</definedName>
    <definedName name="TERMDEBTS">#REF!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6">#REF!</definedName>
    <definedName name="TextRefCopy7">#REF!</definedName>
    <definedName name="TextRefCopyRangeCount" hidden="1">5</definedName>
    <definedName name="Tgt" localSheetId="3">#REF!</definedName>
    <definedName name="Tgt" localSheetId="4">#REF!</definedName>
    <definedName name="Tgt" localSheetId="6">#REF!</definedName>
    <definedName name="Tgt">#REF!</definedName>
    <definedName name="THREE">'[53]CAPITAL (2)'!#REF!</definedName>
    <definedName name="Threshold">#REF!</definedName>
    <definedName name="THRESOLD">[6]SI!$M$11</definedName>
    <definedName name="TI">[6]Calculator!$M$5</definedName>
    <definedName name="ticker">#REF!</definedName>
    <definedName name="title" localSheetId="3">#REF!</definedName>
    <definedName name="title" localSheetId="4">#REF!</definedName>
    <definedName name="title" localSheetId="6">#REF!</definedName>
    <definedName name="title">#REF!</definedName>
    <definedName name="Tolerance">0.0025</definedName>
    <definedName name="total_A" localSheetId="3">#REF!</definedName>
    <definedName name="total_A" localSheetId="4">#REF!</definedName>
    <definedName name="total_A" localSheetId="6">#REF!</definedName>
    <definedName name="total_A">#REF!</definedName>
    <definedName name="total_B" localSheetId="3">#REF!</definedName>
    <definedName name="total_B" localSheetId="4">#REF!</definedName>
    <definedName name="total_B" localSheetId="6">#REF!</definedName>
    <definedName name="total_B">#REF!</definedName>
    <definedName name="total_budget" localSheetId="3">#REF!</definedName>
    <definedName name="total_budget" localSheetId="4">#REF!</definedName>
    <definedName name="total_budget" localSheetId="6">#REF!</definedName>
    <definedName name="total_budget">#REF!</definedName>
    <definedName name="total_C" localSheetId="4">#REF!</definedName>
    <definedName name="total_C">#REF!</definedName>
    <definedName name="Total_Interest">#REF!</definedName>
    <definedName name="Total_Pay">#REF!</definedName>
    <definedName name="totalmv97">#REF!</definedName>
    <definedName name="TotalRoE10">[41]Assumptions!$B$23</definedName>
    <definedName name="Totdebt">[16]List_ratios!#REF!</definedName>
    <definedName name="tothpincome">'[6]CYLA BFLA'!$O$11</definedName>
    <definedName name="tothploss">'[6]CYLA BFLA'!$P$11</definedName>
    <definedName name="totofbfloss.BusLossOthThanSpecLossCF8">[6]CFL!$F$11</definedName>
    <definedName name="totofbfloss.HPLossCF8">[6]CFL!$E$11</definedName>
    <definedName name="totofbfloss.LossFrmSpecBusCF8">[6]CFL!$G$11</definedName>
    <definedName name="totofbfloss.LossFrmSpecifiedBusCF8">[6]CFL!$H$11</definedName>
    <definedName name="totofbfloss.LTCGLossCF8">[6]CFL!$J$11</definedName>
    <definedName name="totofbfloss.OthSrcLossNotRaceHorseCF8">[6]CFL!$K$11</definedName>
    <definedName name="totofbfloss.OthSrcLossRaceHorseCF8">[6]CFL!$L$11</definedName>
    <definedName name="totofbfloss.STCGLossCF8">[6]CFL!$I$11</definedName>
    <definedName name="totusincome">[6]Calculator!$V$15</definedName>
    <definedName name="totusratio">[6]Calculator!$W$15</definedName>
    <definedName name="TPS" localSheetId="3">[11]Assumptions!#REF!</definedName>
    <definedName name="TPS" localSheetId="4">[11]Assumptions!#REF!</definedName>
    <definedName name="TPS" localSheetId="6">[11]Assumptions!#REF!</definedName>
    <definedName name="TPS">[11]Assumptions!#REF!</definedName>
    <definedName name="TPSA__Poland">[16]List_ratios!#REF!</definedName>
    <definedName name="TR.RelfClaimed90">[6]TR_FA!$F$8:$F$12</definedName>
    <definedName name="TR.RelfClaimed90GTotal">[6]TR_FA!$F$13</definedName>
    <definedName name="TR.RelfClaimed91">[6]TR_FA!$G$8:$G$12</definedName>
    <definedName name="TR.RelfClaimed91GTotal">[6]TR_FA!$G$13</definedName>
    <definedName name="TR.TaxesPaidGTotal">[6]TR_FA!$E$13</definedName>
    <definedName name="TR.TotalTaxesPaid">[6]TR_FA!$E$8:$E$12</definedName>
    <definedName name="TR.TotalTaxesPaidOutIndia">[6]TR_FA!$G$16</definedName>
    <definedName name="TR.TotalTaxesPaidOutIndiaDTAAAppli">[6]TR_FA!$G$17</definedName>
    <definedName name="TRAD">#REF!</definedName>
    <definedName name="Transportation">[11]Assumptions!$D$60</definedName>
    <definedName name="Transportation_Base" localSheetId="3">#REF!</definedName>
    <definedName name="Transportation_Base" localSheetId="4">#REF!</definedName>
    <definedName name="Transportation_Base" localSheetId="6">#REF!</definedName>
    <definedName name="Transportation_Base">#REF!</definedName>
    <definedName name="Transportation_SEN" localSheetId="3">#REF!</definedName>
    <definedName name="Transportation_SEN" localSheetId="4">#REF!</definedName>
    <definedName name="Transportation_SEN" localSheetId="6">#REF!</definedName>
    <definedName name="Transportation_SEN">#REF!</definedName>
    <definedName name="TRAVEL">#REF!</definedName>
    <definedName name="tripping" localSheetId="3">#REF!</definedName>
    <definedName name="tripping" localSheetId="4">#REF!</definedName>
    <definedName name="tripping" localSheetId="6">#REF!</definedName>
    <definedName name="tripping">#REF!</definedName>
    <definedName name="twac">'[15]Core Assumptions'!$E$219</definedName>
    <definedName name="TWNo">'[15]Core Assumptions'!$E$218</definedName>
    <definedName name="TXN_Calc">[6]Calculator!$D$17</definedName>
    <definedName name="UD.AmtDepCurYr">[6]UD!$D$4:$D$12</definedName>
    <definedName name="UD.Balance">[6]UD!$F$4:$F$12</definedName>
    <definedName name="UD.BF">[6]UD!$C$4:$C$12</definedName>
    <definedName name="UD.Setoff">[6]UD!$E$4:$E$12</definedName>
    <definedName name="ukdata">#REF!</definedName>
    <definedName name="unit">[86]Input!$D$385</definedName>
    <definedName name="uNIT1" localSheetId="3">#REF!</definedName>
    <definedName name="uNIT1" localSheetId="4">#REF!</definedName>
    <definedName name="uNIT1" localSheetId="6">#REF!</definedName>
    <definedName name="uNIT1">#REF!</definedName>
    <definedName name="uNIT2" localSheetId="3">#REF!</definedName>
    <definedName name="uNIT2" localSheetId="4">#REF!</definedName>
    <definedName name="uNIT2" localSheetId="6">#REF!</definedName>
    <definedName name="uNIT2">#REF!</definedName>
    <definedName name="uNIT3" localSheetId="3">#REF!</definedName>
    <definedName name="uNIT3" localSheetId="4">#REF!</definedName>
    <definedName name="uNIT3" localSheetId="6">#REF!</definedName>
    <definedName name="uNIT3">#REF!</definedName>
    <definedName name="units">[66]Company!$J$16</definedName>
    <definedName name="usa2data">#REF!</definedName>
    <definedName name="UScompanies">#REF!</definedName>
    <definedName name="USD" localSheetId="4">#REF!</definedName>
    <definedName name="USD">#REF!</definedName>
    <definedName name="usincome">[6]Calculator!$Q$4</definedName>
    <definedName name="util">[58]Sensitivity!$F$15</definedName>
    <definedName name="v">[69]PLAN!$A$2:$A$65536</definedName>
    <definedName name="valid">#REF!</definedName>
    <definedName name="validationr1">[8]Validation!$C$27:$O$27,[8]Validation!$D$22:$O$22,[8]Validation!$C$17:$O$17,[8]Validation!$D$10:$O$10</definedName>
    <definedName name="values">'[87]Determination of Threshold'!$B$3,'[87]Determination of Threshold'!$B$4,'[87]Determination of Threshold'!$B$15</definedName>
    <definedName name="Values_Entered">IF(Loan_Amount*Interest_Rate*Loan_Years*Loan_Start&gt;0,1,0)</definedName>
    <definedName name="ValuesBSA">[88]BS!$B$2:$O$3,[88]BS!$B$7:$O$13,[88]BS!$C$16:$O$17,[88]BS!$B$20:$O$20,[88]BS!$B$35:$O$37,[88]BS!$B$55:$O$55</definedName>
    <definedName name="ValuesBSL">#REF!,[87]BS!$C$24:$O$28,#REF!,#REF!,[87]BS!$B$42:$O$44</definedName>
    <definedName name="ValuesChecks">'[88]Checks &amp; Inputs'!$C$16:$O$17,'[88]Checks &amp; Inputs'!$B$2</definedName>
    <definedName name="ValuesIS">[87]IS!$B$2:$N$4,[87]IS!$B$7:$N$54,[87]IS!$B$60:$N$61,[87]IS!#REF!,[87]IS!$B$75:$N$75,[87]IS!#REF!,[87]IS!#REF!</definedName>
    <definedName name="VAR_1" localSheetId="3">#REF!</definedName>
    <definedName name="VAR_1" localSheetId="4">#REF!</definedName>
    <definedName name="VAR_1" localSheetId="6">#REF!</definedName>
    <definedName name="VAR_1">#REF!</definedName>
    <definedName name="VAR_10" localSheetId="3">#REF!</definedName>
    <definedName name="VAR_10" localSheetId="4">#REF!</definedName>
    <definedName name="VAR_10" localSheetId="6">#REF!</definedName>
    <definedName name="VAR_10">#REF!</definedName>
    <definedName name="VAR_11" localSheetId="3">#REF!</definedName>
    <definedName name="VAR_11" localSheetId="4">#REF!</definedName>
    <definedName name="VAR_11" localSheetId="6">#REF!</definedName>
    <definedName name="VAR_11">#REF!</definedName>
    <definedName name="VAR_12" localSheetId="4">#REF!</definedName>
    <definedName name="VAR_12">#REF!</definedName>
    <definedName name="VAR_13" localSheetId="4">#REF!</definedName>
    <definedName name="VAR_13">#REF!</definedName>
    <definedName name="VAR_14" localSheetId="4">#REF!</definedName>
    <definedName name="VAR_14">#REF!</definedName>
    <definedName name="VAR_15" localSheetId="4">#REF!</definedName>
    <definedName name="VAR_15">#REF!</definedName>
    <definedName name="VAR_16" localSheetId="4">#REF!</definedName>
    <definedName name="VAR_16">#REF!</definedName>
    <definedName name="VAR_17" localSheetId="4">#REF!</definedName>
    <definedName name="VAR_17">#REF!</definedName>
    <definedName name="VAR_18" localSheetId="4">#REF!</definedName>
    <definedName name="VAR_18">#REF!</definedName>
    <definedName name="VAR_19" localSheetId="4">#REF!</definedName>
    <definedName name="VAR_19">#REF!</definedName>
    <definedName name="VAR_2" localSheetId="4">#REF!</definedName>
    <definedName name="VAR_2">#REF!</definedName>
    <definedName name="VAR_20" localSheetId="4">#REF!</definedName>
    <definedName name="VAR_20">#REF!</definedName>
    <definedName name="VAR_21" localSheetId="4">#REF!</definedName>
    <definedName name="VAR_21">#REF!</definedName>
    <definedName name="VAR_22" localSheetId="4">#REF!</definedName>
    <definedName name="VAR_22">#REF!</definedName>
    <definedName name="VAR_23" localSheetId="4">#REF!</definedName>
    <definedName name="VAR_23">#REF!</definedName>
    <definedName name="VAR_24" localSheetId="4">#REF!</definedName>
    <definedName name="VAR_24">#REF!</definedName>
    <definedName name="VAR_25" localSheetId="4">#REF!</definedName>
    <definedName name="VAR_25">#REF!</definedName>
    <definedName name="VAR_26" localSheetId="4">#REF!</definedName>
    <definedName name="VAR_26">#REF!</definedName>
    <definedName name="VAR_27" localSheetId="4">#REF!</definedName>
    <definedName name="VAR_27">#REF!</definedName>
    <definedName name="VAR_28" localSheetId="4">#REF!</definedName>
    <definedName name="VAR_28">#REF!</definedName>
    <definedName name="VAR_29" localSheetId="4">#REF!</definedName>
    <definedName name="VAR_29">#REF!</definedName>
    <definedName name="VAR_3" localSheetId="4">#REF!</definedName>
    <definedName name="VAR_3">#REF!</definedName>
    <definedName name="VAR_30" localSheetId="4">#REF!</definedName>
    <definedName name="VAR_30">#REF!</definedName>
    <definedName name="VAR_4" localSheetId="4">#REF!</definedName>
    <definedName name="VAR_4">#REF!</definedName>
    <definedName name="VAR_5" localSheetId="4">#REF!</definedName>
    <definedName name="VAR_5">#REF!</definedName>
    <definedName name="VAR_6" localSheetId="4">#REF!</definedName>
    <definedName name="VAR_6">#REF!</definedName>
    <definedName name="VAR_7" localSheetId="4">#REF!</definedName>
    <definedName name="VAR_7">#REF!</definedName>
    <definedName name="VAR_8" localSheetId="4">#REF!</definedName>
    <definedName name="VAR_8">#REF!</definedName>
    <definedName name="VAR_9" localSheetId="4">#REF!</definedName>
    <definedName name="VAR_9">#REF!</definedName>
    <definedName name="Var_IntRate">[40]Senstivity!$E$9</definedName>
    <definedName name="Var_IntRateP75">[40]Senstivity!$E$22</definedName>
    <definedName name="Var_ONM">[40]Senstivity!$E$8</definedName>
    <definedName name="Var_ONMP75">[40]Senstivity!$E$21</definedName>
    <definedName name="var_P75">[40]Senstivity!$E$17</definedName>
    <definedName name="Var_PLF">[40]Senstivity!$E$7</definedName>
    <definedName name="Var_PLFP75">[40]Senstivity!$E$20</definedName>
    <definedName name="Var_Tariff">[40]Senstivity!$E$6</definedName>
    <definedName name="Var_TariffP75">[40]Senstivity!$E$19</definedName>
    <definedName name="VarIntRate">[40]Senstivity!$F$9</definedName>
    <definedName name="varioustaxes">[89]wwww!$C$59:$C$62</definedName>
    <definedName name="VarONM">[40]Senstivity!$F$8</definedName>
    <definedName name="VarPLF">[40]Senstivity!$F$7</definedName>
    <definedName name="VarTariff">[40]Senstivity!$F$6</definedName>
    <definedName name="VEH">#REF!</definedName>
    <definedName name="VIA.Section80GGA">'[6]80_'!$G$43</definedName>
    <definedName name="VIA.Section80GGC">'[6]80_'!$G$45</definedName>
    <definedName name="VIA.Section80IA">'[6]80_'!$G$46</definedName>
    <definedName name="VIA.Section80IAB">'[6]80_'!$G$47</definedName>
    <definedName name="VIA.Section80IB">'[6]80_'!$G$48</definedName>
    <definedName name="VIA.Section80IC">'[6]80_'!$G$49</definedName>
    <definedName name="VIA.Section80ID">'[6]80_'!$G$50</definedName>
    <definedName name="VIA.Section80JJA">'[6]80_'!$G$51</definedName>
    <definedName name="VIA.Section80JJAA">'[6]80_'!$G$52</definedName>
    <definedName name="VIA.Section80LA">'[6]80_'!$G$54</definedName>
    <definedName name="VIA.SectionGGB">'[6]80_'!$G$44</definedName>
    <definedName name="VIA.TotalChapVIADeductions">'[6]80_'!$G$55</definedName>
    <definedName name="W" localSheetId="3">#REF!</definedName>
    <definedName name="W" localSheetId="4">#REF!</definedName>
    <definedName name="W" localSheetId="6">#REF!</definedName>
    <definedName name="W">#REF!</definedName>
    <definedName name="w_1">[6]Calculator!$P$3</definedName>
    <definedName name="w_14">[6]Calculator!$P$1</definedName>
    <definedName name="w_4">[6]Calculator!$P$2</definedName>
    <definedName name="w1deductions">[6]Calculator!$O$3</definedName>
    <definedName name="wacc">#REF!</definedName>
    <definedName name="wacc97">#REF!</definedName>
    <definedName name="wages">#REF!</definedName>
    <definedName name="WEEK_1A" localSheetId="3">#REF!</definedName>
    <definedName name="WEEK_1A" localSheetId="4">#REF!</definedName>
    <definedName name="WEEK_1A" localSheetId="6">#REF!</definedName>
    <definedName name="WEEK_1A">#REF!</definedName>
    <definedName name="WEEK_1B" localSheetId="3">#REF!</definedName>
    <definedName name="WEEK_1B" localSheetId="4">#REF!</definedName>
    <definedName name="WEEK_1B" localSheetId="6">#REF!</definedName>
    <definedName name="WEEK_1B">#REF!</definedName>
    <definedName name="WEEK_2A" localSheetId="4">#REF!</definedName>
    <definedName name="WEEK_2A">#REF!</definedName>
    <definedName name="WEEK_2B" localSheetId="4">#REF!</definedName>
    <definedName name="WEEK_2B">#REF!</definedName>
    <definedName name="Working_capital_Rate_of_Interest_for_FY_10_11">[22]Assumption_PwC!$C$116</definedName>
    <definedName name="WORKINGS1">#REF!</definedName>
    <definedName name="WORKINGS2">#REF!</definedName>
    <definedName name="WORKINGS3">#REF!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TGHold">'[15]Core Assumptions'!$C$360</definedName>
    <definedName name="WRTGOGI">'[15]Core Assumptions'!$G$360</definedName>
    <definedName name="WRTMHold">'[15]Core Assumptions'!$C$359</definedName>
    <definedName name="WRTMOGI">'[15]Core Assumptions'!$G$359</definedName>
    <definedName name="x">#REF!</definedName>
    <definedName name="X1_" localSheetId="3">#REF!</definedName>
    <definedName name="X1_" localSheetId="4">#REF!</definedName>
    <definedName name="X1_" localSheetId="6">#REF!</definedName>
    <definedName name="X1_">#REF!</definedName>
    <definedName name="X11__?___QUIT_" localSheetId="3">#REF!</definedName>
    <definedName name="X11__?___QUIT_" localSheetId="4">#REF!</definedName>
    <definedName name="X11__?___QUIT_" localSheetId="6">#REF!</definedName>
    <definedName name="X11__?___QUIT_">#REF!</definedName>
    <definedName name="xc">[90]Company!$J$16</definedName>
    <definedName name="xcxcxcc" localSheetId="3">#REF!</definedName>
    <definedName name="xcxcxcc" localSheetId="4">#REF!</definedName>
    <definedName name="xcxcxcc" localSheetId="6">#REF!</definedName>
    <definedName name="xcxcxcc">#REF!</definedName>
    <definedName name="xcxvxv" localSheetId="3">'[39]04REL'!#REF!</definedName>
    <definedName name="xcxvxv" localSheetId="4">'[39]04REL'!#REF!</definedName>
    <definedName name="xcxvxv" localSheetId="6">'[39]04REL'!#REF!</definedName>
    <definedName name="xcxvxv">'[39]04REL'!#REF!</definedName>
    <definedName name="xczczczc" localSheetId="3">#REF!</definedName>
    <definedName name="xczczczc" localSheetId="4">#REF!</definedName>
    <definedName name="xczczczc" localSheetId="6">#REF!</definedName>
    <definedName name="xczczczc">#REF!</definedName>
    <definedName name="xczxzxz" localSheetId="3">#REF!,#REF!</definedName>
    <definedName name="xczxzxz" localSheetId="4">#REF!,#REF!</definedName>
    <definedName name="xczxzxz" localSheetId="6">#REF!,#REF!</definedName>
    <definedName name="xczxzxz">#REF!,#REF!</definedName>
    <definedName name="xfzdsfzsf" localSheetId="3">#REF!</definedName>
    <definedName name="xfzdsfzsf" localSheetId="4">#REF!</definedName>
    <definedName name="xfzdsfzsf" localSheetId="6">#REF!</definedName>
    <definedName name="xfzdsfzsf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7" hidden="1">[14]Stockchange_Leadsheet!#REF!</definedName>
    <definedName name="XRefCopy1Row" hidden="1">#REF!</definedName>
    <definedName name="XRefCopy2" hidden="1">#REF!</definedName>
    <definedName name="XRefCopy20" hidden="1">'[90]cost of sales'!#REF!</definedName>
    <definedName name="XRefCopy21" hidden="1">'[90]cost of sales'!#REF!</definedName>
    <definedName name="XRefCopy22" hidden="1">'[90]cost of sales'!#REF!</definedName>
    <definedName name="XRefCopy23" hidden="1">'[90]cost of sales'!#REF!</definedName>
    <definedName name="XRefCopy24" hidden="1">'[90]cost of sales'!#REF!</definedName>
    <definedName name="XRefCopy24Row" hidden="1">[91]XREF!#REF!</definedName>
    <definedName name="XRefCopy25" hidden="1">'[90]cost of sales'!#REF!</definedName>
    <definedName name="XRefCopy26" hidden="1">'[90]cost of sales'!#REF!</definedName>
    <definedName name="XRefCopy2Row" hidden="1">[92]XREF!#REF!</definedName>
    <definedName name="XRefCopy3" hidden="1">#REF!</definedName>
    <definedName name="XRefCopy3Row" hidden="1">[92]XREF!#REF!</definedName>
    <definedName name="XRefCopy4" hidden="1">#REF!</definedName>
    <definedName name="XRefCopy4Row" hidden="1">#REF!</definedName>
    <definedName name="XRefCopy5" hidden="1">#REF!</definedName>
    <definedName name="XRefCopy59" hidden="1">'[90]cost of sales'!#REF!</definedName>
    <definedName name="XRefCopy5Row" hidden="1">#REF!</definedName>
    <definedName name="XRefCopy6" hidden="1">#REF!</definedName>
    <definedName name="XRefCopy62" hidden="1">'[90]cost of sales'!#REF!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9</definedName>
    <definedName name="XRefPaste1" hidden="1">[14]Inventories_Leadsheet!#REF!</definedName>
    <definedName name="XRefPaste10" hidden="1">#REF!</definedName>
    <definedName name="XRefPaste10Row" hidden="1">#REF!</definedName>
    <definedName name="XRefPaste1Row" hidden="1">[92]XREF!#REF!</definedName>
    <definedName name="XRefPaste2" hidden="1">#REF!</definedName>
    <definedName name="XRefPaste2Row" hidden="1">[92]XREF!#REF!</definedName>
    <definedName name="XRefPaste3" hidden="1">#REF!</definedName>
    <definedName name="XRefPaste31Row" hidden="1">#REF!</definedName>
    <definedName name="XRefPaste3Row" hidden="1">[92]XREF!#REF!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8</definedName>
    <definedName name="XWU">#REF!</definedName>
    <definedName name="XWW">#N/A</definedName>
    <definedName name="XX">#REF!</definedName>
    <definedName name="XXX">#REF!</definedName>
    <definedName name="xxxx" localSheetId="3" hidden="1">[93]CE!#REF!</definedName>
    <definedName name="xxxx" localSheetId="4" hidden="1">[93]CE!#REF!</definedName>
    <definedName name="xxxx" localSheetId="6" hidden="1">[93]CE!#REF!</definedName>
    <definedName name="xxxx" hidden="1">[93]CE!#REF!</definedName>
    <definedName name="xzxzxcxc" localSheetId="3">#REF!</definedName>
    <definedName name="xzxzxcxc" localSheetId="4">#REF!</definedName>
    <definedName name="xzxzxcxc" localSheetId="6">#REF!</definedName>
    <definedName name="xzxzxcxc">#REF!</definedName>
    <definedName name="year" localSheetId="3">#REF!</definedName>
    <definedName name="year" localSheetId="4">#REF!</definedName>
    <definedName name="year" localSheetId="6">#REF!</definedName>
    <definedName name="year">#REF!</definedName>
    <definedName name="Year1" localSheetId="3">#REF!</definedName>
    <definedName name="Year1" localSheetId="4">#REF!</definedName>
    <definedName name="Year1" localSheetId="6">#REF!</definedName>
    <definedName name="Year1">#REF!</definedName>
    <definedName name="year2011" localSheetId="4">#REF!</definedName>
    <definedName name="year2011">#REF!</definedName>
    <definedName name="Years">[29]Data!$A$2:$IV$2</definedName>
    <definedName name="YearType">[29]Data!$A$1:$IV$1</definedName>
    <definedName name="yes1">[57]Input!$B$162</definedName>
    <definedName name="yes10">[57]Input!$K$162</definedName>
    <definedName name="yes2">[57]Input!$C$162</definedName>
    <definedName name="yes3">[57]Input!$D$162</definedName>
    <definedName name="yes4">[57]Input!$E$162</definedName>
    <definedName name="yes5">[57]Input!$F$162</definedName>
    <definedName name="yes6">[57]Input!$G$162</definedName>
    <definedName name="yes7">[57]Input!$H$162</definedName>
    <definedName name="yes8">[57]Input!$I$162</definedName>
    <definedName name="yes9">[57]Input!$J$162</definedName>
    <definedName name="ygshjshua" localSheetId="3">#REF!</definedName>
    <definedName name="ygshjshua" localSheetId="4">#REF!</definedName>
    <definedName name="ygshjshua" localSheetId="6">#REF!</definedName>
    <definedName name="ygshjshua">#REF!</definedName>
    <definedName name="yr1999.BusLossOthThanSpecLossCF">[6]CFL!$F$3</definedName>
    <definedName name="yr1999.HPLossCF">[6]CFL!$E$3</definedName>
    <definedName name="yr1999.LTCGLossCF">[6]CFL!$J$3</definedName>
    <definedName name="yr1999.STCGLossCF">[6]CFL!$I$3</definedName>
    <definedName name="yr2000.BusLossOthThanSpecLossCF1">[6]CFL!$F$4</definedName>
    <definedName name="yr2000.HPLossCF1">[6]CFL!$E$4</definedName>
    <definedName name="yr2000.LossFrmSpecBusCF1">[6]CFL!$G$4</definedName>
    <definedName name="yr2000.LTCGLossCF1">[6]CFL!$J$4</definedName>
    <definedName name="yr2000.STCGLossCF1">[6]CFL!$I$4</definedName>
    <definedName name="yr2001.BusLossOthThanSpecLossCF2">[6]CFL!$F$5</definedName>
    <definedName name="yr2001.HPLossCF2">[6]CFL!$E$5</definedName>
    <definedName name="yr2001.LossFrmSpecBusCF2">[6]CFL!$G$5</definedName>
    <definedName name="yr2001.LTCGLossCF2">[6]CFL!$J$5</definedName>
    <definedName name="yr2001.STCGLossCF2">[6]CFL!$I$5</definedName>
    <definedName name="yr2002.BusLossOthThanSpecLossCF3">[6]CFL!$F$6</definedName>
    <definedName name="yr2002.HPLossCF3">[6]CFL!$E$6</definedName>
    <definedName name="yr2002.LossFrmSpecBusCF3">[6]CFL!$G$6</definedName>
    <definedName name="yr2002.LTCGLossCF3">[6]CFL!$J$6</definedName>
    <definedName name="yr2002.STCGLossCF3">[6]CFL!$I$6</definedName>
    <definedName name="yr2003.BusLossOthThanSpecLossCF4">[6]CFL!$F$7</definedName>
    <definedName name="yr2003.HPLossCF4">[6]CFL!$E$7</definedName>
    <definedName name="yr2003.LossFrmSpecBusCF4">[6]CFL!$G$7</definedName>
    <definedName name="yr2003.LTCGLossCF4">[6]CFL!$J$7</definedName>
    <definedName name="yr2003.OthSrcLossRaceHorseCF4">[6]CFL!$L$7</definedName>
    <definedName name="yr2003.STCGLossCF4">[6]CFL!$I$7</definedName>
    <definedName name="yr2004.BusLossOthThanSpecLossCF5">[6]CFL!$F$8</definedName>
    <definedName name="yr2004.HPLossCF5">[6]CFL!$E$8</definedName>
    <definedName name="yr2004.LossFrmSpecBusCF5">[6]CFL!$G$8</definedName>
    <definedName name="yr2004.LTCGLossCF5">[6]CFL!$J$8</definedName>
    <definedName name="yr2004.OthSrcLossRaceHorseCF5">[6]CFL!$L$8</definedName>
    <definedName name="yr2004.STCGLossCF5">[6]CFL!$I$8</definedName>
    <definedName name="yr2005.BusLossOthThanSpecLossCF6">[6]CFL!$F$9</definedName>
    <definedName name="yr2005.HPLossCF6">[6]CFL!$E$9</definedName>
    <definedName name="yr2005.LossFrmSpecBusCF6">[6]CFL!$G$9</definedName>
    <definedName name="yr2005.LTCGLossCF6">[6]CFL!$J$9</definedName>
    <definedName name="yr2005.OthSrcLossRaceHorseCF6">[6]CFL!$L$9</definedName>
    <definedName name="yr2005.STCGLossCF6">[6]CFL!$I$9</definedName>
    <definedName name="yr2006.BusLossOthThanSpecLossCF7">[6]CFL!$F$10</definedName>
    <definedName name="yr2006.HPLossCF7">[6]CFL!$E$10</definedName>
    <definedName name="yr2006.LossFrmSpecBusCF7">[6]CFL!$G$10</definedName>
    <definedName name="yr2006.LossFrmSpecifiedBusCF7">[6]CFL!$H$10</definedName>
    <definedName name="yr2006.LTCGLossCF7">[6]CFL!$J$10</definedName>
    <definedName name="yr2006.OthSrcLossRaceHorseCF7">[6]CFL!$L$10</definedName>
    <definedName name="yr2006.STCGLossCF7">[6]CFL!$I$10</definedName>
    <definedName name="YTD">#REF!</definedName>
    <definedName name="zbhh" localSheetId="3">#REF!</definedName>
    <definedName name="zbhh" localSheetId="4">#REF!</definedName>
    <definedName name="zbhh">#REF!</definedName>
    <definedName name="zzxxx" localSheetId="3">#REF!,#REF!</definedName>
    <definedName name="zzxxx" localSheetId="4">#REF!,#REF!</definedName>
    <definedName name="zzxxx" localSheetId="6">#REF!,#REF!</definedName>
    <definedName name="zz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7" l="1"/>
  <c r="Y6" i="7"/>
  <c r="X6" i="7"/>
  <c r="W6" i="7"/>
  <c r="V6" i="7"/>
  <c r="Z8" i="6"/>
  <c r="Y8" i="6"/>
  <c r="X8" i="6"/>
  <c r="W8" i="6"/>
  <c r="R17" i="3"/>
  <c r="W9" i="3"/>
  <c r="W13" i="3" s="1"/>
  <c r="W17" i="3" s="1"/>
  <c r="V9" i="3"/>
  <c r="V13" i="3" s="1"/>
  <c r="V17" i="3" s="1"/>
  <c r="U9" i="3"/>
  <c r="U13" i="3" s="1"/>
  <c r="U17" i="3" s="1"/>
  <c r="T9" i="3"/>
  <c r="T13" i="3" s="1"/>
  <c r="T17" i="3" s="1"/>
  <c r="S9" i="3"/>
  <c r="S13" i="3" s="1"/>
  <c r="S17" i="3" s="1"/>
  <c r="Z18" i="8"/>
  <c r="Z19" i="8" s="1"/>
  <c r="Z16" i="8"/>
  <c r="Z14" i="8"/>
  <c r="Z15" i="8" s="1"/>
  <c r="Z11" i="8"/>
  <c r="Y11" i="8"/>
  <c r="X11" i="8"/>
  <c r="W11" i="8"/>
  <c r="V11" i="8"/>
  <c r="U11" i="8"/>
  <c r="T11" i="8"/>
  <c r="S11" i="8"/>
  <c r="R11" i="8"/>
  <c r="Z9" i="8"/>
  <c r="Z7" i="8"/>
  <c r="Z5" i="8"/>
  <c r="Z10" i="8" l="1"/>
  <c r="Z8" i="8"/>
  <c r="Z17" i="8"/>
  <c r="Z12" i="8"/>
  <c r="Z13" i="8" l="1"/>
  <c r="Z20" i="8"/>
  <c r="T27" i="1" l="1"/>
  <c r="S27" i="1"/>
  <c r="C49" i="1" l="1"/>
  <c r="M26" i="7" s="1"/>
  <c r="C50" i="1"/>
  <c r="M25" i="7" s="1"/>
  <c r="C46" i="1"/>
  <c r="F24" i="9" l="1"/>
  <c r="E24" i="9"/>
  <c r="D24" i="9"/>
  <c r="D12" i="9" l="1"/>
  <c r="D13" i="9" s="1"/>
  <c r="E12" i="9"/>
  <c r="E13" i="9" s="1"/>
  <c r="F12" i="9"/>
  <c r="F13" i="9" s="1"/>
  <c r="C12" i="9"/>
  <c r="C13" i="9" s="1"/>
  <c r="C17" i="9" l="1"/>
  <c r="F17" i="9"/>
  <c r="E17" i="9"/>
  <c r="D17" i="9"/>
  <c r="I11" i="8"/>
  <c r="J11" i="8"/>
  <c r="K11" i="8"/>
  <c r="L11" i="8"/>
  <c r="M11" i="8"/>
  <c r="N11" i="8"/>
  <c r="O11" i="8"/>
  <c r="P11" i="8"/>
  <c r="Q11" i="8"/>
  <c r="H11" i="8"/>
  <c r="C30" i="5"/>
  <c r="C29" i="5"/>
  <c r="L69" i="1"/>
  <c r="K69" i="1"/>
  <c r="J69" i="1"/>
  <c r="B36" i="1"/>
  <c r="D31" i="1"/>
  <c r="C22" i="9" l="1"/>
  <c r="C26" i="9" s="1"/>
  <c r="C27" i="9" s="1"/>
  <c r="C18" i="9"/>
  <c r="F18" i="9"/>
  <c r="F22" i="9"/>
  <c r="E22" i="9"/>
  <c r="E18" i="9"/>
  <c r="D22" i="9"/>
  <c r="D18" i="9"/>
  <c r="N25" i="7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25" i="7"/>
  <c r="D70" i="3"/>
  <c r="B66" i="3"/>
  <c r="F26" i="9" l="1"/>
  <c r="F27" i="9" s="1"/>
  <c r="E26" i="9"/>
  <c r="E27" i="9" s="1"/>
  <c r="D26" i="9"/>
  <c r="D27" i="9" s="1"/>
  <c r="E70" i="3"/>
  <c r="H64" i="3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V67" i="3" l="1"/>
  <c r="W64" i="3"/>
  <c r="F70" i="3"/>
  <c r="W67" i="3" l="1"/>
  <c r="X64" i="3"/>
  <c r="G70" i="3"/>
  <c r="H67" i="3"/>
  <c r="H69" i="3" l="1"/>
  <c r="H70" i="3" s="1"/>
  <c r="X67" i="3"/>
  <c r="Y64" i="3"/>
  <c r="Y67" i="3" s="1"/>
  <c r="I67" i="3"/>
  <c r="I69" i="3" l="1"/>
  <c r="I70" i="3" s="1"/>
  <c r="J67" i="3"/>
  <c r="J69" i="3" s="1"/>
  <c r="J70" i="3" s="1"/>
  <c r="K67" i="3" l="1"/>
  <c r="K69" i="3" s="1"/>
  <c r="K70" i="3" s="1"/>
  <c r="L67" i="3" l="1"/>
  <c r="L69" i="3" s="1"/>
  <c r="L70" i="3" s="1"/>
  <c r="M67" i="3" l="1"/>
  <c r="M69" i="3" s="1"/>
  <c r="M70" i="3" s="1"/>
  <c r="N67" i="3" l="1"/>
  <c r="N69" i="3" s="1"/>
  <c r="N70" i="3" s="1"/>
  <c r="O67" i="3" l="1"/>
  <c r="O69" i="3" s="1"/>
  <c r="O70" i="3" s="1"/>
  <c r="P67" i="3" l="1"/>
  <c r="P69" i="3" s="1"/>
  <c r="P70" i="3" s="1"/>
  <c r="Q67" i="3" l="1"/>
  <c r="Q69" i="3" s="1"/>
  <c r="Q70" i="3" s="1"/>
  <c r="R67" i="3" l="1"/>
  <c r="R69" i="3" s="1"/>
  <c r="R70" i="3" s="1"/>
  <c r="S67" i="3" l="1"/>
  <c r="S69" i="3" s="1"/>
  <c r="S70" i="3" s="1"/>
  <c r="T67" i="3" l="1"/>
  <c r="T69" i="3" s="1"/>
  <c r="T70" i="3" s="1"/>
  <c r="U67" i="3" l="1"/>
  <c r="U69" i="3" s="1"/>
  <c r="U70" i="3" l="1"/>
  <c r="V69" i="3"/>
  <c r="W69" i="3" s="1"/>
  <c r="V70" i="3" l="1"/>
  <c r="W70" i="3"/>
  <c r="X69" i="3"/>
  <c r="D5" i="6"/>
  <c r="D4" i="6"/>
  <c r="X70" i="3" l="1"/>
  <c r="Y68" i="3"/>
  <c r="Y69" i="3" s="1"/>
  <c r="Y70" i="3" s="1"/>
  <c r="H44" i="7"/>
  <c r="Y33" i="7"/>
  <c r="X33" i="7"/>
  <c r="W33" i="7"/>
  <c r="V33" i="7"/>
  <c r="J2" i="1"/>
  <c r="J2" i="7" s="1"/>
  <c r="Y82" i="3"/>
  <c r="C10" i="5"/>
  <c r="N26" i="7"/>
  <c r="O26" i="7" s="1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AD26" i="7" s="1"/>
  <c r="K2" i="1" l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D2" i="7" s="1"/>
  <c r="J27" i="1"/>
  <c r="L2" i="7" l="1"/>
  <c r="O2" i="7"/>
  <c r="K2" i="7"/>
  <c r="P2" i="7"/>
  <c r="R2" i="7"/>
  <c r="Y2" i="7"/>
  <c r="U2" i="7"/>
  <c r="W2" i="7"/>
  <c r="Z2" i="7"/>
  <c r="T2" i="7"/>
  <c r="S2" i="7"/>
  <c r="V2" i="7"/>
  <c r="Q2" i="7"/>
  <c r="AB2" i="7"/>
  <c r="X2" i="7"/>
  <c r="AA2" i="7"/>
  <c r="N2" i="7"/>
  <c r="M2" i="7"/>
  <c r="AC2" i="7"/>
  <c r="AD6" i="7"/>
  <c r="AC6" i="7"/>
  <c r="C43" i="1"/>
  <c r="U27" i="1"/>
  <c r="M24" i="7" l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D79" i="3"/>
  <c r="D80" i="3" s="1"/>
  <c r="B75" i="3"/>
  <c r="H73" i="3" l="1"/>
  <c r="H76" i="3" s="1"/>
  <c r="I73" i="3" l="1"/>
  <c r="I76" i="3" l="1"/>
  <c r="H52" i="7" l="1"/>
  <c r="AB6" i="7"/>
  <c r="AA6" i="7"/>
  <c r="Q6" i="7"/>
  <c r="P6" i="7"/>
  <c r="O6" i="7"/>
  <c r="N6" i="7"/>
  <c r="M6" i="7"/>
  <c r="C54" i="1"/>
  <c r="C55" i="1" s="1"/>
  <c r="H55" i="3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C6" i="6"/>
  <c r="D9" i="6" s="1"/>
  <c r="F6" i="6"/>
  <c r="E5" i="6"/>
  <c r="E4" i="6"/>
  <c r="AD27" i="1"/>
  <c r="AD13" i="7" s="1"/>
  <c r="AC27" i="1"/>
  <c r="AC13" i="7" s="1"/>
  <c r="E10" i="6" l="1"/>
  <c r="D10" i="6"/>
  <c r="H10" i="6"/>
  <c r="G10" i="6"/>
  <c r="F10" i="6"/>
  <c r="X55" i="3"/>
  <c r="W61" i="3"/>
  <c r="D6" i="6"/>
  <c r="X61" i="3" l="1"/>
  <c r="Y55" i="3"/>
  <c r="Y59" i="3" s="1"/>
  <c r="C32" i="1"/>
  <c r="B33" i="8" s="1"/>
  <c r="AB27" i="1"/>
  <c r="AB13" i="7" s="1"/>
  <c r="AA27" i="1"/>
  <c r="AA13" i="7" s="1"/>
  <c r="Z27" i="1"/>
  <c r="Z13" i="7" s="1"/>
  <c r="Y27" i="1"/>
  <c r="Y13" i="7" s="1"/>
  <c r="X27" i="1"/>
  <c r="X13" i="7" s="1"/>
  <c r="W27" i="1"/>
  <c r="W13" i="7" s="1"/>
  <c r="V27" i="1"/>
  <c r="V13" i="7" s="1"/>
  <c r="R27" i="1"/>
  <c r="Q27" i="1"/>
  <c r="Q13" i="7" s="1"/>
  <c r="P27" i="1"/>
  <c r="P13" i="7" s="1"/>
  <c r="O27" i="1"/>
  <c r="O13" i="7" s="1"/>
  <c r="N27" i="1"/>
  <c r="N13" i="7" s="1"/>
  <c r="M27" i="1"/>
  <c r="M13" i="7" s="1"/>
  <c r="L27" i="1"/>
  <c r="K27" i="1"/>
  <c r="D11" i="6" l="1"/>
  <c r="D14" i="6" s="1"/>
  <c r="D12" i="6"/>
  <c r="E9" i="6" s="1"/>
  <c r="Y60" i="3"/>
  <c r="Y61" i="3" s="1"/>
  <c r="F4" i="1"/>
  <c r="F1" i="1"/>
  <c r="G1" i="1" s="1"/>
  <c r="E11" i="6" l="1"/>
  <c r="E12" i="6"/>
  <c r="F3" i="1"/>
  <c r="AC86" i="7" l="1"/>
  <c r="AC27" i="7"/>
  <c r="B42" i="8"/>
  <c r="B41" i="8"/>
  <c r="AD86" i="7" l="1"/>
  <c r="AD27" i="7"/>
  <c r="D42" i="8"/>
  <c r="I87" i="7"/>
  <c r="I75" i="7"/>
  <c r="A42" i="8"/>
  <c r="A41" i="8"/>
  <c r="I52" i="7"/>
  <c r="G1" i="7"/>
  <c r="G53" i="7" s="1"/>
  <c r="F1" i="7"/>
  <c r="F53" i="7" s="1"/>
  <c r="E53" i="7"/>
  <c r="D53" i="7"/>
  <c r="D50" i="7"/>
  <c r="D51" i="7" s="1"/>
  <c r="I44" i="7"/>
  <c r="A10" i="7"/>
  <c r="A4" i="7"/>
  <c r="A3" i="7"/>
  <c r="A2" i="7"/>
  <c r="A1" i="7"/>
  <c r="I92" i="7" l="1"/>
  <c r="B43" i="8"/>
  <c r="C42" i="8" s="1"/>
  <c r="D54" i="7"/>
  <c r="E50" i="7" s="1"/>
  <c r="E51" i="7" s="1"/>
  <c r="M86" i="7" l="1"/>
  <c r="C41" i="8"/>
  <c r="E54" i="7"/>
  <c r="F50" i="7" s="1"/>
  <c r="F51" i="7" s="1"/>
  <c r="N86" i="7" l="1"/>
  <c r="F54" i="7"/>
  <c r="G50" i="7" s="1"/>
  <c r="G51" i="7" s="1"/>
  <c r="O86" i="7" l="1"/>
  <c r="G54" i="7"/>
  <c r="H50" i="7" s="1"/>
  <c r="H51" i="7" s="1"/>
  <c r="H45" i="7" s="1"/>
  <c r="H46" i="7" s="1"/>
  <c r="P86" i="7" l="1"/>
  <c r="Q86" i="7" l="1"/>
  <c r="R86" i="7" l="1"/>
  <c r="S86" i="7" l="1"/>
  <c r="T86" i="7" l="1"/>
  <c r="U86" i="7" l="1"/>
  <c r="V86" i="7" l="1"/>
  <c r="W86" i="7" l="1"/>
  <c r="X86" i="7" l="1"/>
  <c r="Y86" i="7" l="1"/>
  <c r="Z86" i="7" l="1"/>
  <c r="AA86" i="7" l="1"/>
  <c r="AB86" i="7" l="1"/>
  <c r="C37" i="1" l="1"/>
  <c r="C9" i="1"/>
  <c r="C10" i="1" s="1"/>
  <c r="C15" i="1" s="1"/>
  <c r="C11" i="1"/>
  <c r="C13" i="1" s="1"/>
  <c r="C14" i="1" s="1"/>
  <c r="J73" i="3" l="1"/>
  <c r="J76" i="3" l="1"/>
  <c r="K73" i="3"/>
  <c r="G4" i="1"/>
  <c r="F4" i="7"/>
  <c r="K76" i="3" l="1"/>
  <c r="L73" i="3"/>
  <c r="G4" i="7"/>
  <c r="G3" i="1"/>
  <c r="L76" i="3" l="1"/>
  <c r="M73" i="3"/>
  <c r="M76" i="3" l="1"/>
  <c r="N73" i="3"/>
  <c r="F9" i="6"/>
  <c r="F11" i="6" s="1"/>
  <c r="N76" i="3" l="1"/>
  <c r="O73" i="3"/>
  <c r="F12" i="6"/>
  <c r="G9" i="6" s="1"/>
  <c r="G11" i="6" s="1"/>
  <c r="O76" i="3" l="1"/>
  <c r="P73" i="3"/>
  <c r="G12" i="6"/>
  <c r="H9" i="6" s="1"/>
  <c r="H11" i="6" s="1"/>
  <c r="P76" i="3" l="1"/>
  <c r="Q73" i="3"/>
  <c r="H12" i="6"/>
  <c r="I9" i="6" s="1"/>
  <c r="I11" i="6" s="1"/>
  <c r="C12" i="5"/>
  <c r="C21" i="5" s="1"/>
  <c r="I3" i="5"/>
  <c r="J6" i="5"/>
  <c r="D6" i="5"/>
  <c r="Q76" i="3" l="1"/>
  <c r="R73" i="3"/>
  <c r="I12" i="6"/>
  <c r="K3" i="5"/>
  <c r="R76" i="3" l="1"/>
  <c r="S73" i="3"/>
  <c r="J9" i="6"/>
  <c r="J12" i="6" l="1"/>
  <c r="K9" i="6" s="1"/>
  <c r="J11" i="6"/>
  <c r="S76" i="3"/>
  <c r="K12" i="6" l="1"/>
  <c r="L9" i="6" s="1"/>
  <c r="L11" i="6" s="1"/>
  <c r="K11" i="6"/>
  <c r="T73" i="3"/>
  <c r="T76" i="3" s="1"/>
  <c r="U73" i="3" l="1"/>
  <c r="U76" i="3" s="1"/>
  <c r="L12" i="6"/>
  <c r="V73" i="3" l="1"/>
  <c r="W73" i="3" s="1"/>
  <c r="M9" i="6"/>
  <c r="E14" i="6"/>
  <c r="M33" i="7" s="1"/>
  <c r="M10" i="6" l="1"/>
  <c r="M12" i="6" s="1"/>
  <c r="N9" i="6" s="1"/>
  <c r="N11" i="6" s="1"/>
  <c r="M11" i="6"/>
  <c r="W75" i="3"/>
  <c r="X73" i="3" s="1"/>
  <c r="W76" i="3"/>
  <c r="V76" i="3"/>
  <c r="X76" i="3" l="1"/>
  <c r="X75" i="3"/>
  <c r="Y73" i="3" s="1"/>
  <c r="N10" i="6"/>
  <c r="N12" i="6" s="1"/>
  <c r="O9" i="6" s="1"/>
  <c r="O11" i="6" s="1"/>
  <c r="F14" i="6"/>
  <c r="N33" i="7" s="1"/>
  <c r="Y76" i="3" l="1"/>
  <c r="Y75" i="3"/>
  <c r="O10" i="6"/>
  <c r="O12" i="6" s="1"/>
  <c r="P9" i="6" s="1"/>
  <c r="P11" i="6" s="1"/>
  <c r="P10" i="6" l="1"/>
  <c r="P12" i="6" s="1"/>
  <c r="Q9" i="6" s="1"/>
  <c r="Q11" i="6" s="1"/>
  <c r="G14" i="6"/>
  <c r="O33" i="7" s="1"/>
  <c r="C56" i="1"/>
  <c r="AD21" i="7" s="1"/>
  <c r="E61" i="3"/>
  <c r="A50" i="3"/>
  <c r="H1" i="1"/>
  <c r="D61" i="3"/>
  <c r="I38" i="3"/>
  <c r="I42" i="3" s="1"/>
  <c r="I37" i="3"/>
  <c r="I41" i="3" s="1"/>
  <c r="I36" i="3"/>
  <c r="I40" i="3" s="1"/>
  <c r="I33" i="3"/>
  <c r="I45" i="3" s="1"/>
  <c r="I32" i="3"/>
  <c r="I44" i="3" s="1"/>
  <c r="I29" i="3"/>
  <c r="O28" i="3"/>
  <c r="O27" i="3"/>
  <c r="O25" i="3"/>
  <c r="O24" i="3"/>
  <c r="N23" i="3"/>
  <c r="N26" i="3" s="1"/>
  <c r="N29" i="3" s="1"/>
  <c r="M23" i="3"/>
  <c r="M26" i="3" s="1"/>
  <c r="M29" i="3" s="1"/>
  <c r="L23" i="3"/>
  <c r="L26" i="3" s="1"/>
  <c r="L29" i="3" s="1"/>
  <c r="K23" i="3"/>
  <c r="K26" i="3" s="1"/>
  <c r="K29" i="3" s="1"/>
  <c r="J23" i="3"/>
  <c r="J26" i="3" s="1"/>
  <c r="J29" i="3" s="1"/>
  <c r="H23" i="3"/>
  <c r="H26" i="3" s="1"/>
  <c r="H29" i="3" s="1"/>
  <c r="G23" i="3"/>
  <c r="G26" i="3" s="1"/>
  <c r="G29" i="3" s="1"/>
  <c r="F23" i="3"/>
  <c r="F26" i="3" s="1"/>
  <c r="O22" i="3"/>
  <c r="O21" i="3"/>
  <c r="X21" i="3" s="1"/>
  <c r="O20" i="3"/>
  <c r="X20" i="3" s="1"/>
  <c r="I17" i="3"/>
  <c r="I34" i="3" s="1"/>
  <c r="I46" i="3" s="1"/>
  <c r="O16" i="3"/>
  <c r="X16" i="3" s="1"/>
  <c r="O14" i="3"/>
  <c r="X14" i="3" s="1"/>
  <c r="O12" i="3"/>
  <c r="X12" i="3" s="1"/>
  <c r="O10" i="3"/>
  <c r="X10" i="3" s="1"/>
  <c r="N9" i="3"/>
  <c r="N36" i="3" s="1"/>
  <c r="N40" i="3" s="1"/>
  <c r="M9" i="3"/>
  <c r="M36" i="3" s="1"/>
  <c r="M40" i="3" s="1"/>
  <c r="L9" i="3"/>
  <c r="L37" i="3" s="1"/>
  <c r="L41" i="3" s="1"/>
  <c r="K9" i="3"/>
  <c r="K36" i="3" s="1"/>
  <c r="K40" i="3" s="1"/>
  <c r="J9" i="3"/>
  <c r="J36" i="3" s="1"/>
  <c r="J40" i="3" s="1"/>
  <c r="H9" i="3"/>
  <c r="H37" i="3" s="1"/>
  <c r="H41" i="3" s="1"/>
  <c r="G9" i="3"/>
  <c r="G36" i="3" s="1"/>
  <c r="G40" i="3" s="1"/>
  <c r="F9" i="3"/>
  <c r="F13" i="3" s="1"/>
  <c r="D9" i="3"/>
  <c r="D13" i="3" s="1"/>
  <c r="O8" i="3"/>
  <c r="X8" i="3" s="1"/>
  <c r="O7" i="3"/>
  <c r="X7" i="3" s="1"/>
  <c r="O6" i="3"/>
  <c r="X6" i="3" s="1"/>
  <c r="O5" i="3"/>
  <c r="X5" i="3" s="1"/>
  <c r="X9" i="3" l="1"/>
  <c r="X13" i="3" s="1"/>
  <c r="X82" i="3"/>
  <c r="W82" i="3"/>
  <c r="E79" i="3"/>
  <c r="E80" i="3" s="1"/>
  <c r="Q10" i="6"/>
  <c r="Q12" i="6" s="1"/>
  <c r="R9" i="6" s="1"/>
  <c r="I1" i="1"/>
  <c r="H1" i="7"/>
  <c r="H53" i="7" s="1"/>
  <c r="H54" i="7" s="1"/>
  <c r="I50" i="7" s="1"/>
  <c r="I51" i="7" s="1"/>
  <c r="I45" i="7" s="1"/>
  <c r="I46" i="7" s="1"/>
  <c r="F83" i="3"/>
  <c r="M83" i="3"/>
  <c r="G83" i="3"/>
  <c r="G82" i="3"/>
  <c r="E82" i="3"/>
  <c r="V82" i="3"/>
  <c r="F82" i="3"/>
  <c r="M82" i="3"/>
  <c r="P82" i="3"/>
  <c r="E83" i="3"/>
  <c r="O9" i="3"/>
  <c r="O37" i="3" s="1"/>
  <c r="O41" i="3" s="1"/>
  <c r="F61" i="3"/>
  <c r="G61" i="3"/>
  <c r="D38" i="3"/>
  <c r="D42" i="3" s="1"/>
  <c r="D33" i="3"/>
  <c r="D17" i="3"/>
  <c r="F17" i="3"/>
  <c r="F38" i="3"/>
  <c r="F42" i="3" s="1"/>
  <c r="F33" i="3"/>
  <c r="F45" i="3" s="1"/>
  <c r="O26" i="3"/>
  <c r="F29" i="3"/>
  <c r="O29" i="3" s="1"/>
  <c r="G13" i="3"/>
  <c r="L13" i="3"/>
  <c r="O23" i="3"/>
  <c r="D32" i="3"/>
  <c r="M32" i="3"/>
  <c r="M44" i="3" s="1"/>
  <c r="H36" i="3"/>
  <c r="H40" i="3" s="1"/>
  <c r="L36" i="3"/>
  <c r="L40" i="3" s="1"/>
  <c r="D37" i="3"/>
  <c r="D41" i="3" s="1"/>
  <c r="M37" i="3"/>
  <c r="M41" i="3" s="1"/>
  <c r="H13" i="3"/>
  <c r="M13" i="3"/>
  <c r="F32" i="3"/>
  <c r="F44" i="3" s="1"/>
  <c r="J32" i="3"/>
  <c r="J44" i="3" s="1"/>
  <c r="N32" i="3"/>
  <c r="N44" i="3" s="1"/>
  <c r="D36" i="3"/>
  <c r="D40" i="3" s="1"/>
  <c r="F37" i="3"/>
  <c r="F41" i="3" s="1"/>
  <c r="J37" i="3"/>
  <c r="J41" i="3" s="1"/>
  <c r="N37" i="3"/>
  <c r="N41" i="3" s="1"/>
  <c r="J13" i="3"/>
  <c r="N13" i="3"/>
  <c r="G32" i="3"/>
  <c r="G44" i="3" s="1"/>
  <c r="K32" i="3"/>
  <c r="K44" i="3" s="1"/>
  <c r="F36" i="3"/>
  <c r="F40" i="3" s="1"/>
  <c r="G37" i="3"/>
  <c r="G41" i="3" s="1"/>
  <c r="K37" i="3"/>
  <c r="K41" i="3" s="1"/>
  <c r="K13" i="3"/>
  <c r="H32" i="3"/>
  <c r="H44" i="3" s="1"/>
  <c r="L32" i="3"/>
  <c r="L44" i="3" s="1"/>
  <c r="D84" i="3"/>
  <c r="D83" i="3"/>
  <c r="D82" i="3"/>
  <c r="R11" i="6" l="1"/>
  <c r="R14" i="6" s="1"/>
  <c r="Z33" i="7" s="1"/>
  <c r="R12" i="6"/>
  <c r="S9" i="6" s="1"/>
  <c r="I1" i="7"/>
  <c r="I53" i="7" s="1"/>
  <c r="I54" i="7" s="1"/>
  <c r="D50" i="3"/>
  <c r="J1" i="1"/>
  <c r="E2" i="8" s="1"/>
  <c r="F79" i="3"/>
  <c r="F80" i="3" s="1"/>
  <c r="E18" i="8"/>
  <c r="F18" i="8"/>
  <c r="G18" i="8"/>
  <c r="I67" i="7"/>
  <c r="I47" i="7"/>
  <c r="M18" i="8"/>
  <c r="H14" i="6"/>
  <c r="P33" i="7" s="1"/>
  <c r="E84" i="3"/>
  <c r="G84" i="3"/>
  <c r="F84" i="3"/>
  <c r="O13" i="3"/>
  <c r="O38" i="3" s="1"/>
  <c r="O42" i="3" s="1"/>
  <c r="O36" i="3"/>
  <c r="O40" i="3" s="1"/>
  <c r="H82" i="3"/>
  <c r="J17" i="3"/>
  <c r="J34" i="3" s="1"/>
  <c r="J46" i="3" s="1"/>
  <c r="J38" i="3"/>
  <c r="J42" i="3" s="1"/>
  <c r="J33" i="3"/>
  <c r="J45" i="3" s="1"/>
  <c r="H61" i="3"/>
  <c r="K38" i="3"/>
  <c r="K42" i="3" s="1"/>
  <c r="K33" i="3"/>
  <c r="K45" i="3" s="1"/>
  <c r="K17" i="3"/>
  <c r="K34" i="3" s="1"/>
  <c r="K46" i="3" s="1"/>
  <c r="M38" i="3"/>
  <c r="M42" i="3" s="1"/>
  <c r="M33" i="3"/>
  <c r="M45" i="3" s="1"/>
  <c r="M17" i="3"/>
  <c r="H84" i="3"/>
  <c r="L38" i="3"/>
  <c r="L42" i="3" s="1"/>
  <c r="L33" i="3"/>
  <c r="L45" i="3" s="1"/>
  <c r="L17" i="3"/>
  <c r="L34" i="3" s="1"/>
  <c r="L46" i="3" s="1"/>
  <c r="F34" i="3"/>
  <c r="F46" i="3" s="1"/>
  <c r="H38" i="3"/>
  <c r="H42" i="3" s="1"/>
  <c r="H33" i="3"/>
  <c r="H45" i="3" s="1"/>
  <c r="H17" i="3"/>
  <c r="H34" i="3" s="1"/>
  <c r="H46" i="3" s="1"/>
  <c r="G38" i="3"/>
  <c r="G42" i="3" s="1"/>
  <c r="G33" i="3"/>
  <c r="G45" i="3" s="1"/>
  <c r="G17" i="3"/>
  <c r="G34" i="3" s="1"/>
  <c r="G46" i="3" s="1"/>
  <c r="D34" i="3"/>
  <c r="N38" i="3"/>
  <c r="N42" i="3" s="1"/>
  <c r="N17" i="3"/>
  <c r="N34" i="3" s="1"/>
  <c r="N46" i="3" s="1"/>
  <c r="N33" i="3"/>
  <c r="N45" i="3" s="1"/>
  <c r="D44" i="3"/>
  <c r="O32" i="3"/>
  <c r="O44" i="3" s="1"/>
  <c r="D45" i="3"/>
  <c r="M34" i="3" l="1"/>
  <c r="M46" i="3" s="1"/>
  <c r="S11" i="6"/>
  <c r="S14" i="6" s="1"/>
  <c r="AA33" i="7" s="1"/>
  <c r="S12" i="6"/>
  <c r="T9" i="6" s="1"/>
  <c r="M30" i="7"/>
  <c r="H14" i="8"/>
  <c r="J1" i="7"/>
  <c r="E50" i="3"/>
  <c r="K1" i="1"/>
  <c r="F2" i="8" s="1"/>
  <c r="G78" i="3"/>
  <c r="O17" i="3"/>
  <c r="X17" i="3" s="1"/>
  <c r="I61" i="3"/>
  <c r="D46" i="3"/>
  <c r="O34" i="3"/>
  <c r="O33" i="3"/>
  <c r="O45" i="3" s="1"/>
  <c r="T12" i="6" l="1"/>
  <c r="U9" i="6" s="1"/>
  <c r="T11" i="6"/>
  <c r="T14" i="6" s="1"/>
  <c r="AB33" i="7" s="1"/>
  <c r="K1" i="7"/>
  <c r="F50" i="3"/>
  <c r="L1" i="1"/>
  <c r="G2" i="8" s="1"/>
  <c r="I82" i="3"/>
  <c r="G79" i="3"/>
  <c r="H78" i="3" s="1"/>
  <c r="I14" i="6"/>
  <c r="Q33" i="7" s="1"/>
  <c r="H83" i="3"/>
  <c r="H18" i="8" s="1"/>
  <c r="I84" i="3"/>
  <c r="O46" i="3"/>
  <c r="J61" i="3"/>
  <c r="U12" i="6" l="1"/>
  <c r="V9" i="6" s="1"/>
  <c r="U11" i="6"/>
  <c r="U14" i="6" s="1"/>
  <c r="AC33" i="7" s="1"/>
  <c r="N30" i="7"/>
  <c r="I14" i="8"/>
  <c r="L1" i="7"/>
  <c r="G50" i="3"/>
  <c r="G80" i="3"/>
  <c r="M1" i="1"/>
  <c r="H79" i="3"/>
  <c r="I78" i="3" s="1"/>
  <c r="I83" i="3"/>
  <c r="I18" i="8" s="1"/>
  <c r="K61" i="3"/>
  <c r="V11" i="6" l="1"/>
  <c r="V14" i="6" s="1"/>
  <c r="AD33" i="7" s="1"/>
  <c r="V10" i="6"/>
  <c r="V12" i="6" s="1"/>
  <c r="W9" i="6" s="1"/>
  <c r="N1" i="1"/>
  <c r="I2" i="8" s="1"/>
  <c r="H2" i="8"/>
  <c r="M1" i="7"/>
  <c r="H50" i="3"/>
  <c r="N1" i="7"/>
  <c r="H80" i="3"/>
  <c r="J78" i="3"/>
  <c r="I79" i="3"/>
  <c r="I80" i="3" s="1"/>
  <c r="J82" i="3"/>
  <c r="J14" i="6"/>
  <c r="R33" i="7" s="1"/>
  <c r="O1" i="1"/>
  <c r="J2" i="8" s="1"/>
  <c r="K82" i="3"/>
  <c r="L61" i="3"/>
  <c r="W10" i="6" l="1"/>
  <c r="W11" i="6"/>
  <c r="W12" i="6"/>
  <c r="X9" i="6" s="1"/>
  <c r="I50" i="3"/>
  <c r="O1" i="7"/>
  <c r="J50" i="3"/>
  <c r="J79" i="3"/>
  <c r="J80" i="3" s="1"/>
  <c r="K78" i="3"/>
  <c r="P1" i="1"/>
  <c r="K2" i="8" s="1"/>
  <c r="M61" i="3"/>
  <c r="K83" i="3"/>
  <c r="K18" i="8" s="1"/>
  <c r="X10" i="6" l="1"/>
  <c r="X12" i="6" s="1"/>
  <c r="Y9" i="6" s="1"/>
  <c r="X11" i="6"/>
  <c r="P1" i="7"/>
  <c r="K50" i="3"/>
  <c r="L82" i="3"/>
  <c r="K79" i="3"/>
  <c r="K80" i="3" s="1"/>
  <c r="L78" i="3"/>
  <c r="J84" i="3"/>
  <c r="K14" i="6"/>
  <c r="S33" i="7" s="1"/>
  <c r="Q1" i="1"/>
  <c r="L2" i="8" s="1"/>
  <c r="K84" i="3"/>
  <c r="N61" i="3"/>
  <c r="Y11" i="6" l="1"/>
  <c r="Y10" i="6"/>
  <c r="Y12" i="6" s="1"/>
  <c r="Z9" i="6" s="1"/>
  <c r="O30" i="7"/>
  <c r="J14" i="8"/>
  <c r="P30" i="7"/>
  <c r="K14" i="8"/>
  <c r="Q1" i="7"/>
  <c r="L50" i="3"/>
  <c r="L83" i="3"/>
  <c r="L18" i="8" s="1"/>
  <c r="M78" i="3"/>
  <c r="L79" i="3"/>
  <c r="L80" i="3" s="1"/>
  <c r="J83" i="3"/>
  <c r="J18" i="8" s="1"/>
  <c r="R1" i="1"/>
  <c r="M2" i="8" s="1"/>
  <c r="L84" i="3"/>
  <c r="O61" i="3"/>
  <c r="Z11" i="6" l="1"/>
  <c r="Z10" i="6"/>
  <c r="Z12" i="6" s="1"/>
  <c r="Q30" i="7"/>
  <c r="L14" i="8"/>
  <c r="R1" i="7"/>
  <c r="M50" i="3"/>
  <c r="N78" i="3"/>
  <c r="M79" i="3"/>
  <c r="M80" i="3" s="1"/>
  <c r="S1" i="1"/>
  <c r="N2" i="8" s="1"/>
  <c r="M84" i="3"/>
  <c r="P61" i="3"/>
  <c r="R30" i="7" l="1"/>
  <c r="M14" i="8"/>
  <c r="S1" i="7"/>
  <c r="N50" i="3"/>
  <c r="M14" i="6"/>
  <c r="U33" i="7" s="1"/>
  <c r="L14" i="6"/>
  <c r="T33" i="7" s="1"/>
  <c r="O78" i="3"/>
  <c r="N79" i="3"/>
  <c r="N80" i="3" s="1"/>
  <c r="N82" i="3"/>
  <c r="T1" i="1"/>
  <c r="O2" i="8" s="1"/>
  <c r="N84" i="3"/>
  <c r="N83" i="3"/>
  <c r="Q61" i="3"/>
  <c r="S30" i="7" l="1"/>
  <c r="N14" i="8"/>
  <c r="T1" i="7"/>
  <c r="O50" i="3"/>
  <c r="P78" i="3"/>
  <c r="O79" i="3"/>
  <c r="O80" i="3" s="1"/>
  <c r="O82" i="3"/>
  <c r="N18" i="8"/>
  <c r="U1" i="1"/>
  <c r="P2" i="8" s="1"/>
  <c r="R61" i="3"/>
  <c r="U1" i="7" l="1"/>
  <c r="P50" i="3"/>
  <c r="O83" i="3"/>
  <c r="O18" i="8" s="1"/>
  <c r="Q78" i="3"/>
  <c r="P79" i="3"/>
  <c r="P80" i="3" s="1"/>
  <c r="V1" i="1"/>
  <c r="Q2" i="8" s="1"/>
  <c r="O84" i="3"/>
  <c r="S61" i="3"/>
  <c r="T30" i="7" l="1"/>
  <c r="O14" i="8"/>
  <c r="V1" i="7"/>
  <c r="Q50" i="3"/>
  <c r="P83" i="3"/>
  <c r="P18" i="8" s="1"/>
  <c r="Q79" i="3"/>
  <c r="R78" i="3" s="1"/>
  <c r="W1" i="1"/>
  <c r="R2" i="8" s="1"/>
  <c r="P84" i="3"/>
  <c r="Q82" i="3"/>
  <c r="T61" i="3"/>
  <c r="U30" i="7" l="1"/>
  <c r="P14" i="8"/>
  <c r="W1" i="7"/>
  <c r="R50" i="3"/>
  <c r="Q84" i="3"/>
  <c r="Q14" i="8" s="1"/>
  <c r="R79" i="3"/>
  <c r="S78" i="3" s="1"/>
  <c r="Q80" i="3"/>
  <c r="X1" i="1"/>
  <c r="S2" i="8" s="1"/>
  <c r="Q83" i="3"/>
  <c r="Q18" i="8" s="1"/>
  <c r="U61" i="3"/>
  <c r="X1" i="7" l="1"/>
  <c r="S50" i="3"/>
  <c r="V30" i="7"/>
  <c r="R82" i="3"/>
  <c r="R80" i="3"/>
  <c r="S79" i="3"/>
  <c r="S80" i="3" s="1"/>
  <c r="T78" i="3"/>
  <c r="Y1" i="1"/>
  <c r="T2" i="8" s="1"/>
  <c r="S83" i="3"/>
  <c r="S82" i="3"/>
  <c r="S18" i="8" s="1"/>
  <c r="V61" i="3"/>
  <c r="R84" i="3"/>
  <c r="R14" i="8" s="1"/>
  <c r="W30" i="7" l="1"/>
  <c r="Y1" i="7"/>
  <c r="T50" i="3"/>
  <c r="R83" i="3"/>
  <c r="R18" i="8" s="1"/>
  <c r="S84" i="3"/>
  <c r="S14" i="8" s="1"/>
  <c r="U78" i="3"/>
  <c r="T79" i="3"/>
  <c r="T80" i="3" s="1"/>
  <c r="Z1" i="1"/>
  <c r="U2" i="8" s="1"/>
  <c r="X30" i="7" l="1"/>
  <c r="Z1" i="7"/>
  <c r="U50" i="3"/>
  <c r="U79" i="3"/>
  <c r="V78" i="3" s="1"/>
  <c r="AA1" i="1"/>
  <c r="V2" i="8" s="1"/>
  <c r="AA1" i="7" l="1"/>
  <c r="V50" i="3"/>
  <c r="T82" i="3"/>
  <c r="V79" i="3"/>
  <c r="W77" i="3" s="1"/>
  <c r="W78" i="3" s="1"/>
  <c r="U80" i="3"/>
  <c r="T84" i="3"/>
  <c r="T14" i="8" s="1"/>
  <c r="AB1" i="1"/>
  <c r="Y30" i="7" l="1"/>
  <c r="W50" i="3"/>
  <c r="W2" i="8"/>
  <c r="V80" i="3"/>
  <c r="U82" i="3"/>
  <c r="AB1" i="7"/>
  <c r="AC1" i="1"/>
  <c r="X2" i="8" s="1"/>
  <c r="U84" i="3"/>
  <c r="U14" i="8" s="1"/>
  <c r="T83" i="3"/>
  <c r="T18" i="8" s="1"/>
  <c r="Z30" i="7" l="1"/>
  <c r="AC1" i="7"/>
  <c r="X50" i="3"/>
  <c r="W79" i="3"/>
  <c r="X77" i="3" s="1"/>
  <c r="X78" i="3" s="1"/>
  <c r="X79" i="3" s="1"/>
  <c r="Y77" i="3" s="1"/>
  <c r="Y78" i="3" s="1"/>
  <c r="Y80" i="3" s="1"/>
  <c r="AD1" i="1"/>
  <c r="U83" i="3"/>
  <c r="U18" i="8" s="1"/>
  <c r="W80" i="3" l="1"/>
  <c r="Y50" i="3"/>
  <c r="Y2" i="8"/>
  <c r="X80" i="3"/>
  <c r="Y79" i="3"/>
  <c r="AD1" i="7"/>
  <c r="V84" i="3"/>
  <c r="V14" i="8" s="1"/>
  <c r="AA30" i="7" l="1"/>
  <c r="Y84" i="3"/>
  <c r="Y14" i="8" s="1"/>
  <c r="W84" i="3"/>
  <c r="W14" i="8" s="1"/>
  <c r="V83" i="3"/>
  <c r="V18" i="8" s="1"/>
  <c r="AD30" i="7" l="1"/>
  <c r="AB30" i="7"/>
  <c r="X84" i="3"/>
  <c r="X14" i="8" s="1"/>
  <c r="AC30" i="7" l="1"/>
  <c r="H4" i="1"/>
  <c r="I4" i="5"/>
  <c r="I5" i="5"/>
  <c r="K5" i="5" s="1"/>
  <c r="W83" i="3" l="1"/>
  <c r="W18" i="8" s="1"/>
  <c r="Y83" i="3"/>
  <c r="Y18" i="8" s="1"/>
  <c r="H3" i="1"/>
  <c r="H4" i="7"/>
  <c r="I4" i="1"/>
  <c r="D53" i="3" s="1"/>
  <c r="I6" i="5"/>
  <c r="K4" i="5"/>
  <c r="H70" i="1" l="1"/>
  <c r="H65" i="1"/>
  <c r="J4" i="1"/>
  <c r="E3" i="8" s="1"/>
  <c r="I4" i="7"/>
  <c r="I3" i="1"/>
  <c r="L4" i="5"/>
  <c r="N4" i="5" s="1"/>
  <c r="L3" i="5"/>
  <c r="L5" i="5"/>
  <c r="N5" i="5" s="1"/>
  <c r="D51" i="3" l="1"/>
  <c r="I65" i="1"/>
  <c r="I70" i="1"/>
  <c r="B8" i="6"/>
  <c r="E53" i="3"/>
  <c r="X83" i="3"/>
  <c r="X18" i="8" s="1"/>
  <c r="K4" i="1"/>
  <c r="F3" i="8" s="1"/>
  <c r="J3" i="1"/>
  <c r="J4" i="7"/>
  <c r="N3" i="5"/>
  <c r="O3" i="5"/>
  <c r="E1" i="8" l="1"/>
  <c r="J65" i="1"/>
  <c r="J70" i="1"/>
  <c r="J3" i="7"/>
  <c r="E51" i="3"/>
  <c r="F53" i="3"/>
  <c r="C8" i="6"/>
  <c r="C24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K4" i="7"/>
  <c r="K3" i="1"/>
  <c r="L4" i="1"/>
  <c r="G3" i="8" s="1"/>
  <c r="N6" i="5"/>
  <c r="K65" i="1" l="1"/>
  <c r="K70" i="1"/>
  <c r="F51" i="3"/>
  <c r="F1" i="8"/>
  <c r="G53" i="3"/>
  <c r="D8" i="6"/>
  <c r="L4" i="7"/>
  <c r="L3" i="1"/>
  <c r="M4" i="1"/>
  <c r="H3" i="8" s="1"/>
  <c r="K3" i="7"/>
  <c r="H5" i="5"/>
  <c r="H4" i="5"/>
  <c r="H3" i="5"/>
  <c r="L65" i="1" l="1"/>
  <c r="M65" i="1" s="1"/>
  <c r="L70" i="1"/>
  <c r="M70" i="1" s="1"/>
  <c r="G51" i="3"/>
  <c r="G1" i="8"/>
  <c r="H53" i="3"/>
  <c r="E8" i="6"/>
  <c r="M4" i="7"/>
  <c r="N4" i="1"/>
  <c r="I3" i="8" s="1"/>
  <c r="M3" i="1"/>
  <c r="L3" i="7"/>
  <c r="K6" i="5"/>
  <c r="C19" i="5" s="1"/>
  <c r="H6" i="5"/>
  <c r="C24" i="5" l="1"/>
  <c r="H51" i="3"/>
  <c r="H1" i="8"/>
  <c r="H23" i="8"/>
  <c r="F8" i="6"/>
  <c r="I53" i="3"/>
  <c r="M85" i="7"/>
  <c r="M3" i="7"/>
  <c r="M87" i="7" s="1"/>
  <c r="N4" i="7"/>
  <c r="O4" i="1"/>
  <c r="J3" i="8" s="1"/>
  <c r="N3" i="1"/>
  <c r="C32" i="5" l="1"/>
  <c r="D41" i="8" s="1"/>
  <c r="D43" i="8" s="1"/>
  <c r="I30" i="5"/>
  <c r="I31" i="5" s="1"/>
  <c r="I51" i="3"/>
  <c r="I1" i="8"/>
  <c r="I23" i="8"/>
  <c r="J53" i="3"/>
  <c r="G8" i="6"/>
  <c r="M9" i="7"/>
  <c r="M10" i="7" s="1"/>
  <c r="M11" i="7" s="1"/>
  <c r="N85" i="7"/>
  <c r="N3" i="7"/>
  <c r="N87" i="7" s="1"/>
  <c r="O4" i="7"/>
  <c r="P4" i="1"/>
  <c r="K3" i="8" s="1"/>
  <c r="O3" i="1"/>
  <c r="D45" i="8" l="1"/>
  <c r="B34" i="8" s="1"/>
  <c r="B50" i="8" s="1"/>
  <c r="J51" i="3"/>
  <c r="J1" i="8"/>
  <c r="E5" i="8"/>
  <c r="E16" i="8"/>
  <c r="J23" i="8"/>
  <c r="K53" i="3"/>
  <c r="H8" i="6"/>
  <c r="M17" i="7"/>
  <c r="M18" i="7"/>
  <c r="M88" i="7"/>
  <c r="O3" i="7"/>
  <c r="O87" i="7" s="1"/>
  <c r="P4" i="7"/>
  <c r="P3" i="1"/>
  <c r="Q4" i="1"/>
  <c r="L3" i="8" s="1"/>
  <c r="N9" i="7"/>
  <c r="N10" i="7" s="1"/>
  <c r="N11" i="7" s="1"/>
  <c r="D27" i="8" l="1"/>
  <c r="B49" i="8"/>
  <c r="D26" i="8" s="1"/>
  <c r="B51" i="8"/>
  <c r="D28" i="8" s="1"/>
  <c r="E9" i="8"/>
  <c r="E7" i="8"/>
  <c r="E19" i="8"/>
  <c r="F5" i="8"/>
  <c r="K51" i="3"/>
  <c r="K1" i="8"/>
  <c r="F16" i="8"/>
  <c r="K23" i="8"/>
  <c r="L53" i="3"/>
  <c r="I8" i="6"/>
  <c r="M73" i="7"/>
  <c r="E6" i="8"/>
  <c r="E15" i="8"/>
  <c r="E17" i="8"/>
  <c r="N17" i="7"/>
  <c r="N18" i="7"/>
  <c r="M19" i="7"/>
  <c r="M74" i="7" s="1"/>
  <c r="M75" i="7" s="1"/>
  <c r="N88" i="7"/>
  <c r="O85" i="7"/>
  <c r="P3" i="7"/>
  <c r="P87" i="7" s="1"/>
  <c r="O9" i="7"/>
  <c r="O10" i="7" s="1"/>
  <c r="O11" i="7" s="1"/>
  <c r="P85" i="7"/>
  <c r="Q4" i="7"/>
  <c r="R4" i="1"/>
  <c r="M3" i="8" s="1"/>
  <c r="Q3" i="1"/>
  <c r="F9" i="8" l="1"/>
  <c r="F7" i="8"/>
  <c r="F6" i="8"/>
  <c r="G5" i="8"/>
  <c r="L51" i="3"/>
  <c r="L1" i="8"/>
  <c r="L23" i="8"/>
  <c r="J8" i="6"/>
  <c r="M53" i="3"/>
  <c r="M92" i="7"/>
  <c r="M76" i="7"/>
  <c r="N73" i="7"/>
  <c r="N19" i="7"/>
  <c r="N74" i="7" s="1"/>
  <c r="N75" i="7" s="1"/>
  <c r="E10" i="8"/>
  <c r="E8" i="8"/>
  <c r="F15" i="8"/>
  <c r="O17" i="7"/>
  <c r="O18" i="7"/>
  <c r="F19" i="8"/>
  <c r="M22" i="7"/>
  <c r="H5" i="8" s="1"/>
  <c r="Q3" i="7"/>
  <c r="Q87" i="7" s="1"/>
  <c r="P9" i="7"/>
  <c r="P10" i="7" s="1"/>
  <c r="P11" i="7" s="1"/>
  <c r="P17" i="7" s="1"/>
  <c r="Q85" i="7"/>
  <c r="R4" i="7"/>
  <c r="S4" i="1"/>
  <c r="N3" i="8" s="1"/>
  <c r="R3" i="1"/>
  <c r="O88" i="7"/>
  <c r="F17" i="8" l="1"/>
  <c r="G16" i="8"/>
  <c r="F8" i="8"/>
  <c r="G7" i="8"/>
  <c r="M51" i="3"/>
  <c r="M1" i="8"/>
  <c r="M23" i="8"/>
  <c r="N53" i="3"/>
  <c r="K8" i="6"/>
  <c r="M94" i="7"/>
  <c r="O73" i="7"/>
  <c r="N76" i="7"/>
  <c r="N92" i="7"/>
  <c r="O19" i="7"/>
  <c r="O74" i="7" s="1"/>
  <c r="O75" i="7" s="1"/>
  <c r="P19" i="7"/>
  <c r="P74" i="7" s="1"/>
  <c r="P75" i="7" s="1"/>
  <c r="G6" i="8"/>
  <c r="G15" i="8"/>
  <c r="G19" i="8"/>
  <c r="N22" i="7"/>
  <c r="M27" i="7"/>
  <c r="M28" i="7" s="1"/>
  <c r="H7" i="8" s="1"/>
  <c r="P88" i="7"/>
  <c r="S4" i="7"/>
  <c r="S3" i="1"/>
  <c r="T4" i="1"/>
  <c r="O3" i="8" s="1"/>
  <c r="R3" i="7"/>
  <c r="R87" i="7" s="1"/>
  <c r="Q9" i="7"/>
  <c r="Q10" i="7" s="1"/>
  <c r="Q11" i="7" s="1"/>
  <c r="Q17" i="7" s="1"/>
  <c r="R85" i="7"/>
  <c r="G9" i="8" l="1"/>
  <c r="G17" i="8"/>
  <c r="H16" i="8"/>
  <c r="N51" i="3"/>
  <c r="N1" i="8"/>
  <c r="H15" i="8"/>
  <c r="I5" i="8"/>
  <c r="N23" i="8"/>
  <c r="O53" i="3"/>
  <c r="L8" i="6"/>
  <c r="N94" i="7"/>
  <c r="O76" i="7"/>
  <c r="P73" i="7"/>
  <c r="P76" i="7" s="1"/>
  <c r="O92" i="7"/>
  <c r="P22" i="7"/>
  <c r="K5" i="8" s="1"/>
  <c r="Q19" i="7"/>
  <c r="Q74" i="7" s="1"/>
  <c r="Q75" i="7" s="1"/>
  <c r="H6" i="8"/>
  <c r="H19" i="8"/>
  <c r="F10" i="8"/>
  <c r="N27" i="7"/>
  <c r="N28" i="7" s="1"/>
  <c r="I7" i="8" s="1"/>
  <c r="M29" i="7"/>
  <c r="G8" i="8"/>
  <c r="M31" i="7"/>
  <c r="H9" i="8" s="1"/>
  <c r="H12" i="8" s="1"/>
  <c r="O22" i="7"/>
  <c r="J5" i="8" s="1"/>
  <c r="T4" i="7"/>
  <c r="U4" i="1"/>
  <c r="P3" i="8" s="1"/>
  <c r="T3" i="1"/>
  <c r="P27" i="7"/>
  <c r="Q73" i="7"/>
  <c r="P92" i="7"/>
  <c r="S85" i="7"/>
  <c r="Q88" i="7"/>
  <c r="S3" i="7"/>
  <c r="S87" i="7" s="1"/>
  <c r="E11" i="8" l="1"/>
  <c r="H17" i="8"/>
  <c r="I16" i="8"/>
  <c r="O51" i="3"/>
  <c r="O1" i="8"/>
  <c r="O23" i="8"/>
  <c r="P53" i="3"/>
  <c r="M8" i="6"/>
  <c r="P94" i="7"/>
  <c r="O94" i="7"/>
  <c r="Q22" i="7"/>
  <c r="L5" i="8" s="1"/>
  <c r="R74" i="7"/>
  <c r="R75" i="7" s="1"/>
  <c r="Q27" i="7"/>
  <c r="P28" i="7"/>
  <c r="I6" i="8"/>
  <c r="I19" i="8"/>
  <c r="I15" i="8"/>
  <c r="H8" i="8"/>
  <c r="N29" i="7"/>
  <c r="N31" i="7"/>
  <c r="I9" i="8" s="1"/>
  <c r="I12" i="8" s="1"/>
  <c r="M34" i="7"/>
  <c r="M32" i="7"/>
  <c r="G10" i="8"/>
  <c r="O27" i="7"/>
  <c r="O28" i="7" s="1"/>
  <c r="J7" i="8" s="1"/>
  <c r="R73" i="7"/>
  <c r="Q92" i="7"/>
  <c r="Q76" i="7"/>
  <c r="T85" i="7"/>
  <c r="R88" i="7"/>
  <c r="J6" i="8"/>
  <c r="J19" i="8"/>
  <c r="J15" i="8"/>
  <c r="T3" i="7"/>
  <c r="T87" i="7" s="1"/>
  <c r="U4" i="7"/>
  <c r="V4" i="1"/>
  <c r="Q3" i="8" s="1"/>
  <c r="U3" i="1"/>
  <c r="F11" i="8" l="1"/>
  <c r="J8" i="8"/>
  <c r="K7" i="8"/>
  <c r="K8" i="8" s="1"/>
  <c r="I17" i="8"/>
  <c r="J16" i="8"/>
  <c r="J17" i="8" s="1"/>
  <c r="K16" i="8"/>
  <c r="P51" i="3"/>
  <c r="P1" i="8"/>
  <c r="P23" i="8"/>
  <c r="N8" i="6"/>
  <c r="Q53" i="3"/>
  <c r="Q94" i="7"/>
  <c r="Q28" i="7"/>
  <c r="P31" i="7"/>
  <c r="P29" i="7"/>
  <c r="R22" i="7"/>
  <c r="M5" i="8" s="1"/>
  <c r="S74" i="7"/>
  <c r="S75" i="7" s="1"/>
  <c r="M50" i="7"/>
  <c r="M51" i="7" s="1"/>
  <c r="M45" i="7" s="1"/>
  <c r="H10" i="8"/>
  <c r="N34" i="7"/>
  <c r="N32" i="7"/>
  <c r="O31" i="7"/>
  <c r="J9" i="8" s="1"/>
  <c r="J12" i="8" s="1"/>
  <c r="O29" i="7"/>
  <c r="I8" i="8"/>
  <c r="M35" i="7"/>
  <c r="M44" i="7"/>
  <c r="M52" i="7"/>
  <c r="S73" i="7"/>
  <c r="R92" i="7"/>
  <c r="R27" i="7"/>
  <c r="S88" i="7"/>
  <c r="U3" i="7"/>
  <c r="U87" i="7" s="1"/>
  <c r="K6" i="8"/>
  <c r="K19" i="8"/>
  <c r="K15" i="8"/>
  <c r="V4" i="7"/>
  <c r="W4" i="1"/>
  <c r="R3" i="8" s="1"/>
  <c r="V3" i="1"/>
  <c r="U85" i="7"/>
  <c r="E12" i="8"/>
  <c r="R76" i="7"/>
  <c r="J10" i="8" l="1"/>
  <c r="K9" i="8"/>
  <c r="Q31" i="7"/>
  <c r="L9" i="8" s="1"/>
  <c r="L12" i="8" s="1"/>
  <c r="L7" i="8"/>
  <c r="K17" i="8"/>
  <c r="L16" i="8"/>
  <c r="Q51" i="3"/>
  <c r="Q1" i="8"/>
  <c r="Q23" i="8"/>
  <c r="R53" i="3"/>
  <c r="O8" i="6"/>
  <c r="R94" i="7"/>
  <c r="P32" i="7"/>
  <c r="Q29" i="7"/>
  <c r="P34" i="7"/>
  <c r="P52" i="7" s="1"/>
  <c r="T74" i="7"/>
  <c r="T75" i="7" s="1"/>
  <c r="S22" i="7"/>
  <c r="N5" i="8" s="1"/>
  <c r="R28" i="7"/>
  <c r="N35" i="7"/>
  <c r="N44" i="7"/>
  <c r="N52" i="7"/>
  <c r="O32" i="7"/>
  <c r="I10" i="8"/>
  <c r="O34" i="7"/>
  <c r="M46" i="7"/>
  <c r="T88" i="7"/>
  <c r="V85" i="7"/>
  <c r="L6" i="8"/>
  <c r="L19" i="8"/>
  <c r="L15" i="8"/>
  <c r="W4" i="7"/>
  <c r="X4" i="1"/>
  <c r="S3" i="8" s="1"/>
  <c r="W3" i="1"/>
  <c r="E13" i="8"/>
  <c r="E20" i="8"/>
  <c r="V3" i="7"/>
  <c r="T73" i="7"/>
  <c r="S92" i="7"/>
  <c r="S76" i="7"/>
  <c r="S27" i="7"/>
  <c r="M53" i="7"/>
  <c r="M54" i="7" s="1"/>
  <c r="N50" i="7" s="1"/>
  <c r="V87" i="7" l="1"/>
  <c r="V9" i="7"/>
  <c r="K10" i="8"/>
  <c r="K12" i="8"/>
  <c r="Q32" i="7"/>
  <c r="Q34" i="7"/>
  <c r="Q44" i="7" s="1"/>
  <c r="L8" i="8"/>
  <c r="M7" i="8"/>
  <c r="L17" i="8"/>
  <c r="M16" i="8"/>
  <c r="F12" i="8"/>
  <c r="F13" i="8" s="1"/>
  <c r="G11" i="8"/>
  <c r="R51" i="3"/>
  <c r="R1" i="8"/>
  <c r="R23" i="8"/>
  <c r="S53" i="3"/>
  <c r="P8" i="6"/>
  <c r="S94" i="7"/>
  <c r="P44" i="7"/>
  <c r="P35" i="7"/>
  <c r="S28" i="7"/>
  <c r="R29" i="7"/>
  <c r="T22" i="7"/>
  <c r="O5" i="8" s="1"/>
  <c r="R31" i="7"/>
  <c r="U74" i="7"/>
  <c r="U75" i="7" s="1"/>
  <c r="T76" i="7"/>
  <c r="O35" i="7"/>
  <c r="O52" i="7"/>
  <c r="O44" i="7"/>
  <c r="U88" i="7"/>
  <c r="M36" i="7"/>
  <c r="N51" i="7"/>
  <c r="N45" i="7" s="1"/>
  <c r="N46" i="7" s="1"/>
  <c r="E28" i="8"/>
  <c r="E27" i="8"/>
  <c r="E21" i="8"/>
  <c r="E26" i="8"/>
  <c r="T27" i="7"/>
  <c r="M6" i="8"/>
  <c r="M19" i="8"/>
  <c r="M15" i="8"/>
  <c r="W85" i="7"/>
  <c r="W3" i="7"/>
  <c r="X4" i="7"/>
  <c r="Y4" i="1"/>
  <c r="T3" i="8" s="1"/>
  <c r="X3" i="1"/>
  <c r="U73" i="7"/>
  <c r="T92" i="7"/>
  <c r="W87" i="7" l="1"/>
  <c r="W9" i="7"/>
  <c r="V10" i="7"/>
  <c r="V11" i="7" s="1"/>
  <c r="Q52" i="7"/>
  <c r="Q35" i="7"/>
  <c r="M8" i="8"/>
  <c r="N7" i="8"/>
  <c r="R34" i="7"/>
  <c r="R52" i="7" s="1"/>
  <c r="M9" i="8"/>
  <c r="M12" i="8" s="1"/>
  <c r="M17" i="8"/>
  <c r="N16" i="8"/>
  <c r="F20" i="8"/>
  <c r="F28" i="8" s="1"/>
  <c r="G12" i="8"/>
  <c r="G13" i="8" s="1"/>
  <c r="S51" i="3"/>
  <c r="S1" i="8"/>
  <c r="S23" i="8"/>
  <c r="T53" i="3"/>
  <c r="Q8" i="6"/>
  <c r="S29" i="7"/>
  <c r="T94" i="7"/>
  <c r="S31" i="7"/>
  <c r="R32" i="7"/>
  <c r="U22" i="7"/>
  <c r="P5" i="8" s="1"/>
  <c r="U27" i="7"/>
  <c r="L10" i="8"/>
  <c r="T28" i="7"/>
  <c r="M37" i="7"/>
  <c r="M38" i="7" s="1"/>
  <c r="U76" i="7"/>
  <c r="V88" i="7"/>
  <c r="X85" i="7"/>
  <c r="N6" i="8"/>
  <c r="N19" i="8"/>
  <c r="N15" i="8"/>
  <c r="N67" i="7"/>
  <c r="X3" i="7"/>
  <c r="Y4" i="7"/>
  <c r="Z4" i="1"/>
  <c r="Y3" i="1"/>
  <c r="V73" i="7"/>
  <c r="U92" i="7"/>
  <c r="N53" i="7"/>
  <c r="N54" i="7" s="1"/>
  <c r="O50" i="7" s="1"/>
  <c r="V17" i="7" l="1"/>
  <c r="V18" i="7"/>
  <c r="U3" i="8"/>
  <c r="R8" i="6"/>
  <c r="W10" i="7"/>
  <c r="W11" i="7" s="1"/>
  <c r="X87" i="7"/>
  <c r="X9" i="7"/>
  <c r="X10" i="7" s="1"/>
  <c r="X11" i="7" s="1"/>
  <c r="R35" i="7"/>
  <c r="R44" i="7"/>
  <c r="M10" i="8"/>
  <c r="N9" i="8"/>
  <c r="N12" i="8" s="1"/>
  <c r="N8" i="8"/>
  <c r="O7" i="8"/>
  <c r="N17" i="8"/>
  <c r="O16" i="8"/>
  <c r="G20" i="8"/>
  <c r="G27" i="8" s="1"/>
  <c r="F21" i="8"/>
  <c r="F27" i="8"/>
  <c r="F26" i="8"/>
  <c r="T51" i="3"/>
  <c r="T1" i="8"/>
  <c r="S34" i="7"/>
  <c r="S35" i="7" s="1"/>
  <c r="T23" i="8"/>
  <c r="U53" i="3"/>
  <c r="U94" i="7"/>
  <c r="S32" i="7"/>
  <c r="U28" i="7"/>
  <c r="T31" i="7"/>
  <c r="T29" i="7"/>
  <c r="W88" i="7"/>
  <c r="O51" i="7"/>
  <c r="O45" i="7" s="1"/>
  <c r="O46" i="7" s="1"/>
  <c r="Y3" i="7"/>
  <c r="O6" i="8"/>
  <c r="O19" i="8"/>
  <c r="O15" i="8"/>
  <c r="Y85" i="7"/>
  <c r="V27" i="7"/>
  <c r="Z4" i="7"/>
  <c r="AA4" i="1"/>
  <c r="Z3" i="1"/>
  <c r="N36" i="7"/>
  <c r="W18" i="7" l="1"/>
  <c r="W17" i="7"/>
  <c r="W19" i="7" s="1"/>
  <c r="W74" i="7" s="1"/>
  <c r="W75" i="7" s="1"/>
  <c r="X73" i="7" s="1"/>
  <c r="X18" i="7"/>
  <c r="X17" i="7"/>
  <c r="X19" i="7" s="1"/>
  <c r="Y87" i="7"/>
  <c r="Y9" i="7"/>
  <c r="V3" i="8"/>
  <c r="S8" i="6"/>
  <c r="V19" i="7"/>
  <c r="S52" i="7"/>
  <c r="S44" i="7"/>
  <c r="G28" i="8"/>
  <c r="G21" i="8"/>
  <c r="U29" i="7"/>
  <c r="P7" i="8"/>
  <c r="O17" i="8"/>
  <c r="P16" i="8"/>
  <c r="T32" i="7"/>
  <c r="O9" i="8"/>
  <c r="O12" i="8" s="1"/>
  <c r="G26" i="8"/>
  <c r="U51" i="3"/>
  <c r="U1" i="8"/>
  <c r="U23" i="8"/>
  <c r="V53" i="3"/>
  <c r="U31" i="7"/>
  <c r="O8" i="8"/>
  <c r="T34" i="7"/>
  <c r="T35" i="7" s="1"/>
  <c r="N10" i="8"/>
  <c r="W22" i="7"/>
  <c r="R5" i="8" s="1"/>
  <c r="X74" i="7"/>
  <c r="X75" i="7" s="1"/>
  <c r="O53" i="7"/>
  <c r="O54" i="7" s="1"/>
  <c r="P50" i="7" s="1"/>
  <c r="P51" i="7" s="1"/>
  <c r="P45" i="7" s="1"/>
  <c r="P46" i="7" s="1"/>
  <c r="X88" i="7"/>
  <c r="W92" i="7"/>
  <c r="AA4" i="7"/>
  <c r="AB4" i="1"/>
  <c r="AA3" i="1"/>
  <c r="N37" i="7"/>
  <c r="N38" i="7" s="1"/>
  <c r="Z85" i="7"/>
  <c r="Z3" i="7"/>
  <c r="P6" i="8"/>
  <c r="P19" i="8"/>
  <c r="P15" i="8"/>
  <c r="W27" i="7"/>
  <c r="O67" i="7"/>
  <c r="W3" i="8" l="1"/>
  <c r="T8" i="6"/>
  <c r="Z87" i="7"/>
  <c r="Z9" i="7"/>
  <c r="Y10" i="7"/>
  <c r="Y11" i="7" s="1"/>
  <c r="Y17" i="7" s="1"/>
  <c r="Y19" i="7" s="1"/>
  <c r="Y74" i="7" s="1"/>
  <c r="Y75" i="7" s="1"/>
  <c r="V74" i="7"/>
  <c r="V22" i="7"/>
  <c r="R15" i="8"/>
  <c r="R19" i="8"/>
  <c r="P17" i="8"/>
  <c r="P8" i="8"/>
  <c r="O10" i="8"/>
  <c r="P9" i="8"/>
  <c r="P12" i="8" s="1"/>
  <c r="V51" i="3"/>
  <c r="V1" i="8"/>
  <c r="U32" i="7"/>
  <c r="V23" i="8"/>
  <c r="W53" i="3"/>
  <c r="U34" i="7"/>
  <c r="U35" i="7" s="1"/>
  <c r="T52" i="7"/>
  <c r="T44" i="7"/>
  <c r="W28" i="7"/>
  <c r="R7" i="8" s="1"/>
  <c r="R8" i="8" s="1"/>
  <c r="X22" i="7"/>
  <c r="S5" i="8" s="1"/>
  <c r="AC4" i="1"/>
  <c r="P53" i="7"/>
  <c r="P54" i="7" s="1"/>
  <c r="Q50" i="7" s="1"/>
  <c r="Q51" i="7" s="1"/>
  <c r="Q45" i="7" s="1"/>
  <c r="Q46" i="7" s="1"/>
  <c r="O36" i="7"/>
  <c r="Y88" i="7"/>
  <c r="Y73" i="7"/>
  <c r="X92" i="7"/>
  <c r="AA3" i="7"/>
  <c r="AA87" i="7" s="1"/>
  <c r="AA85" i="7"/>
  <c r="X76" i="7"/>
  <c r="H13" i="8"/>
  <c r="H20" i="8"/>
  <c r="AB4" i="7"/>
  <c r="AB3" i="1"/>
  <c r="X27" i="7"/>
  <c r="P67" i="7"/>
  <c r="U52" i="7"/>
  <c r="X3" i="8" l="1"/>
  <c r="U8" i="6"/>
  <c r="Q5" i="8"/>
  <c r="V28" i="7"/>
  <c r="Z10" i="7"/>
  <c r="Z11" i="7" s="1"/>
  <c r="Z17" i="7" s="1"/>
  <c r="Z19" i="7" s="1"/>
  <c r="Z74" i="7" s="1"/>
  <c r="Z75" i="7" s="1"/>
  <c r="V75" i="7"/>
  <c r="V76" i="7" s="1"/>
  <c r="S6" i="8"/>
  <c r="S19" i="8"/>
  <c r="S15" i="8"/>
  <c r="H28" i="8"/>
  <c r="H27" i="8"/>
  <c r="W29" i="7"/>
  <c r="O37" i="7"/>
  <c r="O38" i="7" s="1"/>
  <c r="W51" i="3"/>
  <c r="W1" i="8"/>
  <c r="AD4" i="1"/>
  <c r="V8" i="6" s="1"/>
  <c r="X53" i="3"/>
  <c r="U44" i="7"/>
  <c r="P10" i="8"/>
  <c r="X94" i="7"/>
  <c r="S16" i="8" s="1"/>
  <c r="S17" i="8" s="1"/>
  <c r="W31" i="7"/>
  <c r="R9" i="8" s="1"/>
  <c r="AC4" i="7"/>
  <c r="W23" i="8"/>
  <c r="AC3" i="1"/>
  <c r="Y22" i="7"/>
  <c r="T5" i="8" s="1"/>
  <c r="Y27" i="7"/>
  <c r="X28" i="7"/>
  <c r="S7" i="8" s="1"/>
  <c r="S8" i="8" s="1"/>
  <c r="Z88" i="7"/>
  <c r="I20" i="8"/>
  <c r="P36" i="7"/>
  <c r="Y76" i="7"/>
  <c r="H26" i="8"/>
  <c r="H21" i="8"/>
  <c r="AA9" i="7"/>
  <c r="AA10" i="7" s="1"/>
  <c r="AA11" i="7" s="1"/>
  <c r="AA17" i="7" s="1"/>
  <c r="AB85" i="7"/>
  <c r="B52" i="3"/>
  <c r="AB3" i="7"/>
  <c r="AB87" i="7" s="1"/>
  <c r="Q67" i="7"/>
  <c r="Z73" i="7"/>
  <c r="Y92" i="7"/>
  <c r="Q53" i="7"/>
  <c r="Q54" i="7" s="1"/>
  <c r="R50" i="7" s="1"/>
  <c r="Q7" i="8" l="1"/>
  <c r="Q8" i="8" s="1"/>
  <c r="V31" i="7"/>
  <c r="V29" i="7"/>
  <c r="W73" i="7"/>
  <c r="W76" i="7" s="1"/>
  <c r="V92" i="7"/>
  <c r="R6" i="8"/>
  <c r="Q19" i="8"/>
  <c r="Q15" i="8"/>
  <c r="Q6" i="8"/>
  <c r="T6" i="8"/>
  <c r="T15" i="8"/>
  <c r="T19" i="8"/>
  <c r="R10" i="8"/>
  <c r="R12" i="8"/>
  <c r="X31" i="7"/>
  <c r="S9" i="8" s="1"/>
  <c r="W32" i="7"/>
  <c r="X23" i="8"/>
  <c r="Y3" i="8"/>
  <c r="Y23" i="8" s="1"/>
  <c r="J13" i="8"/>
  <c r="X51" i="3"/>
  <c r="X1" i="8"/>
  <c r="AD3" i="1"/>
  <c r="AD4" i="7"/>
  <c r="Y53" i="3"/>
  <c r="Y94" i="7"/>
  <c r="T16" i="8" s="1"/>
  <c r="T17" i="8" s="1"/>
  <c r="W34" i="7"/>
  <c r="W35" i="7" s="1"/>
  <c r="AC3" i="7"/>
  <c r="AC87" i="7" s="1"/>
  <c r="Y28" i="7"/>
  <c r="T7" i="8" s="1"/>
  <c r="T8" i="8" s="1"/>
  <c r="X29" i="7"/>
  <c r="Z22" i="7"/>
  <c r="U5" i="8" s="1"/>
  <c r="Z27" i="7"/>
  <c r="AA19" i="7"/>
  <c r="AA88" i="7"/>
  <c r="I13" i="8"/>
  <c r="P37" i="7"/>
  <c r="P38" i="7" s="1"/>
  <c r="Q36" i="7"/>
  <c r="I21" i="8"/>
  <c r="I26" i="8"/>
  <c r="I28" i="8"/>
  <c r="I27" i="8"/>
  <c r="AA73" i="7"/>
  <c r="Z92" i="7"/>
  <c r="AB9" i="7"/>
  <c r="AB10" i="7" s="1"/>
  <c r="AB11" i="7" s="1"/>
  <c r="AB17" i="7" s="1"/>
  <c r="AC85" i="7"/>
  <c r="R51" i="7"/>
  <c r="R45" i="7" s="1"/>
  <c r="R46" i="7" s="1"/>
  <c r="Z76" i="7"/>
  <c r="Q9" i="8" l="1"/>
  <c r="V32" i="7"/>
  <c r="V34" i="7"/>
  <c r="V94" i="7"/>
  <c r="Q16" i="8" s="1"/>
  <c r="Q17" i="8" s="1"/>
  <c r="W94" i="7"/>
  <c r="R16" i="8" s="1"/>
  <c r="R17" i="8" s="1"/>
  <c r="U6" i="8"/>
  <c r="U15" i="8"/>
  <c r="U19" i="8"/>
  <c r="S10" i="8"/>
  <c r="S12" i="8"/>
  <c r="R13" i="8"/>
  <c r="R20" i="8"/>
  <c r="X32" i="7"/>
  <c r="X34" i="7"/>
  <c r="X35" i="7" s="1"/>
  <c r="Y51" i="3"/>
  <c r="Y1" i="8"/>
  <c r="J20" i="8"/>
  <c r="J26" i="8" s="1"/>
  <c r="K20" i="8"/>
  <c r="W52" i="7"/>
  <c r="AD3" i="7"/>
  <c r="AD87" i="7" s="1"/>
  <c r="Z94" i="7"/>
  <c r="U16" i="8" s="1"/>
  <c r="U17" i="8" s="1"/>
  <c r="W44" i="7"/>
  <c r="Y29" i="7"/>
  <c r="Y31" i="7"/>
  <c r="T9" i="8" s="1"/>
  <c r="AC9" i="7"/>
  <c r="AC10" i="7" s="1"/>
  <c r="AC11" i="7" s="1"/>
  <c r="AC17" i="7" s="1"/>
  <c r="AD85" i="7"/>
  <c r="AA22" i="7"/>
  <c r="V5" i="8" s="1"/>
  <c r="AA74" i="7"/>
  <c r="AD9" i="7"/>
  <c r="Z28" i="7"/>
  <c r="U7" i="8" s="1"/>
  <c r="U8" i="8" s="1"/>
  <c r="AB19" i="7"/>
  <c r="AB74" i="7" s="1"/>
  <c r="AB75" i="7" s="1"/>
  <c r="Q37" i="7"/>
  <c r="Q38" i="7" s="1"/>
  <c r="R53" i="7"/>
  <c r="R54" i="7" s="1"/>
  <c r="S50" i="7" s="1"/>
  <c r="S51" i="7" s="1"/>
  <c r="S45" i="7" s="1"/>
  <c r="S46" i="7" s="1"/>
  <c r="R67" i="7"/>
  <c r="AA27" i="7"/>
  <c r="AB88" i="7"/>
  <c r="V15" i="8" l="1"/>
  <c r="V19" i="8"/>
  <c r="V6" i="8"/>
  <c r="V44" i="7"/>
  <c r="V52" i="7"/>
  <c r="V35" i="7"/>
  <c r="Q10" i="8"/>
  <c r="Q12" i="8"/>
  <c r="T12" i="8"/>
  <c r="T10" i="8"/>
  <c r="S13" i="8"/>
  <c r="S20" i="8"/>
  <c r="S21" i="8" s="1"/>
  <c r="AA75" i="7"/>
  <c r="AB73" i="7" s="1"/>
  <c r="AB76" i="7" s="1"/>
  <c r="X44" i="7"/>
  <c r="X52" i="7"/>
  <c r="J28" i="8"/>
  <c r="J21" i="8"/>
  <c r="Y32" i="7"/>
  <c r="Z29" i="7"/>
  <c r="J27" i="8"/>
  <c r="K13" i="8"/>
  <c r="Y34" i="7"/>
  <c r="Y35" i="7" s="1"/>
  <c r="AA28" i="7"/>
  <c r="V7" i="8" s="1"/>
  <c r="V8" i="8" s="1"/>
  <c r="Z31" i="7"/>
  <c r="AA76" i="7"/>
  <c r="AD88" i="7"/>
  <c r="AC19" i="7"/>
  <c r="AD10" i="7"/>
  <c r="AD11" i="7" s="1"/>
  <c r="AD17" i="7" s="1"/>
  <c r="AC88" i="7"/>
  <c r="AB22" i="7"/>
  <c r="W5" i="8" s="1"/>
  <c r="AB92" i="7"/>
  <c r="AC73" i="7"/>
  <c r="S53" i="7"/>
  <c r="S54" i="7" s="1"/>
  <c r="T50" i="7" s="1"/>
  <c r="T51" i="7" s="1"/>
  <c r="T45" i="7" s="1"/>
  <c r="T46" i="7" s="1"/>
  <c r="K21" i="8"/>
  <c r="K26" i="8"/>
  <c r="K28" i="8"/>
  <c r="K27" i="8"/>
  <c r="S67" i="7"/>
  <c r="R36" i="7"/>
  <c r="AB27" i="7"/>
  <c r="W6" i="8" l="1"/>
  <c r="W15" i="8"/>
  <c r="W19" i="8"/>
  <c r="T20" i="8"/>
  <c r="T21" i="8" s="1"/>
  <c r="T13" i="8"/>
  <c r="Z34" i="7"/>
  <c r="U9" i="8"/>
  <c r="AA92" i="7"/>
  <c r="AA94" i="7" s="1"/>
  <c r="V16" i="8" s="1"/>
  <c r="AA31" i="7"/>
  <c r="V9" i="8" s="1"/>
  <c r="AA29" i="7"/>
  <c r="Y52" i="7"/>
  <c r="Y44" i="7"/>
  <c r="Z32" i="7"/>
  <c r="AC74" i="7"/>
  <c r="AC75" i="7" s="1"/>
  <c r="AC22" i="7"/>
  <c r="X5" i="8" s="1"/>
  <c r="AD19" i="7"/>
  <c r="AB28" i="7"/>
  <c r="W7" i="8" s="1"/>
  <c r="W8" i="8" s="1"/>
  <c r="S36" i="7"/>
  <c r="T67" i="7"/>
  <c r="Z35" i="7"/>
  <c r="Z52" i="7"/>
  <c r="Z44" i="7"/>
  <c r="R37" i="7"/>
  <c r="R38" i="7" s="1"/>
  <c r="T53" i="7"/>
  <c r="T54" i="7" s="1"/>
  <c r="U50" i="7" s="1"/>
  <c r="X6" i="8" l="1"/>
  <c r="X15" i="8"/>
  <c r="X19" i="8"/>
  <c r="V10" i="8"/>
  <c r="V12" i="8"/>
  <c r="V13" i="8" s="1"/>
  <c r="AB94" i="7"/>
  <c r="W16" i="8" s="1"/>
  <c r="W17" i="8" s="1"/>
  <c r="U12" i="8"/>
  <c r="U10" i="8"/>
  <c r="V17" i="8"/>
  <c r="V20" i="8"/>
  <c r="AB31" i="7"/>
  <c r="W9" i="8" s="1"/>
  <c r="AA34" i="7"/>
  <c r="AA52" i="7" s="1"/>
  <c r="S37" i="7"/>
  <c r="S38" i="7" s="1"/>
  <c r="AA32" i="7"/>
  <c r="AC76" i="7"/>
  <c r="AB29" i="7"/>
  <c r="AD74" i="7"/>
  <c r="AD22" i="7"/>
  <c r="Y5" i="8" s="1"/>
  <c r="AC28" i="7"/>
  <c r="X7" i="8" s="1"/>
  <c r="X8" i="8" s="1"/>
  <c r="AD73" i="7"/>
  <c r="AC92" i="7"/>
  <c r="T36" i="7"/>
  <c r="M13" i="8"/>
  <c r="U51" i="7"/>
  <c r="U45" i="7" s="1"/>
  <c r="U46" i="7" s="1"/>
  <c r="L20" i="8"/>
  <c r="L13" i="8"/>
  <c r="W12" i="8" l="1"/>
  <c r="W10" i="8"/>
  <c r="Y6" i="8"/>
  <c r="Z6" i="8"/>
  <c r="Y15" i="8"/>
  <c r="Y19" i="8"/>
  <c r="U13" i="8"/>
  <c r="U20" i="8"/>
  <c r="U21" i="8" s="1"/>
  <c r="AD75" i="7"/>
  <c r="AD92" i="7" s="1"/>
  <c r="AD94" i="7" s="1"/>
  <c r="Y16" i="8" s="1"/>
  <c r="Y17" i="8" s="1"/>
  <c r="AB34" i="7"/>
  <c r="AA35" i="7"/>
  <c r="AA44" i="7"/>
  <c r="AB32" i="7"/>
  <c r="T37" i="7"/>
  <c r="T38" i="7" s="1"/>
  <c r="AC94" i="7"/>
  <c r="X16" i="8" s="1"/>
  <c r="X17" i="8" s="1"/>
  <c r="AC29" i="7"/>
  <c r="AC31" i="7"/>
  <c r="X9" i="8" s="1"/>
  <c r="AD28" i="7"/>
  <c r="Y7" i="8" s="1"/>
  <c r="Y8" i="8" s="1"/>
  <c r="N13" i="8"/>
  <c r="M20" i="8"/>
  <c r="M26" i="8" s="1"/>
  <c r="U53" i="7"/>
  <c r="U54" i="7" s="1"/>
  <c r="V50" i="7" s="1"/>
  <c r="V51" i="7" s="1"/>
  <c r="V45" i="7" s="1"/>
  <c r="V46" i="7" s="1"/>
  <c r="L28" i="8"/>
  <c r="L26" i="8"/>
  <c r="L27" i="8"/>
  <c r="L21" i="8"/>
  <c r="AB44" i="7"/>
  <c r="AB35" i="7"/>
  <c r="AB52" i="7"/>
  <c r="U67" i="7"/>
  <c r="AD76" i="7" l="1"/>
  <c r="X12" i="8"/>
  <c r="X10" i="8"/>
  <c r="W20" i="8"/>
  <c r="W21" i="8" s="1"/>
  <c r="W13" i="8"/>
  <c r="V21" i="8"/>
  <c r="AD29" i="7"/>
  <c r="AD31" i="7"/>
  <c r="Y9" i="8" s="1"/>
  <c r="AC32" i="7"/>
  <c r="AC34" i="7"/>
  <c r="N20" i="8"/>
  <c r="N27" i="8" s="1"/>
  <c r="M21" i="8"/>
  <c r="M27" i="8"/>
  <c r="M28" i="8"/>
  <c r="U36" i="7"/>
  <c r="V53" i="7"/>
  <c r="V54" i="7" s="1"/>
  <c r="W50" i="7" s="1"/>
  <c r="W51" i="7" s="1"/>
  <c r="V67" i="7"/>
  <c r="Y10" i="8" l="1"/>
  <c r="Y12" i="8"/>
  <c r="X13" i="8"/>
  <c r="X20" i="8"/>
  <c r="X21" i="8" s="1"/>
  <c r="O13" i="8"/>
  <c r="AD34" i="7"/>
  <c r="AD32" i="7"/>
  <c r="AC52" i="7"/>
  <c r="AC44" i="7"/>
  <c r="AC35" i="7"/>
  <c r="N28" i="8"/>
  <c r="N21" i="8"/>
  <c r="N26" i="8"/>
  <c r="U37" i="7"/>
  <c r="U38" i="7" s="1"/>
  <c r="V36" i="7"/>
  <c r="W45" i="7"/>
  <c r="W46" i="7" s="1"/>
  <c r="W67" i="7" s="1"/>
  <c r="W36" i="7" s="1"/>
  <c r="W53" i="7"/>
  <c r="W54" i="7" s="1"/>
  <c r="X50" i="7" s="1"/>
  <c r="X51" i="7" s="1"/>
  <c r="X45" i="7" s="1"/>
  <c r="X46" i="7" s="1"/>
  <c r="X67" i="7" s="1"/>
  <c r="X36" i="7" s="1"/>
  <c r="Y20" i="8" l="1"/>
  <c r="Y13" i="8"/>
  <c r="O20" i="8"/>
  <c r="O27" i="8" s="1"/>
  <c r="P20" i="8"/>
  <c r="AD35" i="7"/>
  <c r="AD44" i="7"/>
  <c r="AD52" i="7"/>
  <c r="V37" i="7"/>
  <c r="V38" i="7" s="1"/>
  <c r="W37" i="7"/>
  <c r="W38" i="7" s="1"/>
  <c r="X37" i="7"/>
  <c r="X38" i="7" s="1"/>
  <c r="X53" i="7"/>
  <c r="X54" i="7" s="1"/>
  <c r="Y50" i="7" s="1"/>
  <c r="Y21" i="8" l="1"/>
  <c r="Z21" i="8"/>
  <c r="O26" i="8"/>
  <c r="O21" i="8"/>
  <c r="O28" i="8"/>
  <c r="P13" i="8"/>
  <c r="Q13" i="8"/>
  <c r="Q20" i="8"/>
  <c r="P21" i="8"/>
  <c r="P27" i="8"/>
  <c r="P26" i="8"/>
  <c r="P28" i="8"/>
  <c r="Y51" i="7"/>
  <c r="Y45" i="7" s="1"/>
  <c r="Y46" i="7" s="1"/>
  <c r="Y67" i="7" s="1"/>
  <c r="Y36" i="7" s="1"/>
  <c r="Q28" i="8" l="1"/>
  <c r="R21" i="8"/>
  <c r="Q26" i="8"/>
  <c r="Q27" i="8"/>
  <c r="Q21" i="8"/>
  <c r="Y37" i="7"/>
  <c r="Y38" i="7" s="1"/>
  <c r="Y53" i="7"/>
  <c r="Y54" i="7" s="1"/>
  <c r="Z50" i="7" s="1"/>
  <c r="R26" i="8"/>
  <c r="R28" i="8"/>
  <c r="R27" i="8"/>
  <c r="Z51" i="7" l="1"/>
  <c r="Z45" i="7" s="1"/>
  <c r="Z46" i="7" s="1"/>
  <c r="Z67" i="7" s="1"/>
  <c r="Z36" i="7" s="1"/>
  <c r="S27" i="8" l="1"/>
  <c r="S26" i="8"/>
  <c r="S28" i="8"/>
  <c r="Z37" i="7"/>
  <c r="Z38" i="7" s="1"/>
  <c r="Z53" i="7"/>
  <c r="Z54" i="7" s="1"/>
  <c r="AA50" i="7" s="1"/>
  <c r="AA51" i="7" l="1"/>
  <c r="AA45" i="7" s="1"/>
  <c r="AA46" i="7" s="1"/>
  <c r="AA67" i="7" s="1"/>
  <c r="AA36" i="7" s="1"/>
  <c r="AA53" i="7" l="1"/>
  <c r="AA54" i="7" s="1"/>
  <c r="AB50" i="7" s="1"/>
  <c r="AB51" i="7" s="1"/>
  <c r="AB45" i="7" s="1"/>
  <c r="AB46" i="7" s="1"/>
  <c r="AB67" i="7" s="1"/>
  <c r="AB36" i="7" s="1"/>
  <c r="T26" i="8"/>
  <c r="T27" i="8"/>
  <c r="T28" i="8"/>
  <c r="AA37" i="7"/>
  <c r="AA38" i="7" s="1"/>
  <c r="AB53" i="7" l="1"/>
  <c r="AB54" i="7" s="1"/>
  <c r="AC50" i="7" s="1"/>
  <c r="AB37" i="7"/>
  <c r="AB38" i="7" s="1"/>
  <c r="AC51" i="7" l="1"/>
  <c r="AC45" i="7" s="1"/>
  <c r="AC46" i="7" s="1"/>
  <c r="AC67" i="7" s="1"/>
  <c r="AC36" i="7" s="1"/>
  <c r="U27" i="8"/>
  <c r="U28" i="8"/>
  <c r="U26" i="8"/>
  <c r="AC37" i="7" l="1"/>
  <c r="AC38" i="7" s="1"/>
  <c r="AC53" i="7"/>
  <c r="AC54" i="7" s="1"/>
  <c r="AD50" i="7" s="1"/>
  <c r="V27" i="8"/>
  <c r="V28" i="8"/>
  <c r="V26" i="8"/>
  <c r="AD51" i="7" l="1"/>
  <c r="AD45" i="7" s="1"/>
  <c r="AD46" i="7" s="1"/>
  <c r="AD67" i="7" s="1"/>
  <c r="AD36" i="7" s="1"/>
  <c r="AD37" i="7" l="1"/>
  <c r="AD38" i="7" s="1"/>
  <c r="W27" i="8"/>
  <c r="W28" i="8"/>
  <c r="W26" i="8"/>
  <c r="AD53" i="7"/>
  <c r="AD54" i="7" s="1"/>
  <c r="Y28" i="8" l="1"/>
  <c r="Y27" i="8"/>
  <c r="Y26" i="8"/>
  <c r="X28" i="8" l="1"/>
  <c r="C51" i="8" s="1"/>
  <c r="X26" i="8"/>
  <c r="C49" i="8" s="1"/>
  <c r="X27" i="8"/>
  <c r="C50" i="8" s="1"/>
  <c r="A54" i="8" l="1"/>
  <c r="A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Vipin Dagar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Vipin Dagur:</t>
        </r>
        <r>
          <rPr>
            <sz val="9"/>
            <color indexed="81"/>
            <rFont val="Tahoma"/>
            <family val="2"/>
          </rPr>
          <t xml:space="preserve">
Long Term Beta - Calculated on Mthly period calculated over 4 Yr, updated daily</t>
        </r>
      </text>
    </comment>
  </commentList>
</comments>
</file>

<file path=xl/sharedStrings.xml><?xml version="1.0" encoding="utf-8"?>
<sst xmlns="http://schemas.openxmlformats.org/spreadsheetml/2006/main" count="398" uniqueCount="274">
  <si>
    <t>No. of Days</t>
  </si>
  <si>
    <t>Year End</t>
  </si>
  <si>
    <t>Computers</t>
  </si>
  <si>
    <t>Previous Data</t>
  </si>
  <si>
    <t>Description of Asset</t>
  </si>
  <si>
    <t>Land-Freehold</t>
  </si>
  <si>
    <t>Buildings</t>
  </si>
  <si>
    <t>Pipelines</t>
  </si>
  <si>
    <t>Plant and machinery</t>
  </si>
  <si>
    <t>Capital Stores and Spares</t>
  </si>
  <si>
    <t>Transmission Lines</t>
  </si>
  <si>
    <t xml:space="preserve">Furniture Fittings </t>
  </si>
  <si>
    <t>Office Equipments</t>
  </si>
  <si>
    <t>Moter Vehicle</t>
  </si>
  <si>
    <t xml:space="preserve">Total </t>
  </si>
  <si>
    <t>1  Cost                                                                                                                                                                                                                                                                                                                                                                                                                                                                                                                                                                                                  Rs. In Lakhs</t>
  </si>
  <si>
    <t xml:space="preserve">     </t>
  </si>
  <si>
    <t>Balance as at 1 April, 2016</t>
  </si>
  <si>
    <t xml:space="preserve">Additions  </t>
  </si>
  <si>
    <t xml:space="preserve">EIR Adjustment </t>
  </si>
  <si>
    <t>Disposals / transfers</t>
  </si>
  <si>
    <t>Balance as at 31 March , 2017</t>
  </si>
  <si>
    <t>Balance as at March , 2018</t>
  </si>
  <si>
    <t>Balance as at March , 2019</t>
  </si>
  <si>
    <t xml:space="preserve">2. Accumulated Depreciation  </t>
  </si>
  <si>
    <t>Balance as at 1 April , 2016</t>
  </si>
  <si>
    <t xml:space="preserve">Depreciation expense </t>
  </si>
  <si>
    <t xml:space="preserve">Eliminated on disposal of plant and equipment </t>
  </si>
  <si>
    <t>Balance as at 31 March , 2018</t>
  </si>
  <si>
    <t>Balance as at 31 March , 2019</t>
  </si>
  <si>
    <t>Carrying Amount:</t>
  </si>
  <si>
    <t>As at 31 March , 2017</t>
  </si>
  <si>
    <t>As at 31 March , 2018</t>
  </si>
  <si>
    <t>As at 31 March , 2019</t>
  </si>
  <si>
    <t>Depreciation</t>
  </si>
  <si>
    <t>Age</t>
  </si>
  <si>
    <t>Carring Value</t>
  </si>
  <si>
    <t>No. days</t>
  </si>
  <si>
    <t>Total No. days</t>
  </si>
  <si>
    <t>Salvage
value</t>
  </si>
  <si>
    <t>Life/ Depreciation %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</si>
  <si>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</si>
  <si>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</si>
  <si>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</si>
  <si>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</si>
  <si>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</si>
  <si>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</si>
  <si>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</si>
  <si>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Capex During the year</t>
  </si>
  <si>
    <t>Revenue from Salvage Value</t>
  </si>
  <si>
    <t>Depreciation for the year</t>
  </si>
  <si>
    <t>Plant Year</t>
  </si>
  <si>
    <t>Projecton Year</t>
  </si>
  <si>
    <t>(Rs. In Lakhs)</t>
  </si>
  <si>
    <t>Figures in INR Crores</t>
  </si>
  <si>
    <t>Escalation Rate for Land price</t>
  </si>
  <si>
    <t>%</t>
  </si>
  <si>
    <t>Cost of Land</t>
  </si>
  <si>
    <t>INR Crore</t>
  </si>
  <si>
    <t>Sale Price of Land</t>
  </si>
  <si>
    <t>Profit on Sale of land</t>
  </si>
  <si>
    <t>COMM_NAME</t>
  </si>
  <si>
    <t>INDEX2011-2012 (Base Case)</t>
  </si>
  <si>
    <t>All commodities</t>
  </si>
  <si>
    <t>Expected WPI</t>
  </si>
  <si>
    <t>Escalation Rate for Capital Assets</t>
  </si>
  <si>
    <t>S. No.</t>
  </si>
  <si>
    <t>Company</t>
  </si>
  <si>
    <t>Tax Rate</t>
  </si>
  <si>
    <t>Total Asset</t>
  </si>
  <si>
    <t>Equity</t>
  </si>
  <si>
    <t>Comparable Weightage</t>
  </si>
  <si>
    <t>D/E</t>
  </si>
  <si>
    <t>Levered Beta</t>
  </si>
  <si>
    <t>Unlevered Beta</t>
  </si>
  <si>
    <t>Weighted Average</t>
  </si>
  <si>
    <t>Calculation of Company Beta</t>
  </si>
  <si>
    <t>Unlevered Beta of Comparable Companies</t>
  </si>
  <si>
    <t>Company Debt/ Equity Ratio</t>
  </si>
  <si>
    <t>Company Tax Rate</t>
  </si>
  <si>
    <t>Company Beta</t>
  </si>
  <si>
    <t>Calculation of Cost of Equity According to CAPM</t>
  </si>
  <si>
    <t>Risk Free Rate</t>
  </si>
  <si>
    <t>Equity Risk Premium</t>
  </si>
  <si>
    <t>Cost of Equity</t>
  </si>
  <si>
    <t>Indowind Energy Ltd.</t>
  </si>
  <si>
    <t>Wind Energy Producer Comparable Companies</t>
  </si>
  <si>
    <t>Inox Wind Ltd.</t>
  </si>
  <si>
    <t>Orient Green Power Company Limited</t>
  </si>
  <si>
    <t>Debt</t>
  </si>
  <si>
    <t>Revenue from OperationsFY19</t>
  </si>
  <si>
    <t>Phoolwadi Data as on 31.03.2019</t>
  </si>
  <si>
    <t>Debt/ Equity Ratio</t>
  </si>
  <si>
    <t>Particular</t>
  </si>
  <si>
    <t>Units</t>
  </si>
  <si>
    <t>Outstanding Amount</t>
  </si>
  <si>
    <t>Interest Rate</t>
  </si>
  <si>
    <t>Tenure 
( Quarter )</t>
  </si>
  <si>
    <t>Tenure 
( Years )</t>
  </si>
  <si>
    <t>Total</t>
  </si>
  <si>
    <t>Opening balance</t>
  </si>
  <si>
    <t>Principal Repayment</t>
  </si>
  <si>
    <t>Interest Expense</t>
  </si>
  <si>
    <t>Closing Balance</t>
  </si>
  <si>
    <t>Total Interest payment</t>
  </si>
  <si>
    <t>₹/ Kwh</t>
  </si>
  <si>
    <t>Auxiliary Consumption</t>
  </si>
  <si>
    <t>Cumulative Growth Rate</t>
  </si>
  <si>
    <t>Plant COD Achieving Date</t>
  </si>
  <si>
    <t>Life of Plant</t>
  </si>
  <si>
    <t>Years</t>
  </si>
  <si>
    <t>End of Plant Life</t>
  </si>
  <si>
    <t>Start of Long Term PPA</t>
  </si>
  <si>
    <t>PPA Life</t>
  </si>
  <si>
    <t>End of Long Term PPA</t>
  </si>
  <si>
    <t>Short Term PPA Start Date</t>
  </si>
  <si>
    <t>End of Short Term PPA</t>
  </si>
  <si>
    <t>FY Ending Plant Life</t>
  </si>
  <si>
    <t>Escalation Rate</t>
  </si>
  <si>
    <t>₹ in Cr.s</t>
  </si>
  <si>
    <t>Not Considered</t>
  </si>
  <si>
    <t>Tax Rates</t>
  </si>
  <si>
    <t>After 31-03-2022 as per Normal Rate</t>
  </si>
  <si>
    <t>Cost of Debt</t>
  </si>
  <si>
    <t>Expenses</t>
  </si>
  <si>
    <t>Important Dates</t>
  </si>
  <si>
    <t>Plant Capacity</t>
  </si>
  <si>
    <t>MW</t>
  </si>
  <si>
    <t>Working Capital Cycle</t>
  </si>
  <si>
    <t>Trade Receivables</t>
  </si>
  <si>
    <t>Operating Income</t>
  </si>
  <si>
    <t>Trade Payables</t>
  </si>
  <si>
    <t>O&amp;M Expenses</t>
  </si>
  <si>
    <t>D_S_O</t>
  </si>
  <si>
    <t>D_P_O</t>
  </si>
  <si>
    <t>Days</t>
  </si>
  <si>
    <t>Power Generation</t>
  </si>
  <si>
    <t>Gross Generation</t>
  </si>
  <si>
    <t>Net Generation</t>
  </si>
  <si>
    <t>Tariff Rate</t>
  </si>
  <si>
    <t>Profit &amp; Loss</t>
  </si>
  <si>
    <t>PLF %</t>
  </si>
  <si>
    <t>PLF's Range</t>
  </si>
  <si>
    <t>PLF of FY 21 due to low demand for COVID-19</t>
  </si>
  <si>
    <t>Profit on Sale of Land</t>
  </si>
  <si>
    <t>Total Income</t>
  </si>
  <si>
    <t>Expenses:</t>
  </si>
  <si>
    <t>Operation and Maintenance Expenses</t>
  </si>
  <si>
    <t>Other Costs</t>
  </si>
  <si>
    <t>Total Expenses</t>
  </si>
  <si>
    <t>EBIDTA</t>
  </si>
  <si>
    <t>EBIDTA %</t>
  </si>
  <si>
    <t>Depreciation Expenses</t>
  </si>
  <si>
    <t>EBIT</t>
  </si>
  <si>
    <t>EBIT %</t>
  </si>
  <si>
    <t>PBT</t>
  </si>
  <si>
    <t>PBT %</t>
  </si>
  <si>
    <t>Carry Forward Losses</t>
  </si>
  <si>
    <t>Carry Forward Losses (CFL)</t>
  </si>
  <si>
    <t>Taxable Income Pre CFL</t>
  </si>
  <si>
    <t>CFL Used</t>
  </si>
  <si>
    <t>Taxable Income Post CFL</t>
  </si>
  <si>
    <t>Carry Forward Loss Balance</t>
  </si>
  <si>
    <t>Opening CFL Balance</t>
  </si>
  <si>
    <t>Less: Losses Used</t>
  </si>
  <si>
    <t>Plus: Losses Added</t>
  </si>
  <si>
    <t>Less: Losses Expired</t>
  </si>
  <si>
    <t>Closing CFL Balance</t>
  </si>
  <si>
    <t>Tax rate Calculation</t>
  </si>
  <si>
    <t>Tax rate:</t>
  </si>
  <si>
    <t>Education Cess</t>
  </si>
  <si>
    <t>Surcharge</t>
  </si>
  <si>
    <t>Applicable Tax Rate</t>
  </si>
  <si>
    <t>C. Tax</t>
  </si>
  <si>
    <t>PAT</t>
  </si>
  <si>
    <t>PAT %</t>
  </si>
  <si>
    <t>Normal Tax</t>
  </si>
  <si>
    <t xml:space="preserve">Operating Summary </t>
  </si>
  <si>
    <t>Proj</t>
  </si>
  <si>
    <t>Total Revenue</t>
  </si>
  <si>
    <t>% Growth</t>
  </si>
  <si>
    <t>EBITDA</t>
  </si>
  <si>
    <t>% Sales</t>
  </si>
  <si>
    <t>Less: Taxes</t>
  </si>
  <si>
    <t>NOPAT</t>
  </si>
  <si>
    <t>Add: Depreciation</t>
  </si>
  <si>
    <t>Less: Change in Working Capital</t>
  </si>
  <si>
    <t>Less: Fixed Capital Investment</t>
  </si>
  <si>
    <t>Free Cash Flow to the Firm</t>
  </si>
  <si>
    <t>Projection Period Calculation</t>
  </si>
  <si>
    <t>Particulars</t>
  </si>
  <si>
    <t>Discount Rate</t>
  </si>
  <si>
    <t>PV of Cash Flows</t>
  </si>
  <si>
    <t>Bull Scenario</t>
  </si>
  <si>
    <t>Present Scenario</t>
  </si>
  <si>
    <t>Bear Scenario</t>
  </si>
  <si>
    <t>Inputs</t>
  </si>
  <si>
    <t>Valuation Date</t>
  </si>
  <si>
    <t>Discount Rate Change</t>
  </si>
  <si>
    <t>Weighted Average Cost of Capital</t>
  </si>
  <si>
    <t>Amounts</t>
  </si>
  <si>
    <t>Weightage</t>
  </si>
  <si>
    <t>INR Crores, Unless Otherwise Specified</t>
  </si>
  <si>
    <t>WACC</t>
  </si>
  <si>
    <t>CUMULATIVE DISCOUNTED CASH FLOW OVER THE PROJECTION PERIOD</t>
  </si>
  <si>
    <t>Scenario</t>
  </si>
  <si>
    <t xml:space="preserve">Discount Rate </t>
  </si>
  <si>
    <t>Free Cash Flow During Projection Period (In Crores.)</t>
  </si>
  <si>
    <t>ENTERPRISE VALUE OF THE FIRM</t>
  </si>
  <si>
    <t>Working Capital Calculation</t>
  </si>
  <si>
    <t>Opening Balance</t>
  </si>
  <si>
    <t>Revenue Earned</t>
  </si>
  <si>
    <t>Raw Material paid cost</t>
  </si>
  <si>
    <t>Working Capital</t>
  </si>
  <si>
    <t>Change in Working Capital</t>
  </si>
  <si>
    <t>VALUE OF EQUITY</t>
  </si>
  <si>
    <t>Estimated Tariff for future Years</t>
  </si>
  <si>
    <t>O&amp;M Cost as per MERC Order</t>
  </si>
  <si>
    <t>O&amp;M Cost per MW</t>
  </si>
  <si>
    <t>Wind Power tariff Rate upto 31-03-2027 as per PPA</t>
  </si>
  <si>
    <t>Long-term Debt</t>
  </si>
  <si>
    <t>Interest Due</t>
  </si>
  <si>
    <t>From Sale of Power</t>
  </si>
  <si>
    <t>From GBI</t>
  </si>
  <si>
    <t>Revenue from Operation:</t>
  </si>
  <si>
    <t>Other Income:</t>
  </si>
  <si>
    <t>Incentive Receivables</t>
  </si>
  <si>
    <t>Total O&amp;M Cost</t>
  </si>
  <si>
    <t>Escalation Rate for Employee Benefit &amp; Other Expenses</t>
  </si>
  <si>
    <t>Capital Creditors</t>
  </si>
  <si>
    <t>2012-13</t>
  </si>
  <si>
    <t>2013-14</t>
  </si>
  <si>
    <t>2014-15</t>
  </si>
  <si>
    <t>2015-16</t>
  </si>
  <si>
    <t>2016-17</t>
  </si>
  <si>
    <t>2017-18</t>
  </si>
  <si>
    <t>2018-19</t>
  </si>
  <si>
    <t>Plant and Machinery</t>
  </si>
  <si>
    <t>Generation Based Incentive based on Net Generation upto 31.03.2025</t>
  </si>
  <si>
    <t>Loans &amp; Advances Receivable</t>
  </si>
  <si>
    <t>Unbiled Revenue</t>
  </si>
  <si>
    <t>Employee Benefit Expenses</t>
  </si>
  <si>
    <t>-</t>
  </si>
  <si>
    <t>Average Other expenses</t>
  </si>
  <si>
    <t>For ICD</t>
  </si>
  <si>
    <t>Cash &amp; Cash Equivalents</t>
  </si>
  <si>
    <t>Page No 5 of PPA</t>
  </si>
  <si>
    <t>Page no 10 of PPA</t>
  </si>
  <si>
    <t>Page no 13 of PPA</t>
  </si>
  <si>
    <t>Page no 17 of PPA</t>
  </si>
  <si>
    <t>Page no 25 of PPA</t>
  </si>
  <si>
    <t>Page no. 18 of MERC Order</t>
  </si>
  <si>
    <t>2019-20</t>
  </si>
  <si>
    <t>2020-21</t>
  </si>
  <si>
    <t>2021-22</t>
  </si>
  <si>
    <t>2022-23</t>
  </si>
  <si>
    <t>On ICDs (Inter Corporate Deposits)</t>
  </si>
  <si>
    <t>Portion of Outstanding Loan on 31-3-22 paid till 31-3-27</t>
  </si>
  <si>
    <t>https://in.investing.com/rates-bonds/india-10-year-bond-yield-historical-data</t>
  </si>
  <si>
    <t>Risk Free Rate (Rf)</t>
  </si>
  <si>
    <t>https://kunaldesai.blog/nifty-returns/</t>
  </si>
  <si>
    <t>Expected Market Return (Rm) Nifty Fifty 5-year return 2022</t>
  </si>
  <si>
    <t>Beta (B)</t>
  </si>
  <si>
    <t>Cost of Equity (Ke)</t>
  </si>
  <si>
    <t>Average O&amp;M Cost between FY 2018 To FY 2022</t>
  </si>
  <si>
    <t xml:space="preserve">         </t>
  </si>
  <si>
    <r>
      <t xml:space="preserve"> </t>
    </r>
    <r>
      <rPr>
        <b/>
        <i/>
        <sz val="9"/>
        <color theme="1"/>
        <rFont val="Arial"/>
        <family val="2"/>
      </rPr>
      <t>(₹ in Crores)</t>
    </r>
  </si>
  <si>
    <t>Total Expense</t>
  </si>
  <si>
    <t>Depreciation and amortization expense</t>
  </si>
  <si>
    <t>Finance costs</t>
  </si>
  <si>
    <t>Tax expense</t>
  </si>
  <si>
    <t>Nifty-50 20 year return</t>
  </si>
  <si>
    <t>Wind Power tariff Rate after  31-03-2027</t>
  </si>
  <si>
    <t>Company Risk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</si>
</sst>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₹&quot;\ #,##0.00;[Red]&quot;₹&quot;\ \-#,##0.00"/>
    <numFmt numFmtId="43" formatCode="_ * #,##0.00_ ;_ * \-#,##0.00_ ;_ * &quot;-&quot;??_ ;_ @_ "/>
    <numFmt numFmtId="164" formatCode="[$-F800]dddd\,\ mmmm\ dd\,\ yyyy"/>
    <numFmt numFmtId="165" formatCode="_(* #,##0.00_);_(* \(#,##0.00\);_(* &quot;-&quot;??_);_(@_)"/>
    <numFmt numFmtId="166" formatCode="_(* #,##0.00_);_(* \(#,##0.00\);_(* &quot;-&quot;_);_(@_)"/>
    <numFmt numFmtId="167" formatCode="0.000000%"/>
    <numFmt numFmtId="168" formatCode="0.0%"/>
    <numFmt numFmtId="169" formatCode="0.0"/>
    <numFmt numFmtId="170" formatCode="0.00000"/>
    <numFmt numFmtId="171" formatCode="0.0000"/>
    <numFmt numFmtId="172" formatCode="_(* #,##0.000000000_);_(* \(#,##0.000000000\);_(* &quot;-&quot;??_);_(@_)"/>
    <numFmt numFmtId="173" formatCode="&quot;Less than &quot;0"/>
    <numFmt numFmtId="174" formatCode="&quot;Less than 1 and more than &quot;0"/>
    <numFmt numFmtId="175" formatCode="&quot;More than &quot;0"/>
    <numFmt numFmtId="176" formatCode="_(* #,##0.0_);_(* \(#,##0.0\);_(* &quot;-&quot;??_);_(@_)"/>
    <numFmt numFmtId="177" formatCode="mmm\ yyyy"/>
    <numFmt numFmtId="178" formatCode="[$-409]mmm\-yy;@"/>
    <numFmt numFmtId="179" formatCode="[$-409]d\-mmm\-yy;@"/>
    <numFmt numFmtId="180" formatCode="&quot;₹&quot;\ 0.00&quot; Crores&quot;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4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6" fillId="0" borderId="0" xfId="0" applyFont="1"/>
    <xf numFmtId="0" fontId="7" fillId="3" borderId="0" xfId="0" applyFont="1" applyFill="1"/>
    <xf numFmtId="0" fontId="8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3" xfId="0" applyFont="1" applyBorder="1"/>
    <xf numFmtId="0" fontId="6" fillId="0" borderId="4" xfId="0" applyFont="1" applyBorder="1"/>
    <xf numFmtId="0" fontId="6" fillId="0" borderId="2" xfId="0" applyFont="1" applyBorder="1"/>
    <xf numFmtId="165" fontId="9" fillId="0" borderId="0" xfId="2" applyFont="1"/>
    <xf numFmtId="0" fontId="6" fillId="0" borderId="1" xfId="0" applyFont="1" applyBorder="1" applyAlignment="1">
      <alignment horizontal="right"/>
    </xf>
    <xf numFmtId="10" fontId="6" fillId="0" borderId="0" xfId="1" applyNumberFormat="1" applyFont="1"/>
    <xf numFmtId="2" fontId="6" fillId="0" borderId="0" xfId="0" applyNumberFormat="1" applyFont="1"/>
    <xf numFmtId="0" fontId="8" fillId="0" borderId="0" xfId="0" applyFont="1"/>
    <xf numFmtId="10" fontId="6" fillId="0" borderId="5" xfId="1" applyNumberFormat="1" applyFont="1" applyBorder="1"/>
    <xf numFmtId="10" fontId="6" fillId="0" borderId="0" xfId="0" applyNumberFormat="1" applyFont="1"/>
    <xf numFmtId="167" fontId="6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8" fillId="4" borderId="6" xfId="2" applyNumberFormat="1" applyFont="1" applyFill="1" applyBorder="1"/>
    <xf numFmtId="0" fontId="10" fillId="0" borderId="0" xfId="0" applyFont="1"/>
    <xf numFmtId="15" fontId="7" fillId="2" borderId="1" xfId="0" applyNumberFormat="1" applyFont="1" applyFill="1" applyBorder="1"/>
    <xf numFmtId="2" fontId="8" fillId="0" borderId="0" xfId="0" applyNumberFormat="1" applyFont="1"/>
    <xf numFmtId="2" fontId="6" fillId="0" borderId="5" xfId="0" applyNumberFormat="1" applyFont="1" applyBorder="1"/>
    <xf numFmtId="2" fontId="8" fillId="4" borderId="6" xfId="2" applyNumberFormat="1" applyFont="1" applyFill="1" applyBorder="1"/>
    <xf numFmtId="0" fontId="7" fillId="2" borderId="0" xfId="0" applyFont="1" applyFill="1"/>
    <xf numFmtId="0" fontId="8" fillId="4" borderId="1" xfId="0" applyFont="1" applyFill="1" applyBorder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4" fontId="6" fillId="5" borderId="1" xfId="0" applyNumberFormat="1" applyFont="1" applyFill="1" applyBorder="1"/>
    <xf numFmtId="165" fontId="9" fillId="5" borderId="0" xfId="2" applyFont="1" applyFill="1"/>
    <xf numFmtId="10" fontId="6" fillId="5" borderId="0" xfId="1" applyNumberFormat="1" applyFont="1" applyFill="1"/>
    <xf numFmtId="2" fontId="6" fillId="5" borderId="0" xfId="0" applyNumberFormat="1" applyFont="1" applyFill="1"/>
    <xf numFmtId="2" fontId="8" fillId="5" borderId="0" xfId="0" applyNumberFormat="1" applyFont="1" applyFill="1"/>
    <xf numFmtId="2" fontId="6" fillId="5" borderId="5" xfId="0" applyNumberFormat="1" applyFont="1" applyFill="1" applyBorder="1"/>
    <xf numFmtId="2" fontId="8" fillId="5" borderId="6" xfId="2" applyNumberFormat="1" applyFont="1" applyFill="1" applyBorder="1"/>
    <xf numFmtId="10" fontId="6" fillId="5" borderId="5" xfId="1" applyNumberFormat="1" applyFont="1" applyFill="1" applyBorder="1"/>
    <xf numFmtId="4" fontId="8" fillId="5" borderId="0" xfId="0" applyNumberFormat="1" applyFont="1" applyFill="1"/>
    <xf numFmtId="4" fontId="6" fillId="5" borderId="0" xfId="0" applyNumberFormat="1" applyFont="1" applyFill="1"/>
    <xf numFmtId="4" fontId="8" fillId="5" borderId="6" xfId="2" applyNumberFormat="1" applyFont="1" applyFill="1" applyBorder="1"/>
    <xf numFmtId="166" fontId="6" fillId="5" borderId="1" xfId="0" applyNumberFormat="1" applyFont="1" applyFill="1" applyBorder="1"/>
    <xf numFmtId="15" fontId="11" fillId="5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168" fontId="8" fillId="4" borderId="1" xfId="0" applyNumberFormat="1" applyFont="1" applyFill="1" applyBorder="1"/>
    <xf numFmtId="2" fontId="8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3" fillId="0" borderId="1" xfId="0" applyFont="1" applyBorder="1"/>
    <xf numFmtId="49" fontId="11" fillId="4" borderId="1" xfId="3" applyNumberFormat="1" applyFont="1" applyFill="1" applyBorder="1"/>
    <xf numFmtId="169" fontId="11" fillId="4" borderId="1" xfId="3" applyNumberFormat="1" applyFont="1" applyFill="1" applyBorder="1"/>
    <xf numFmtId="49" fontId="9" fillId="0" borderId="1" xfId="3" applyNumberFormat="1" applyFont="1" applyBorder="1"/>
    <xf numFmtId="170" fontId="9" fillId="0" borderId="1" xfId="3" applyNumberFormat="1" applyFont="1" applyBorder="1"/>
    <xf numFmtId="169" fontId="9" fillId="0" borderId="1" xfId="3" applyNumberFormat="1" applyFont="1" applyBorder="1"/>
    <xf numFmtId="0" fontId="6" fillId="4" borderId="1" xfId="0" applyFont="1" applyFill="1" applyBorder="1"/>
    <xf numFmtId="170" fontId="9" fillId="4" borderId="1" xfId="3" applyNumberFormat="1" applyFont="1" applyFill="1" applyBorder="1"/>
    <xf numFmtId="169" fontId="9" fillId="4" borderId="1" xfId="3" applyNumberFormat="1" applyFont="1" applyFill="1" applyBorder="1"/>
    <xf numFmtId="10" fontId="8" fillId="4" borderId="1" xfId="4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171" fontId="6" fillId="4" borderId="1" xfId="0" applyNumberFormat="1" applyFont="1" applyFill="1" applyBorder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vertical="center"/>
    </xf>
    <xf numFmtId="165" fontId="13" fillId="0" borderId="1" xfId="6" applyFont="1" applyBorder="1" applyAlignment="1">
      <alignment vertical="center"/>
    </xf>
    <xf numFmtId="10" fontId="13" fillId="0" borderId="1" xfId="6" applyNumberFormat="1" applyFont="1" applyBorder="1" applyAlignment="1">
      <alignment vertical="center"/>
    </xf>
    <xf numFmtId="17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6" fillId="4" borderId="1" xfId="0" applyFont="1" applyFill="1" applyBorder="1"/>
    <xf numFmtId="10" fontId="16" fillId="4" borderId="1" xfId="0" applyNumberFormat="1" applyFont="1" applyFill="1" applyBorder="1"/>
    <xf numFmtId="165" fontId="16" fillId="4" borderId="1" xfId="0" applyNumberFormat="1" applyFont="1" applyFill="1" applyBorder="1"/>
    <xf numFmtId="165" fontId="13" fillId="0" borderId="0" xfId="0" applyNumberFormat="1" applyFont="1"/>
    <xf numFmtId="10" fontId="13" fillId="0" borderId="0" xfId="0" applyNumberFormat="1" applyFont="1"/>
    <xf numFmtId="0" fontId="17" fillId="4" borderId="0" xfId="0" applyFont="1" applyFill="1"/>
    <xf numFmtId="0" fontId="18" fillId="0" borderId="0" xfId="0" applyFont="1"/>
    <xf numFmtId="165" fontId="0" fillId="0" borderId="0" xfId="0" applyNumberFormat="1"/>
    <xf numFmtId="43" fontId="0" fillId="0" borderId="0" xfId="5" applyFont="1"/>
    <xf numFmtId="10" fontId="0" fillId="0" borderId="0" xfId="0" applyNumberFormat="1"/>
    <xf numFmtId="171" fontId="18" fillId="0" borderId="0" xfId="0" applyNumberFormat="1" applyFont="1"/>
    <xf numFmtId="0" fontId="20" fillId="2" borderId="0" xfId="0" applyFont="1" applyFill="1"/>
    <xf numFmtId="10" fontId="20" fillId="2" borderId="0" xfId="0" applyNumberFormat="1" applyFont="1" applyFill="1"/>
    <xf numFmtId="2" fontId="13" fillId="0" borderId="1" xfId="6" applyNumberFormat="1" applyFont="1" applyBorder="1" applyAlignment="1">
      <alignment vertical="center"/>
    </xf>
    <xf numFmtId="2" fontId="16" fillId="4" borderId="1" xfId="0" applyNumberFormat="1" applyFont="1" applyFill="1" applyBorder="1"/>
    <xf numFmtId="0" fontId="15" fillId="0" borderId="0" xfId="0" applyFont="1"/>
    <xf numFmtId="9" fontId="13" fillId="0" borderId="0" xfId="0" applyNumberFormat="1" applyFont="1"/>
    <xf numFmtId="165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5" fontId="7" fillId="2" borderId="2" xfId="0" applyNumberFormat="1" applyFont="1" applyFill="1" applyBorder="1"/>
    <xf numFmtId="10" fontId="0" fillId="0" borderId="1" xfId="0" applyNumberFormat="1" applyBorder="1"/>
    <xf numFmtId="14" fontId="0" fillId="0" borderId="1" xfId="0" applyNumberFormat="1" applyBorder="1"/>
    <xf numFmtId="0" fontId="3" fillId="4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/>
    <xf numFmtId="0" fontId="0" fillId="0" borderId="4" xfId="0" applyBorder="1" applyAlignment="1">
      <alignment horizontal="center"/>
    </xf>
    <xf numFmtId="10" fontId="0" fillId="0" borderId="4" xfId="0" applyNumberFormat="1" applyBorder="1"/>
    <xf numFmtId="10" fontId="8" fillId="4" borderId="1" xfId="0" applyNumberFormat="1" applyFont="1" applyFill="1" applyBorder="1"/>
    <xf numFmtId="0" fontId="13" fillId="0" borderId="1" xfId="0" applyFont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6" borderId="0" xfId="0" applyFill="1"/>
    <xf numFmtId="43" fontId="13" fillId="0" borderId="0" xfId="0" applyNumberFormat="1" applyFont="1"/>
    <xf numFmtId="9" fontId="0" fillId="0" borderId="0" xfId="1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0" fontId="3" fillId="4" borderId="1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/>
    <xf numFmtId="14" fontId="0" fillId="0" borderId="0" xfId="0" applyNumberFormat="1"/>
    <xf numFmtId="164" fontId="1" fillId="0" borderId="0" xfId="0" applyNumberFormat="1" applyFont="1"/>
    <xf numFmtId="0" fontId="0" fillId="4" borderId="1" xfId="0" applyFill="1" applyBorder="1"/>
    <xf numFmtId="2" fontId="3" fillId="4" borderId="1" xfId="0" applyNumberFormat="1" applyFont="1" applyFill="1" applyBorder="1"/>
    <xf numFmtId="2" fontId="3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6" fontId="9" fillId="0" borderId="1" xfId="0" applyNumberFormat="1" applyFont="1" applyBorder="1" applyAlignment="1">
      <alignment vertical="center"/>
    </xf>
    <xf numFmtId="9" fontId="6" fillId="0" borderId="1" xfId="0" applyNumberFormat="1" applyFont="1" applyBorder="1"/>
    <xf numFmtId="173" fontId="6" fillId="0" borderId="1" xfId="0" applyNumberFormat="1" applyFont="1" applyBorder="1"/>
    <xf numFmtId="9" fontId="6" fillId="0" borderId="0" xfId="0" applyNumberFormat="1" applyFont="1"/>
    <xf numFmtId="10" fontId="6" fillId="0" borderId="1" xfId="1" applyNumberFormat="1" applyFont="1" applyBorder="1"/>
    <xf numFmtId="174" fontId="6" fillId="0" borderId="1" xfId="0" applyNumberFormat="1" applyFont="1" applyBorder="1"/>
    <xf numFmtId="175" fontId="6" fillId="0" borderId="1" xfId="0" applyNumberFormat="1" applyFont="1" applyBorder="1"/>
    <xf numFmtId="176" fontId="6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43" fontId="0" fillId="0" borderId="1" xfId="5" applyFont="1" applyBorder="1"/>
    <xf numFmtId="0" fontId="21" fillId="0" borderId="1" xfId="0" applyFont="1" applyBorder="1" applyAlignment="1">
      <alignment horizontal="right"/>
    </xf>
    <xf numFmtId="10" fontId="21" fillId="0" borderId="1" xfId="0" applyNumberFormat="1" applyFont="1" applyBorder="1"/>
    <xf numFmtId="43" fontId="3" fillId="4" borderId="1" xfId="0" applyNumberFormat="1" applyFont="1" applyFill="1" applyBorder="1"/>
    <xf numFmtId="4" fontId="8" fillId="0" borderId="1" xfId="0" applyNumberFormat="1" applyFont="1" applyBorder="1"/>
    <xf numFmtId="9" fontId="10" fillId="0" borderId="1" xfId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left"/>
    </xf>
    <xf numFmtId="15" fontId="8" fillId="4" borderId="1" xfId="0" applyNumberFormat="1" applyFont="1" applyFill="1" applyBorder="1" applyAlignment="1">
      <alignment horizontal="center" vertical="center" wrapText="1"/>
    </xf>
    <xf numFmtId="15" fontId="8" fillId="4" borderId="8" xfId="0" applyNumberFormat="1" applyFont="1" applyFill="1" applyBorder="1" applyAlignment="1">
      <alignment vertical="center"/>
    </xf>
    <xf numFmtId="15" fontId="8" fillId="4" borderId="6" xfId="0" applyNumberFormat="1" applyFont="1" applyFill="1" applyBorder="1" applyAlignment="1">
      <alignment vertical="center" wrapText="1"/>
    </xf>
    <xf numFmtId="15" fontId="8" fillId="4" borderId="7" xfId="0" applyNumberFormat="1" applyFont="1" applyFill="1" applyBorder="1" applyAlignment="1">
      <alignment vertical="center" wrapText="1"/>
    </xf>
    <xf numFmtId="10" fontId="6" fillId="0" borderId="1" xfId="0" applyNumberFormat="1" applyFont="1" applyBorder="1"/>
    <xf numFmtId="179" fontId="8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165" fontId="6" fillId="0" borderId="0" xfId="0" applyNumberFormat="1" applyFont="1"/>
    <xf numFmtId="9" fontId="11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5" fontId="8" fillId="0" borderId="1" xfId="2" applyFont="1" applyBorder="1"/>
    <xf numFmtId="10" fontId="8" fillId="0" borderId="1" xfId="1" applyNumberFormat="1" applyFont="1" applyBorder="1"/>
    <xf numFmtId="10" fontId="8" fillId="0" borderId="1" xfId="0" applyNumberFormat="1" applyFont="1" applyBorder="1"/>
    <xf numFmtId="165" fontId="8" fillId="4" borderId="1" xfId="2" applyFont="1" applyFill="1" applyBorder="1"/>
    <xf numFmtId="10" fontId="8" fillId="4" borderId="1" xfId="1" applyNumberFormat="1" applyFont="1" applyFill="1" applyBorder="1"/>
    <xf numFmtId="178" fontId="7" fillId="0" borderId="0" xfId="0" applyNumberFormat="1" applyFont="1"/>
    <xf numFmtId="0" fontId="8" fillId="4" borderId="1" xfId="0" applyFont="1" applyFill="1" applyBorder="1" applyAlignment="1">
      <alignment horizontal="center" vertical="center" wrapText="1"/>
    </xf>
    <xf numFmtId="165" fontId="6" fillId="0" borderId="1" xfId="2" applyFont="1" applyBorder="1"/>
    <xf numFmtId="180" fontId="8" fillId="0" borderId="1" xfId="0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wrapText="1"/>
    </xf>
    <xf numFmtId="165" fontId="0" fillId="4" borderId="1" xfId="0" applyNumberFormat="1" applyFill="1" applyBorder="1"/>
    <xf numFmtId="10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9" fillId="0" borderId="1" xfId="0" applyFont="1" applyBorder="1"/>
    <xf numFmtId="176" fontId="6" fillId="0" borderId="1" xfId="0" applyNumberFormat="1" applyFont="1" applyBorder="1"/>
    <xf numFmtId="0" fontId="11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/>
    <xf numFmtId="4" fontId="8" fillId="4" borderId="1" xfId="0" applyNumberFormat="1" applyFont="1" applyFill="1" applyBorder="1"/>
    <xf numFmtId="9" fontId="10" fillId="0" borderId="0" xfId="1" applyFont="1" applyFill="1" applyBorder="1" applyAlignment="1">
      <alignment horizontal="right"/>
    </xf>
    <xf numFmtId="178" fontId="7" fillId="2" borderId="1" xfId="0" applyNumberFormat="1" applyFont="1" applyFill="1" applyBorder="1" applyAlignment="1">
      <alignment horizontal="center"/>
    </xf>
    <xf numFmtId="0" fontId="19" fillId="4" borderId="0" xfId="0" applyFont="1" applyFill="1"/>
    <xf numFmtId="2" fontId="13" fillId="0" borderId="1" xfId="0" applyNumberFormat="1" applyFont="1" applyBorder="1"/>
    <xf numFmtId="0" fontId="0" fillId="0" borderId="1" xfId="0" applyBorder="1" applyAlignment="1">
      <alignment horizontal="left"/>
    </xf>
    <xf numFmtId="2" fontId="0" fillId="0" borderId="9" xfId="0" applyNumberFormat="1" applyBorder="1"/>
    <xf numFmtId="2" fontId="0" fillId="0" borderId="4" xfId="0" applyNumberFormat="1" applyBorder="1"/>
    <xf numFmtId="2" fontId="3" fillId="0" borderId="4" xfId="0" applyNumberFormat="1" applyFont="1" applyBorder="1"/>
    <xf numFmtId="0" fontId="6" fillId="4" borderId="1" xfId="0" applyFont="1" applyFill="1" applyBorder="1" applyAlignment="1">
      <alignment horizontal="center"/>
    </xf>
    <xf numFmtId="2" fontId="8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/>
    <xf numFmtId="0" fontId="6" fillId="0" borderId="0" xfId="0" applyFont="1" applyAlignment="1">
      <alignment horizontal="center"/>
    </xf>
    <xf numFmtId="43" fontId="3" fillId="0" borderId="1" xfId="5" applyFont="1" applyFill="1" applyBorder="1"/>
    <xf numFmtId="14" fontId="3" fillId="4" borderId="1" xfId="0" applyNumberFormat="1" applyFont="1" applyFill="1" applyBorder="1" applyAlignment="1">
      <alignment horizontal="center"/>
    </xf>
    <xf numFmtId="10" fontId="3" fillId="4" borderId="4" xfId="0" applyNumberFormat="1" applyFont="1" applyFill="1" applyBorder="1"/>
    <xf numFmtId="4" fontId="3" fillId="0" borderId="1" xfId="0" applyNumberFormat="1" applyFont="1" applyBorder="1"/>
    <xf numFmtId="2" fontId="0" fillId="0" borderId="2" xfId="0" applyNumberFormat="1" applyBorder="1"/>
    <xf numFmtId="2" fontId="3" fillId="8" borderId="1" xfId="0" applyNumberFormat="1" applyFont="1" applyFill="1" applyBorder="1"/>
    <xf numFmtId="4" fontId="0" fillId="0" borderId="3" xfId="0" applyNumberFormat="1" applyBorder="1"/>
    <xf numFmtId="169" fontId="9" fillId="0" borderId="3" xfId="3" applyNumberFormat="1" applyFont="1" applyBorder="1"/>
    <xf numFmtId="0" fontId="23" fillId="0" borderId="0" xfId="10"/>
    <xf numFmtId="0" fontId="24" fillId="0" borderId="1" xfId="0" applyFont="1" applyBorder="1"/>
    <xf numFmtId="10" fontId="25" fillId="0" borderId="1" xfId="0" applyNumberFormat="1" applyFont="1" applyBorder="1"/>
    <xf numFmtId="0" fontId="23" fillId="0" borderId="0" xfId="10" applyAlignment="1">
      <alignment vertical="center"/>
    </xf>
    <xf numFmtId="0" fontId="24" fillId="0" borderId="1" xfId="0" applyFont="1" applyBorder="1" applyAlignment="1">
      <alignment vertical="center" wrapText="1"/>
    </xf>
    <xf numFmtId="168" fontId="25" fillId="0" borderId="1" xfId="0" applyNumberFormat="1" applyFont="1" applyBorder="1" applyAlignment="1">
      <alignment vertical="center"/>
    </xf>
    <xf numFmtId="2" fontId="25" fillId="0" borderId="1" xfId="0" applyNumberFormat="1" applyFont="1" applyBorder="1"/>
    <xf numFmtId="0" fontId="26" fillId="0" borderId="0" xfId="0" applyFont="1" applyAlignment="1">
      <alignment horizontal="justify" vertical="center"/>
    </xf>
    <xf numFmtId="0" fontId="28" fillId="2" borderId="10" xfId="0" applyFont="1" applyFill="1" applyBorder="1" applyAlignment="1">
      <alignment horizontal="center" vertical="center" wrapText="1"/>
    </xf>
    <xf numFmtId="17" fontId="28" fillId="2" borderId="11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3" xfId="0" applyFont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0" fontId="30" fillId="9" borderId="13" xfId="0" applyFont="1" applyFill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0" fontId="31" fillId="0" borderId="13" xfId="0" applyNumberFormat="1" applyFont="1" applyBorder="1" applyAlignment="1">
      <alignment horizontal="right" vertical="center"/>
    </xf>
    <xf numFmtId="2" fontId="29" fillId="0" borderId="13" xfId="0" applyNumberFormat="1" applyFont="1" applyBorder="1" applyAlignment="1">
      <alignment horizontal="right" vertical="center"/>
    </xf>
    <xf numFmtId="2" fontId="30" fillId="9" borderId="13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9" fontId="21" fillId="0" borderId="1" xfId="1" applyFont="1" applyFill="1" applyBorder="1" applyAlignment="1">
      <alignment horizontal="center" vertical="center"/>
    </xf>
    <xf numFmtId="10" fontId="21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165" fontId="8" fillId="4" borderId="0" xfId="2" applyFont="1" applyFill="1" applyBorder="1"/>
    <xf numFmtId="10" fontId="8" fillId="4" borderId="0" xfId="1" applyNumberFormat="1" applyFont="1" applyFill="1" applyBorder="1"/>
    <xf numFmtId="0" fontId="32" fillId="0" borderId="0" xfId="0" applyFont="1"/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2" fillId="0" borderId="8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7" xfId="0" applyFont="1" applyBorder="1" applyAlignment="1">
      <alignment horizontal="right"/>
    </xf>
  </cellXfs>
  <cellStyles count="11">
    <cellStyle name="Comma" xfId="5" builtinId="3"/>
    <cellStyle name="Comma 2" xfId="2" xr:uid="{00000000-0005-0000-0000-000001000000}"/>
    <cellStyle name="Comma 2 2" xfId="7" xr:uid="{B2AB7659-F1C9-429A-83D4-C2B35C44F6A9}"/>
    <cellStyle name="Comma 3" xfId="8" xr:uid="{65591347-EC62-44DD-B7DB-E6E467CF4667}"/>
    <cellStyle name="Comma 3 76" xfId="6" xr:uid="{00000000-0005-0000-0000-000002000000}"/>
    <cellStyle name="Comma 3 76 2" xfId="9" xr:uid="{7B0E90B8-A251-4EF9-9E89-5A64CAF36D20}"/>
    <cellStyle name="Hyperlink" xfId="10" builtinId="8"/>
    <cellStyle name="Normal" xfId="0" builtinId="0"/>
    <cellStyle name="Normal 2 10" xfId="3" xr:uid="{00000000-0005-0000-0000-000004000000}"/>
    <cellStyle name="Percent" xfId="1" builtinId="5"/>
    <cellStyle name="Percent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gnesh\c\Backup-%20Old\Schedule\SCHDULE%20YEAR%200506%20AFTER%20VISIT\FINAL%20%20EXP%20-SCHDULE%20YEAR%2005-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accounts\AUDIT%20SCHEDULE%202006-07\AUDIT%20SCHEDULES%202005-06\CHARAN\REVISED%20MIS%20REPOR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3513\Documents\Financial%20Models\v2_IBS_Software_Services_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Bsipani\HNG\Bank\JLM\2016\Extraordinary%20Items%20Wrk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AppData\Local\Microsoft\Windows\Temporary%20Internet%20Files\Content.Outlook\X7L9QFWG\HNG%20Model_26%2001%2015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-c\FAC_MERC\FAC_2008-09\July08\Energy_2008_07(AT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pin%20Dagar\Enterprise%20Valuation\Ratan%20India\RKA%20Model%20and%20Report\RIPL%20Fin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itra\Kharkia%20-%20restructuring\model\ref%20models\AFL_CDR_150313v0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gilserver\f\Tax%20Audit%202005-06%2031.10.2006\rishra\rishra%20tax%20audit%2005-06%2031.10.20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ind-pc\Milind\June%202002\Mar%202002\Mar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480671\AppData\Local\Microsoft\Windows\Temporary%20Internet%20Files\Content.Outlook\CLJH4BIG\Master_Sheet_23-May-2012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eer\temp-bhavesh\My%20Documents\TELCO-RECO\CHAKAN\RECO-IMPLE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nk%20sharma\Desktop\RKA%20Home%20Work\Home%20Work\Enterprise%20Valuation\MUM-183%20CGPCPL\RKA%20Model%20&amp;%20Report\Financial%20Model%20CGPCPL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OL- 3000"/>
      <sheetName val="INTEREST AND FINANCE CHARGES"/>
      <sheetName val="Legal &amp; Professional  11"/>
      <sheetName val="QA EXP 71600"/>
      <sheetName val="QS EXPENSES"/>
      <sheetName val="DIWALI EXP"/>
      <sheetName val="Books &amp; Periodicals"/>
      <sheetName val="MISC EXP"/>
      <sheetName val="FRT DOMESTIC SALE"/>
      <sheetName val="PACKING MATERIAL"/>
      <sheetName val="LOSS-SALES-OF-ASSETS"/>
      <sheetName val="Administrative service charge"/>
      <sheetName val="Insurance "/>
      <sheetName val="ED Paid Others"/>
      <sheetName val="Rate &amp; Taxes   Sch 11 "/>
      <sheetName val="PROFESSIONAL TAX"/>
      <sheetName val="TESTING FEES"/>
      <sheetName val="COMMUNICATION EXP."/>
      <sheetName val="REPAIR &amp; MAINTENANCE "/>
      <sheetName val="Travelling"/>
      <sheetName val="Medical Expenses"/>
      <sheetName val="Staff &amp; worker welfare"/>
      <sheetName val="Staff Vehilcle Exp"/>
      <sheetName val="GRATUITY"/>
      <sheetName val="EX-GRATIA"/>
      <sheetName val="BONUS"/>
      <sheetName val="Incentive to mgr staff"/>
      <sheetName val="LTA "/>
      <sheetName val="LEAVE ENCASH"/>
      <sheetName val="REP&amp;MNT BUILD"/>
      <sheetName val="REP&amp;MNT ELEC"/>
      <sheetName val="REP&amp;MNT  OTHERS"/>
      <sheetName val="REP&amp;MNT COMPUTER"/>
      <sheetName val="REP&amp;MNT FURNITURE"/>
      <sheetName val="REP&amp;MNT OFFICE EQIPT "/>
      <sheetName val="Electricity  Sch  Finalyr03-04"/>
      <sheetName val="DIESEL CONSUMED"/>
      <sheetName val="82410"/>
      <sheetName val="82420"/>
      <sheetName val="82430"/>
      <sheetName val="82440"/>
      <sheetName val="82460"/>
      <sheetName val="82480"/>
      <sheetName val="825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FORM-16"/>
      <sheetName val="Reset-Module"/>
      <sheetName val="Hide-Module"/>
      <sheetName val="ruSure-Module"/>
      <sheetName val="Print Module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LASH"/>
      <sheetName val="oresreqsum"/>
      <sheetName val="TB"/>
      <sheetName val="factors"/>
      <sheetName val="PARTY"/>
      <sheetName val="prg"/>
      <sheetName val="prod"/>
      <sheetName val="COA_20040726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>
        <row r="4">
          <cell r="A4">
            <v>8</v>
          </cell>
        </row>
        <row r="5">
          <cell r="A5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8">
          <cell r="D58">
            <v>4.24E-2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1">
          <cell r="B171">
            <v>10000000</v>
          </cell>
        </row>
        <row r="172">
          <cell r="B172">
            <v>1000000</v>
          </cell>
        </row>
        <row r="173">
          <cell r="B173">
            <v>24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FORM-16"/>
      <sheetName val="NOVAGE"/>
      <sheetName val="Data"/>
      <sheetName val="29May ICP meet, v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Peer Ratios &amp; Graphs"/>
      <sheetName val="EVA Calculations"/>
      <sheetName val="Headcount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 refreshError="1"/>
      <sheetData sheetId="1" refreshError="1"/>
      <sheetData sheetId="2" refreshError="1"/>
      <sheetData sheetId="3" refreshError="1">
        <row r="20">
          <cell r="X20" t="str">
            <v>FERMENTATION LOSS</v>
          </cell>
        </row>
        <row r="21"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</row>
        <row r="22"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</row>
        <row r="23"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</row>
        <row r="24">
          <cell r="X24" t="str">
            <v>MONACO</v>
          </cell>
          <cell r="AB24" t="e">
            <v>#DIV/0!</v>
          </cell>
          <cell r="AF24" t="e">
            <v>#DIV/0!</v>
          </cell>
        </row>
        <row r="27">
          <cell r="AF27" t="str">
            <v xml:space="preserve"> 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</row>
        <row r="30">
          <cell r="AF30" t="str">
            <v xml:space="preserve"> 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</row>
        <row r="38">
          <cell r="AF38" t="str">
            <v>-</v>
          </cell>
        </row>
        <row r="39">
          <cell r="AD39" t="str">
            <v>TOTAL-&gt;</v>
          </cell>
          <cell r="AF39" t="e">
            <v>#DIV/0!</v>
          </cell>
        </row>
        <row r="41">
          <cell r="AF41" t="str">
            <v>=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TB9899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Main workings"/>
      <sheetName val="assumptions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Reports"/>
      <sheetName val="Grouped TB-2004-05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_Consol"/>
      <sheetName val="IS-Consol"/>
      <sheetName val="BS-Consol"/>
      <sheetName val="CF-Consol"/>
      <sheetName val="Debt Schedule-Consol"/>
      <sheetName val="Fixed Assets-Consol"/>
      <sheetName val="Charts"/>
    </sheetNames>
    <sheetDataSet>
      <sheetData sheetId="0">
        <row r="20">
          <cell r="D20">
            <v>67</v>
          </cell>
        </row>
        <row r="22">
          <cell r="D22">
            <v>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ANNX -II"/>
      <sheetName val="Sheet1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Input"/>
      <sheetName val="Regrouping"/>
      <sheetName val="Sheet5"/>
      <sheetName val="TB Grouped"/>
      <sheetName val="Sheet6"/>
      <sheetName val="Grouping Control"/>
      <sheetName val="Balance Sheet"/>
      <sheetName val="P &amp; L"/>
      <sheetName val="Notes"/>
      <sheetName val="Acc P"/>
      <sheetName val="Sheet2"/>
      <sheetName val="Sheet3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>
        <row r="832">
          <cell r="C832" t="str">
            <v>CASH CREDIT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>
        <row r="832">
          <cell r="C832" t="str">
            <v>Internal Consumption-FG Country Liquor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Extraordinary Items Wrkg"/>
    </sheetNames>
    <definedNames>
      <definedName name="BefAft"/>
    </defined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CBDGT979"/>
      <sheetName val="TGT"/>
      <sheetName val="factors"/>
      <sheetName val="COA_20040726"/>
      <sheetName val="PARTY"/>
      <sheetName val="prg"/>
      <sheetName val="prod"/>
      <sheetName val="oresreqsum"/>
      <sheetName val="TB"/>
      <sheetName val="FORM-16"/>
      <sheetName val="Total Machine Cost"/>
      <sheetName val="FL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Equity"/>
      <sheetName val="Stock"/>
      <sheetName val="CMA "/>
      <sheetName val="Op-Smt"/>
      <sheetName val="Ast-Smt"/>
      <sheetName val="Lib-Smt"/>
      <sheetName val="Fin-Ind."/>
      <sheetName val="WCC"/>
      <sheetName val="ABF"/>
      <sheetName val="F-FL."/>
      <sheetName val="Base Assumption"/>
      <sheetName val="CDR Ratios"/>
      <sheetName val="Final Accounts- reworked"/>
      <sheetName val="Loans-original (2)"/>
      <sheetName val="Loan Statement"/>
      <sheetName val="sacrifice SBI"/>
      <sheetName val="Final Accounts- original"/>
      <sheetName val="Loans-original"/>
      <sheetName val="Profitability Total"/>
      <sheetName val="Financials"/>
      <sheetName val="BS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- reworked"/>
      <sheetName val="Reserves- original"/>
      <sheetName val="Working Capital"/>
      <sheetName val="Wcap Norms "/>
      <sheetName val="Computation"/>
      <sheetName val="BIFR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Assu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5">
          <cell r="G35">
            <v>1.1854849555968132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5">
          <cell r="R105">
            <v>28.599233333333331</v>
          </cell>
        </row>
      </sheetData>
      <sheetData sheetId="21">
        <row r="68">
          <cell r="Q68">
            <v>0.104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4">
          <cell r="I14">
            <v>87.682800000000015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ULL CYCLE DATA"/>
      <sheetName val="T &amp; D LOSS"/>
    </sheetNames>
    <sheetDataSet>
      <sheetData sheetId="0"/>
      <sheetData sheetId="1"/>
      <sheetData sheetId="2" refreshError="1">
        <row r="39">
          <cell r="A39">
            <v>38443</v>
          </cell>
          <cell r="B39">
            <v>374.46</v>
          </cell>
          <cell r="C39">
            <v>27.9</v>
          </cell>
          <cell r="D39">
            <v>346.56</v>
          </cell>
          <cell r="E39">
            <v>61.607999999999997</v>
          </cell>
          <cell r="F39">
            <v>0</v>
          </cell>
          <cell r="G39">
            <v>61.607999999999997</v>
          </cell>
          <cell r="H39">
            <v>408.16800000000001</v>
          </cell>
          <cell r="I39">
            <v>401.464</v>
          </cell>
          <cell r="J39">
            <v>399.55160000000001</v>
          </cell>
          <cell r="K39">
            <v>6.7040000000000077</v>
          </cell>
          <cell r="L39">
            <v>1.912399999999991</v>
          </cell>
        </row>
        <row r="40">
          <cell r="A40">
            <v>38473</v>
          </cell>
          <cell r="B40">
            <v>389.15</v>
          </cell>
          <cell r="C40">
            <v>29.36</v>
          </cell>
          <cell r="D40">
            <v>359.78999999999996</v>
          </cell>
          <cell r="E40">
            <v>67.951999999999998</v>
          </cell>
          <cell r="F40">
            <v>0</v>
          </cell>
          <cell r="G40">
            <v>67.951999999999998</v>
          </cell>
          <cell r="H40">
            <v>427.74199999999996</v>
          </cell>
          <cell r="I40">
            <v>420.50380000000001</v>
          </cell>
          <cell r="J40">
            <v>418.60559999999998</v>
          </cell>
          <cell r="K40">
            <v>7.2381999999999493</v>
          </cell>
          <cell r="L40">
            <v>1.8982000000000312</v>
          </cell>
        </row>
        <row r="41">
          <cell r="A41">
            <v>38504</v>
          </cell>
          <cell r="B41">
            <v>359.67</v>
          </cell>
          <cell r="C41">
            <v>27.8</v>
          </cell>
          <cell r="D41">
            <v>331.87</v>
          </cell>
          <cell r="E41">
            <v>84.176000000000002</v>
          </cell>
          <cell r="F41">
            <v>1.2E-2</v>
          </cell>
          <cell r="G41">
            <v>84.164000000000001</v>
          </cell>
          <cell r="H41">
            <v>416.03399999999999</v>
          </cell>
          <cell r="I41">
            <v>408.98320000000001</v>
          </cell>
          <cell r="J41">
            <v>407.37920000000003</v>
          </cell>
          <cell r="K41">
            <v>7.0507999999999811</v>
          </cell>
          <cell r="L41">
            <v>1.603999999999985</v>
          </cell>
          <cell r="M41">
            <v>78.128699999999995</v>
          </cell>
          <cell r="N41">
            <v>9.9675999999999991</v>
          </cell>
          <cell r="O41">
            <v>15.952400000000001</v>
          </cell>
          <cell r="P41">
            <v>84.113499999999988</v>
          </cell>
        </row>
        <row r="42">
          <cell r="A42">
            <v>38534</v>
          </cell>
          <cell r="B42">
            <v>379.39699999999999</v>
          </cell>
          <cell r="C42">
            <v>29.018000000000001</v>
          </cell>
          <cell r="D42">
            <v>350.37900000000002</v>
          </cell>
          <cell r="E42">
            <v>59.363999999999997</v>
          </cell>
          <cell r="F42">
            <v>1.1639999999999999</v>
          </cell>
          <cell r="G42">
            <v>58.199999999999996</v>
          </cell>
          <cell r="H42">
            <v>408.57900000000001</v>
          </cell>
          <cell r="I42">
            <v>401.55029999999999</v>
          </cell>
          <cell r="J42">
            <v>400.00695999999988</v>
          </cell>
          <cell r="K42">
            <v>7.0287000000000148</v>
          </cell>
          <cell r="L42">
            <v>1.5433400000001143</v>
          </cell>
          <cell r="M42">
            <v>66.109899999999996</v>
          </cell>
          <cell r="N42">
            <v>13.5349</v>
          </cell>
          <cell r="O42">
            <v>5.8192000000000004</v>
          </cell>
          <cell r="P42">
            <v>58.394199999999991</v>
          </cell>
        </row>
        <row r="43">
          <cell r="A43">
            <v>38565</v>
          </cell>
          <cell r="B43">
            <v>345.73600000000005</v>
          </cell>
          <cell r="C43">
            <v>26.836999999999996</v>
          </cell>
          <cell r="D43">
            <v>318.89900000000006</v>
          </cell>
          <cell r="E43">
            <v>81.316000000000003</v>
          </cell>
          <cell r="F43">
            <v>0</v>
          </cell>
          <cell r="G43">
            <v>81.316000000000003</v>
          </cell>
          <cell r="H43">
            <v>400.21500000000003</v>
          </cell>
          <cell r="I43">
            <v>394.02120000000002</v>
          </cell>
          <cell r="J43">
            <v>392.41752000000002</v>
          </cell>
          <cell r="K43">
            <v>6.1938000000000102</v>
          </cell>
          <cell r="L43">
            <v>1.6036799999999971</v>
          </cell>
          <cell r="M43">
            <v>75.626299999999929</v>
          </cell>
          <cell r="N43">
            <v>14.005600000000001</v>
          </cell>
          <cell r="O43">
            <v>19.591200000000001</v>
          </cell>
          <cell r="P43">
            <v>81.211899999999929</v>
          </cell>
        </row>
        <row r="44">
          <cell r="A44">
            <v>38596</v>
          </cell>
          <cell r="B44">
            <v>216.113</v>
          </cell>
          <cell r="C44">
            <v>17.975000000000001</v>
          </cell>
          <cell r="D44">
            <v>198.13800000000001</v>
          </cell>
          <cell r="E44">
            <v>170.15600000000001</v>
          </cell>
          <cell r="F44">
            <v>8.0000000000000002E-3</v>
          </cell>
          <cell r="G44">
            <v>170.148</v>
          </cell>
          <cell r="H44">
            <v>368.286</v>
          </cell>
          <cell r="I44">
            <v>364.40730000000002</v>
          </cell>
          <cell r="J44">
            <v>363.28356000000014</v>
          </cell>
          <cell r="K44">
            <v>3.8786999999999807</v>
          </cell>
          <cell r="L44">
            <v>1.1237399999998843</v>
          </cell>
          <cell r="M44">
            <v>106.2103</v>
          </cell>
          <cell r="N44">
            <v>1.4317</v>
          </cell>
          <cell r="O44">
            <v>65.096999999999994</v>
          </cell>
          <cell r="P44">
            <v>169.87559999999999</v>
          </cell>
        </row>
        <row r="45">
          <cell r="A45">
            <v>38626</v>
          </cell>
          <cell r="B45">
            <v>379.43</v>
          </cell>
          <cell r="C45">
            <v>28.877000000000002</v>
          </cell>
          <cell r="D45">
            <v>350.553</v>
          </cell>
          <cell r="E45">
            <v>86.456000000000003</v>
          </cell>
          <cell r="F45">
            <v>0</v>
          </cell>
          <cell r="G45">
            <v>86.455999999999676</v>
          </cell>
          <cell r="H45">
            <v>437.00899999999967</v>
          </cell>
          <cell r="I45">
            <v>430.185</v>
          </cell>
          <cell r="J45">
            <v>428.60253999999998</v>
          </cell>
          <cell r="K45">
            <v>6.8239999999996712</v>
          </cell>
          <cell r="L45">
            <v>1.582460000000026</v>
          </cell>
          <cell r="M45">
            <v>82.191399999999902</v>
          </cell>
          <cell r="N45">
            <v>11.2165</v>
          </cell>
          <cell r="O45">
            <v>15.533299999999999</v>
          </cell>
          <cell r="P45">
            <v>86.508199999999903</v>
          </cell>
        </row>
        <row r="46">
          <cell r="A46">
            <v>38657</v>
          </cell>
          <cell r="B46">
            <v>375.29</v>
          </cell>
          <cell r="C46">
            <v>27.884000000000004</v>
          </cell>
          <cell r="D46">
            <v>347.40600000000001</v>
          </cell>
          <cell r="E46">
            <v>48.607999999999997</v>
          </cell>
          <cell r="F46">
            <v>0</v>
          </cell>
          <cell r="G46">
            <v>48.607999999999997</v>
          </cell>
          <cell r="H46">
            <v>396.01400000000001</v>
          </cell>
          <cell r="I46">
            <v>389.274</v>
          </cell>
          <cell r="J46">
            <v>387.928</v>
          </cell>
          <cell r="K46">
            <v>6.7400000000000091</v>
          </cell>
          <cell r="L46">
            <v>1.3460000000000036</v>
          </cell>
          <cell r="M46">
            <v>61.743200000000186</v>
          </cell>
          <cell r="N46">
            <v>16.219000000000001</v>
          </cell>
          <cell r="O46">
            <v>3.2537999999999885</v>
          </cell>
          <cell r="P46">
            <v>48.778000000000169</v>
          </cell>
        </row>
        <row r="47">
          <cell r="A47">
            <v>38687</v>
          </cell>
          <cell r="B47">
            <v>387.089</v>
          </cell>
          <cell r="C47">
            <v>28.539000000000001</v>
          </cell>
          <cell r="D47">
            <v>358.55</v>
          </cell>
          <cell r="E47">
            <v>44.328000000000003</v>
          </cell>
          <cell r="F47">
            <v>1.2E-2</v>
          </cell>
          <cell r="G47">
            <v>44.316000000000003</v>
          </cell>
          <cell r="H47">
            <v>402.86599999999999</v>
          </cell>
          <cell r="I47">
            <v>395.92450000000002</v>
          </cell>
          <cell r="J47">
            <v>395.03731999999974</v>
          </cell>
          <cell r="K47">
            <v>6.9414999999999623</v>
          </cell>
          <cell r="L47">
            <v>0.88718000000028496</v>
          </cell>
          <cell r="M47">
            <v>62.059299999999816</v>
          </cell>
          <cell r="N47">
            <v>19.999399999999966</v>
          </cell>
          <cell r="O47">
            <v>2.4489999999999998</v>
          </cell>
          <cell r="P47">
            <v>44.508899999999855</v>
          </cell>
        </row>
        <row r="48">
          <cell r="A48">
            <v>38718</v>
          </cell>
          <cell r="B48">
            <v>389.08400000000006</v>
          </cell>
          <cell r="C48">
            <v>28.887999999999998</v>
          </cell>
          <cell r="D48">
            <v>360.19600000000008</v>
          </cell>
          <cell r="E48">
            <v>38.311999999999898</v>
          </cell>
          <cell r="F48">
            <v>4.0000000000000001E-3</v>
          </cell>
          <cell r="G48">
            <v>38.3079999999999</v>
          </cell>
          <cell r="H48">
            <v>398.50399999999996</v>
          </cell>
          <cell r="I48">
            <v>390.09859999999998</v>
          </cell>
          <cell r="J48">
            <v>389.00076000000013</v>
          </cell>
          <cell r="K48">
            <v>8.405399999999986</v>
          </cell>
          <cell r="L48">
            <v>1.0978399999998487</v>
          </cell>
          <cell r="M48">
            <v>57.983100000000093</v>
          </cell>
          <cell r="N48">
            <v>20.646900000000024</v>
          </cell>
          <cell r="O48">
            <v>1.2098999999999942</v>
          </cell>
          <cell r="P48">
            <v>38.546100000000067</v>
          </cell>
        </row>
        <row r="49">
          <cell r="A49">
            <v>38749</v>
          </cell>
          <cell r="B49">
            <v>351.46100000000001</v>
          </cell>
          <cell r="C49">
            <v>25.877999999999997</v>
          </cell>
          <cell r="D49">
            <v>325.58300000000003</v>
          </cell>
          <cell r="E49">
            <v>55.02</v>
          </cell>
          <cell r="F49">
            <v>0</v>
          </cell>
          <cell r="G49">
            <v>55.02</v>
          </cell>
          <cell r="H49">
            <v>380.60300000000001</v>
          </cell>
          <cell r="I49">
            <v>373.97399999999999</v>
          </cell>
          <cell r="J49">
            <v>372.85475999999983</v>
          </cell>
          <cell r="K49">
            <v>6.6290000000000191</v>
          </cell>
          <cell r="L49">
            <v>1.1192400000001612</v>
          </cell>
          <cell r="M49">
            <v>56.093599999999995</v>
          </cell>
          <cell r="N49">
            <v>10.863200000000012</v>
          </cell>
          <cell r="O49">
            <v>9.7714999999999996</v>
          </cell>
          <cell r="P49">
            <v>55.001899999999985</v>
          </cell>
        </row>
        <row r="50">
          <cell r="A50">
            <v>38777</v>
          </cell>
          <cell r="B50">
            <v>375.76800000000003</v>
          </cell>
          <cell r="C50">
            <v>28.504000000000005</v>
          </cell>
          <cell r="D50">
            <v>347.26400000000001</v>
          </cell>
          <cell r="E50">
            <v>75.847999999999999</v>
          </cell>
          <cell r="F50">
            <v>4.0000000000000001E-3</v>
          </cell>
          <cell r="G50">
            <v>75.843999999999994</v>
          </cell>
          <cell r="H50">
            <v>423.108</v>
          </cell>
          <cell r="I50">
            <v>415.83699999999999</v>
          </cell>
          <cell r="J50">
            <v>415.25135999999998</v>
          </cell>
          <cell r="K50">
            <v>7.271000000000015</v>
          </cell>
          <cell r="L50">
            <v>0.58564000000001215</v>
          </cell>
          <cell r="M50">
            <v>75.290599999999998</v>
          </cell>
          <cell r="N50">
            <v>0</v>
          </cell>
          <cell r="P50">
            <v>75.290599999999998</v>
          </cell>
        </row>
        <row r="51">
          <cell r="A51">
            <v>38808</v>
          </cell>
          <cell r="B51">
            <v>376.76600000000008</v>
          </cell>
          <cell r="C51">
            <v>28.813000000000002</v>
          </cell>
          <cell r="D51">
            <v>347.95299999999997</v>
          </cell>
          <cell r="E51">
            <v>82.28</v>
          </cell>
          <cell r="F51">
            <v>0</v>
          </cell>
          <cell r="G51">
            <v>82.28</v>
          </cell>
          <cell r="H51">
            <v>430.23299999999995</v>
          </cell>
          <cell r="I51">
            <v>423.63110000000012</v>
          </cell>
          <cell r="J51">
            <v>421.86084000000034</v>
          </cell>
          <cell r="K51">
            <v>6.60189999999983</v>
          </cell>
          <cell r="L51">
            <v>1.7702599999997801</v>
          </cell>
          <cell r="M51">
            <v>81.824699999999993</v>
          </cell>
          <cell r="N51">
            <v>0</v>
          </cell>
          <cell r="P51">
            <v>81.824699999999993</v>
          </cell>
        </row>
        <row r="52">
          <cell r="A52">
            <v>38838</v>
          </cell>
          <cell r="B52">
            <v>385.42099999999994</v>
          </cell>
          <cell r="C52">
            <v>30.177999999999997</v>
          </cell>
          <cell r="D52">
            <v>355.24700000000007</v>
          </cell>
          <cell r="E52">
            <v>98.087999999999994</v>
          </cell>
          <cell r="F52">
            <v>0</v>
          </cell>
          <cell r="G52">
            <v>98.087999999999994</v>
          </cell>
          <cell r="H52">
            <v>453.33500000000004</v>
          </cell>
          <cell r="I52">
            <v>446.31579999999985</v>
          </cell>
          <cell r="J52">
            <v>444.45719999999966</v>
          </cell>
          <cell r="K52">
            <v>7.0192000000001826</v>
          </cell>
          <cell r="L52">
            <v>1.8586000000001945</v>
          </cell>
          <cell r="M52">
            <v>97.542699999999996</v>
          </cell>
          <cell r="N52">
            <v>0</v>
          </cell>
          <cell r="P52">
            <v>97.542699999999996</v>
          </cell>
        </row>
        <row r="53">
          <cell r="A53">
            <v>38869</v>
          </cell>
          <cell r="B53">
            <v>376.69499999999999</v>
          </cell>
          <cell r="C53">
            <v>29.074999999999999</v>
          </cell>
          <cell r="D53">
            <v>347.62</v>
          </cell>
          <cell r="E53">
            <v>108.252</v>
          </cell>
          <cell r="F53">
            <v>0</v>
          </cell>
          <cell r="G53">
            <v>108.252</v>
          </cell>
          <cell r="H53">
            <v>455.87200000000001</v>
          </cell>
          <cell r="I53">
            <v>449.22560000000016</v>
          </cell>
          <cell r="J53">
            <v>447.11520000000013</v>
          </cell>
          <cell r="K53">
            <v>6.6463999999998578</v>
          </cell>
          <cell r="L53">
            <v>2.1104000000000269</v>
          </cell>
          <cell r="M53">
            <v>107.6636</v>
          </cell>
          <cell r="N53">
            <v>0</v>
          </cell>
          <cell r="P53">
            <v>107.6636</v>
          </cell>
        </row>
        <row r="54">
          <cell r="A54">
            <v>38899</v>
          </cell>
          <cell r="B54">
            <v>391.76299999999992</v>
          </cell>
          <cell r="C54">
            <v>30.16</v>
          </cell>
          <cell r="D54">
            <v>361.60299999999995</v>
          </cell>
          <cell r="E54">
            <v>81.180000000000007</v>
          </cell>
          <cell r="F54">
            <v>4.0000000000000001E-3</v>
          </cell>
          <cell r="G54">
            <v>81.176000000000002</v>
          </cell>
          <cell r="H54">
            <v>442.77899999999994</v>
          </cell>
          <cell r="I54">
            <v>435.27070000000003</v>
          </cell>
          <cell r="J54">
            <v>433.86935999999997</v>
          </cell>
          <cell r="K54">
            <v>7.508299999999906</v>
          </cell>
          <cell r="L54">
            <v>1.4013400000000615</v>
          </cell>
          <cell r="M54">
            <v>80.655799999999999</v>
          </cell>
          <cell r="N54">
            <v>0</v>
          </cell>
          <cell r="P54">
            <v>80.655799999999999</v>
          </cell>
        </row>
        <row r="55">
          <cell r="A55">
            <v>38930</v>
          </cell>
          <cell r="B55">
            <v>270.31200000000001</v>
          </cell>
          <cell r="C55">
            <v>22.02</v>
          </cell>
          <cell r="D55">
            <v>248.33400000000003</v>
          </cell>
          <cell r="E55">
            <v>152.83199999999988</v>
          </cell>
          <cell r="F55">
            <v>4.0000000000000001E-3</v>
          </cell>
          <cell r="G55">
            <v>152.82799999999989</v>
          </cell>
          <cell r="H55">
            <v>401.16199999999992</v>
          </cell>
          <cell r="I55">
            <v>396.43229999999977</v>
          </cell>
          <cell r="J55">
            <v>394.88712000000015</v>
          </cell>
          <cell r="K55">
            <v>4.7297000000001503</v>
          </cell>
          <cell r="L55">
            <v>1.5451799999996183</v>
          </cell>
          <cell r="M55">
            <v>151.47639999999996</v>
          </cell>
          <cell r="N55">
            <v>0</v>
          </cell>
          <cell r="P55">
            <v>151.47639999999996</v>
          </cell>
        </row>
        <row r="56">
          <cell r="A56">
            <v>38961</v>
          </cell>
          <cell r="B56">
            <v>376.35099999999994</v>
          </cell>
          <cell r="C56">
            <v>28.451000000000004</v>
          </cell>
          <cell r="D56">
            <v>347.9</v>
          </cell>
          <cell r="E56">
            <v>93.6</v>
          </cell>
          <cell r="F56">
            <v>8.0000000000000002E-3</v>
          </cell>
          <cell r="G56">
            <v>93.591999999999999</v>
          </cell>
          <cell r="H56">
            <v>441.49199999999996</v>
          </cell>
          <cell r="I56">
            <v>434.97650000000027</v>
          </cell>
          <cell r="J56">
            <v>433.98719999999997</v>
          </cell>
          <cell r="K56">
            <v>6.5154999999996903</v>
          </cell>
          <cell r="L56">
            <v>0.9893000000002985</v>
          </cell>
          <cell r="M56">
            <v>92.838600000000028</v>
          </cell>
          <cell r="N56">
            <v>0</v>
          </cell>
          <cell r="P56">
            <v>92.838600000000028</v>
          </cell>
        </row>
        <row r="57">
          <cell r="A57">
            <v>38991</v>
          </cell>
          <cell r="B57">
            <v>368.625</v>
          </cell>
          <cell r="C57">
            <v>28.391000000000002</v>
          </cell>
          <cell r="D57">
            <v>340.23400000000009</v>
          </cell>
          <cell r="E57">
            <v>117.8</v>
          </cell>
          <cell r="F57">
            <v>0</v>
          </cell>
          <cell r="G57">
            <v>117.8</v>
          </cell>
          <cell r="H57">
            <v>458.03400000000011</v>
          </cell>
          <cell r="I57">
            <v>451.69789999999995</v>
          </cell>
          <cell r="J57">
            <v>449.63479999999959</v>
          </cell>
          <cell r="K57">
            <v>6.3361000000001582</v>
          </cell>
          <cell r="L57">
            <v>2.063100000000361</v>
          </cell>
          <cell r="M57">
            <v>116.98479999999999</v>
          </cell>
          <cell r="N57">
            <v>0</v>
          </cell>
          <cell r="P57">
            <v>116.98479999999999</v>
          </cell>
        </row>
        <row r="58">
          <cell r="A58">
            <v>39022</v>
          </cell>
          <cell r="B58">
            <v>379.26400000000007</v>
          </cell>
          <cell r="C58">
            <v>28.328999999999997</v>
          </cell>
          <cell r="D58">
            <v>350.935</v>
          </cell>
          <cell r="E58">
            <v>88.255999999999858</v>
          </cell>
          <cell r="F58">
            <v>0</v>
          </cell>
          <cell r="G58">
            <v>88.255999999999858</v>
          </cell>
          <cell r="H58">
            <v>439.19099999999986</v>
          </cell>
          <cell r="I58">
            <v>432.5646000000001</v>
          </cell>
          <cell r="J58">
            <v>431.04940000000033</v>
          </cell>
          <cell r="K58">
            <v>6.6263999999997623</v>
          </cell>
          <cell r="L58">
            <v>1.5151999999997656</v>
          </cell>
          <cell r="M58">
            <v>87.796600000000041</v>
          </cell>
          <cell r="N58">
            <v>0</v>
          </cell>
          <cell r="P58">
            <v>87.796600000000041</v>
          </cell>
        </row>
        <row r="59">
          <cell r="A59">
            <v>39052</v>
          </cell>
          <cell r="B59">
            <v>394.42900000000009</v>
          </cell>
          <cell r="C59">
            <v>29.519000000000002</v>
          </cell>
          <cell r="D59">
            <v>364.91</v>
          </cell>
          <cell r="E59">
            <v>76.612000000000094</v>
          </cell>
          <cell r="F59">
            <v>0</v>
          </cell>
          <cell r="G59">
            <v>76.612000000000094</v>
          </cell>
          <cell r="H59">
            <v>441.52200000000011</v>
          </cell>
          <cell r="I59">
            <v>434.87939999999975</v>
          </cell>
          <cell r="J59">
            <v>433.10127999999975</v>
          </cell>
          <cell r="K59">
            <v>6.6426000000003569</v>
          </cell>
          <cell r="L59">
            <v>1.7781200000000013</v>
          </cell>
          <cell r="M59">
            <v>76.228999999999999</v>
          </cell>
          <cell r="N59">
            <v>0</v>
          </cell>
          <cell r="P59">
            <v>76.228999999999999</v>
          </cell>
        </row>
        <row r="60">
          <cell r="A60">
            <v>39083</v>
          </cell>
          <cell r="B60">
            <v>394.08499999999998</v>
          </cell>
          <cell r="C60">
            <v>29.256999999999998</v>
          </cell>
          <cell r="D60">
            <v>364.83</v>
          </cell>
          <cell r="E60">
            <v>60.407999999999895</v>
          </cell>
          <cell r="F60">
            <v>0</v>
          </cell>
          <cell r="G60">
            <v>60.407999999999895</v>
          </cell>
          <cell r="H60">
            <v>425.23799999999989</v>
          </cell>
          <cell r="I60">
            <v>418.77310000000017</v>
          </cell>
          <cell r="J60">
            <v>417.08408000000014</v>
          </cell>
          <cell r="K60">
            <v>6.4648999999997159</v>
          </cell>
          <cell r="L60">
            <v>1.6890200000000277</v>
          </cell>
          <cell r="M60">
            <v>60.12540000000002</v>
          </cell>
          <cell r="N60">
            <v>0</v>
          </cell>
          <cell r="P60">
            <v>60.12540000000002</v>
          </cell>
        </row>
        <row r="61">
          <cell r="A61">
            <v>39114</v>
          </cell>
          <cell r="B61">
            <v>352.50199999999995</v>
          </cell>
          <cell r="C61">
            <v>26.604000000000006</v>
          </cell>
          <cell r="D61">
            <v>325.89799999999997</v>
          </cell>
          <cell r="E61">
            <v>70.260000000000218</v>
          </cell>
          <cell r="F61">
            <v>8.0000000000000002E-3</v>
          </cell>
          <cell r="G61">
            <v>70.252000000000223</v>
          </cell>
          <cell r="H61">
            <v>396.1500000000002</v>
          </cell>
          <cell r="I61">
            <v>390.08840000000004</v>
          </cell>
          <cell r="J61">
            <v>388.50324000000012</v>
          </cell>
          <cell r="K61">
            <v>6.0616000000001691</v>
          </cell>
          <cell r="L61">
            <v>1.5851599999999166</v>
          </cell>
          <cell r="M61">
            <v>69.905299999999983</v>
          </cell>
          <cell r="N61">
            <v>5.4000000000000003E-3</v>
          </cell>
          <cell r="P61">
            <v>69.899899999999988</v>
          </cell>
        </row>
        <row r="62">
          <cell r="A62">
            <v>39142</v>
          </cell>
          <cell r="B62">
            <v>392.20100000000002</v>
          </cell>
          <cell r="C62">
            <v>29.941000000000031</v>
          </cell>
          <cell r="D62">
            <v>362.26</v>
          </cell>
          <cell r="E62">
            <v>110.34799999999996</v>
          </cell>
          <cell r="F62">
            <v>0</v>
          </cell>
          <cell r="G62">
            <v>110.34799999999996</v>
          </cell>
          <cell r="H62">
            <v>472.60799999999995</v>
          </cell>
          <cell r="I62">
            <v>465.65699999999958</v>
          </cell>
          <cell r="J62">
            <v>463.69356699999975</v>
          </cell>
          <cell r="K62">
            <v>6.9510000000003629</v>
          </cell>
          <cell r="L62">
            <v>1.9634329999998386</v>
          </cell>
          <cell r="M62">
            <v>109.70759999999997</v>
          </cell>
          <cell r="N62">
            <v>1.2000000000000001E-3</v>
          </cell>
          <cell r="P62">
            <v>109.70639999999997</v>
          </cell>
        </row>
        <row r="63">
          <cell r="A63">
            <v>39173</v>
          </cell>
          <cell r="B63">
            <v>377.49200000000002</v>
          </cell>
          <cell r="C63">
            <v>29.016999999999999</v>
          </cell>
          <cell r="D63">
            <v>348.47500000000002</v>
          </cell>
          <cell r="E63">
            <v>136.44399999999951</v>
          </cell>
          <cell r="F63">
            <v>0</v>
          </cell>
          <cell r="G63">
            <v>136.44399999999951</v>
          </cell>
          <cell r="H63">
            <v>484.91899999999953</v>
          </cell>
          <cell r="I63">
            <v>478.08519999999959</v>
          </cell>
          <cell r="J63">
            <v>476.07709680000033</v>
          </cell>
          <cell r="K63">
            <v>6.8337999999999397</v>
          </cell>
          <cell r="L63">
            <v>2.0081031999992547</v>
          </cell>
          <cell r="M63">
            <v>135.56459999999998</v>
          </cell>
          <cell r="N63">
            <v>0</v>
          </cell>
          <cell r="P63">
            <v>135.56459999999998</v>
          </cell>
        </row>
        <row r="64">
          <cell r="A64">
            <v>39203</v>
          </cell>
          <cell r="B64">
            <v>389.7170000000001</v>
          </cell>
          <cell r="C64">
            <v>30.419000000000004</v>
          </cell>
          <cell r="D64">
            <v>359.29800000000006</v>
          </cell>
          <cell r="E64">
            <v>149.49199999999999</v>
          </cell>
          <cell r="F64">
            <v>0</v>
          </cell>
          <cell r="G64">
            <v>149.49199999999999</v>
          </cell>
          <cell r="H64">
            <v>508.79000000000008</v>
          </cell>
          <cell r="I64">
            <v>501.19040000000012</v>
          </cell>
          <cell r="J64">
            <v>498.88007999999991</v>
          </cell>
          <cell r="K64">
            <v>7.5995999999999526</v>
          </cell>
          <cell r="L64">
            <v>2.3103200000002175</v>
          </cell>
          <cell r="M64">
            <v>148.52390000000003</v>
          </cell>
          <cell r="N64">
            <v>0</v>
          </cell>
          <cell r="P64">
            <v>148.52390000000003</v>
          </cell>
        </row>
        <row r="65">
          <cell r="A65">
            <v>39234</v>
          </cell>
          <cell r="B65">
            <v>376.36400000000003</v>
          </cell>
          <cell r="C65">
            <v>29.512999999999995</v>
          </cell>
          <cell r="D65">
            <v>346.851</v>
          </cell>
          <cell r="E65">
            <v>144.77599999999981</v>
          </cell>
          <cell r="F65">
            <v>4.4000000000000483E-2</v>
          </cell>
          <cell r="G65">
            <v>144.7319999999998</v>
          </cell>
          <cell r="H65">
            <v>491.5829999999998</v>
          </cell>
          <cell r="I65">
            <v>484.75780000000026</v>
          </cell>
          <cell r="J65">
            <v>482.51243999999974</v>
          </cell>
          <cell r="K65">
            <v>6.8251999999995405</v>
          </cell>
          <cell r="L65">
            <v>2.2453600000005167</v>
          </cell>
          <cell r="M65">
            <v>142.99370000000008</v>
          </cell>
          <cell r="N65">
            <v>4.5700000000000005E-2</v>
          </cell>
          <cell r="P65">
            <v>142.94800000000006</v>
          </cell>
        </row>
        <row r="66">
          <cell r="A66">
            <v>39264</v>
          </cell>
          <cell r="B66">
            <v>261.91300000000001</v>
          </cell>
          <cell r="C66">
            <v>22.001000000000001</v>
          </cell>
          <cell r="D66">
            <v>239.91200000000001</v>
          </cell>
          <cell r="E66">
            <v>194.58000000000084</v>
          </cell>
          <cell r="F66">
            <v>0</v>
          </cell>
          <cell r="G66">
            <v>194.58000000000084</v>
          </cell>
          <cell r="H66">
            <v>475.38300000000089</v>
          </cell>
          <cell r="I66">
            <v>470.5043</v>
          </cell>
          <cell r="J66">
            <v>468.5416800000001</v>
          </cell>
          <cell r="K66">
            <v>4.8787000000008902</v>
          </cell>
          <cell r="L66">
            <v>1.9626199999999017</v>
          </cell>
          <cell r="M66">
            <v>192.03649999999988</v>
          </cell>
          <cell r="N66">
            <v>0</v>
          </cell>
          <cell r="P66">
            <v>192.03649999999988</v>
          </cell>
          <cell r="U66">
            <v>40.890999999999998</v>
          </cell>
          <cell r="V66">
            <v>0</v>
          </cell>
          <cell r="W66">
            <v>45.398000000000003</v>
          </cell>
          <cell r="X66">
            <v>58.716999999999999</v>
          </cell>
          <cell r="Y66">
            <v>2.9999999999999997E-4</v>
          </cell>
          <cell r="Z66">
            <v>13.318699999999993</v>
          </cell>
        </row>
        <row r="67">
          <cell r="A67">
            <v>39295</v>
          </cell>
          <cell r="B67">
            <v>389.99599999999998</v>
          </cell>
          <cell r="C67">
            <v>29.959</v>
          </cell>
          <cell r="D67">
            <v>360.03699999999998</v>
          </cell>
          <cell r="E67">
            <v>108.264</v>
          </cell>
          <cell r="F67">
            <v>0</v>
          </cell>
          <cell r="G67">
            <v>108.264</v>
          </cell>
          <cell r="H67">
            <v>482.20099999999996</v>
          </cell>
          <cell r="I67">
            <v>474.81959999999998</v>
          </cell>
          <cell r="J67">
            <v>472.91880000000003</v>
          </cell>
          <cell r="K67">
            <v>7.3813999999999851</v>
          </cell>
          <cell r="L67">
            <v>1.900799999999947</v>
          </cell>
          <cell r="M67">
            <v>107.24250000000001</v>
          </cell>
          <cell r="N67">
            <v>0</v>
          </cell>
          <cell r="P67">
            <v>107.24250000000001</v>
          </cell>
          <cell r="Q67">
            <v>0</v>
          </cell>
          <cell r="R67">
            <v>59.04</v>
          </cell>
          <cell r="S67">
            <v>45.14</v>
          </cell>
          <cell r="T67">
            <v>0</v>
          </cell>
          <cell r="U67">
            <v>13.899999999999999</v>
          </cell>
          <cell r="V67">
            <v>0</v>
          </cell>
          <cell r="W67">
            <v>45.398000000000003</v>
          </cell>
          <cell r="X67">
            <v>58.716999999999999</v>
          </cell>
          <cell r="Y67">
            <v>2.9999999999999997E-4</v>
          </cell>
          <cell r="Z67">
            <v>13.318699999999993</v>
          </cell>
        </row>
        <row r="68">
          <cell r="A68">
            <v>39326</v>
          </cell>
          <cell r="B68">
            <v>380.34399999999999</v>
          </cell>
          <cell r="C68">
            <v>29.416999999999998</v>
          </cell>
          <cell r="D68">
            <v>350.92700000000008</v>
          </cell>
          <cell r="E68">
            <v>108.76</v>
          </cell>
          <cell r="F68">
            <v>0.02</v>
          </cell>
          <cell r="G68">
            <v>108.74000000000001</v>
          </cell>
          <cell r="H68">
            <v>448.55700000000007</v>
          </cell>
          <cell r="I68">
            <v>441.75419999999997</v>
          </cell>
          <cell r="J68">
            <v>440.01215999999954</v>
          </cell>
          <cell r="K68">
            <v>6.8028000000001043</v>
          </cell>
          <cell r="L68">
            <v>1.7420400000004292</v>
          </cell>
          <cell r="M68">
            <v>107.74</v>
          </cell>
          <cell r="N68">
            <v>0</v>
          </cell>
          <cell r="P68">
            <v>107.74</v>
          </cell>
          <cell r="Q68">
            <v>0</v>
          </cell>
          <cell r="R68">
            <v>66.680000000000007</v>
          </cell>
          <cell r="S68">
            <v>77.790000000000006</v>
          </cell>
          <cell r="T68">
            <v>0</v>
          </cell>
          <cell r="U68">
            <v>-11.11</v>
          </cell>
          <cell r="V68">
            <v>0</v>
          </cell>
          <cell r="W68">
            <v>78.036000000000001</v>
          </cell>
          <cell r="X68">
            <v>63.3872</v>
          </cell>
          <cell r="Y68">
            <v>0</v>
          </cell>
          <cell r="Z68">
            <v>-14.648800000000001</v>
          </cell>
        </row>
        <row r="69">
          <cell r="A69">
            <v>39356</v>
          </cell>
          <cell r="B69">
            <v>389.38699999999994</v>
          </cell>
          <cell r="C69">
            <v>32.567999999999998</v>
          </cell>
          <cell r="D69">
            <v>356.81899999999996</v>
          </cell>
          <cell r="E69">
            <v>133.54799999999977</v>
          </cell>
          <cell r="F69">
            <v>0</v>
          </cell>
          <cell r="G69">
            <v>133.54799999999977</v>
          </cell>
          <cell r="H69">
            <v>471.4069999999997</v>
          </cell>
          <cell r="I69">
            <v>464.81060000000008</v>
          </cell>
          <cell r="J69">
            <v>462.75564000000077</v>
          </cell>
          <cell r="K69">
            <v>6.596399999999619</v>
          </cell>
          <cell r="L69">
            <v>2.054959999999312</v>
          </cell>
          <cell r="M69">
            <v>132.15310000000008</v>
          </cell>
          <cell r="N69">
            <v>0</v>
          </cell>
          <cell r="P69">
            <v>132.15310000000008</v>
          </cell>
          <cell r="Q69">
            <v>0</v>
          </cell>
          <cell r="R69">
            <v>66.02</v>
          </cell>
          <cell r="S69">
            <v>84.98</v>
          </cell>
          <cell r="T69">
            <v>0</v>
          </cell>
          <cell r="U69">
            <v>-18.960000000000008</v>
          </cell>
          <cell r="V69">
            <v>0</v>
          </cell>
          <cell r="W69">
            <v>85.12</v>
          </cell>
          <cell r="X69">
            <v>64.661900000000003</v>
          </cell>
          <cell r="Y69">
            <v>0</v>
          </cell>
          <cell r="Z69">
            <v>-20.458100000000002</v>
          </cell>
        </row>
        <row r="70">
          <cell r="A70">
            <v>39387</v>
          </cell>
          <cell r="B70">
            <v>378.69799999999992</v>
          </cell>
          <cell r="C70">
            <v>34.393000000000001</v>
          </cell>
          <cell r="D70">
            <v>344.30500000000001</v>
          </cell>
          <cell r="E70">
            <v>95.792000000000385</v>
          </cell>
          <cell r="F70">
            <v>0.1720000000000006</v>
          </cell>
          <cell r="G70">
            <v>95.620000000000388</v>
          </cell>
          <cell r="H70">
            <v>422.84500000000043</v>
          </cell>
          <cell r="I70">
            <v>416.82100000000014</v>
          </cell>
          <cell r="J70">
            <v>414.68235499999992</v>
          </cell>
          <cell r="K70">
            <v>6.0240000000002851</v>
          </cell>
          <cell r="L70">
            <v>2.1386450000002242</v>
          </cell>
          <cell r="M70">
            <v>94.870999999999995</v>
          </cell>
          <cell r="N70">
            <v>0.1711</v>
          </cell>
          <cell r="P70">
            <v>94.6999</v>
          </cell>
          <cell r="Q70">
            <v>0</v>
          </cell>
          <cell r="R70">
            <v>65.77</v>
          </cell>
          <cell r="S70">
            <v>82.85</v>
          </cell>
          <cell r="T70">
            <v>0</v>
          </cell>
          <cell r="U70">
            <v>-17.079999999999998</v>
          </cell>
          <cell r="V70">
            <v>0</v>
          </cell>
          <cell r="W70">
            <v>82.971000000000004</v>
          </cell>
          <cell r="X70">
            <v>64.4893</v>
          </cell>
          <cell r="Y70">
            <v>0</v>
          </cell>
          <cell r="Z70">
            <v>-18.481700000000004</v>
          </cell>
        </row>
        <row r="71">
          <cell r="A71">
            <v>39417</v>
          </cell>
          <cell r="B71">
            <v>392.14699999999993</v>
          </cell>
          <cell r="C71">
            <v>34.054000000000002</v>
          </cell>
          <cell r="D71">
            <v>358.09300000000002</v>
          </cell>
          <cell r="E71">
            <v>83.00399999999992</v>
          </cell>
          <cell r="F71">
            <v>0.42399999999999949</v>
          </cell>
          <cell r="G71">
            <v>82.579999999999927</v>
          </cell>
          <cell r="H71">
            <v>397.18299999999994</v>
          </cell>
          <cell r="I71">
            <v>390.67509999999965</v>
          </cell>
          <cell r="J71">
            <v>389.62903699999941</v>
          </cell>
          <cell r="K71">
            <v>6.5079000000002907</v>
          </cell>
          <cell r="L71">
            <v>1.0460630000002311</v>
          </cell>
          <cell r="M71">
            <v>82.240100000000098</v>
          </cell>
          <cell r="N71">
            <v>0.42280000000000001</v>
          </cell>
          <cell r="P71">
            <v>81.817300000000103</v>
          </cell>
          <cell r="Q71">
            <v>0</v>
          </cell>
          <cell r="R71">
            <v>57.51</v>
          </cell>
          <cell r="S71">
            <v>101</v>
          </cell>
          <cell r="T71">
            <v>0</v>
          </cell>
          <cell r="U71">
            <v>-43.49</v>
          </cell>
          <cell r="V71">
            <v>9.0000000000000006E-5</v>
          </cell>
          <cell r="W71">
            <v>101.124</v>
          </cell>
          <cell r="X71">
            <v>56.481100000000005</v>
          </cell>
          <cell r="Y71">
            <v>0</v>
          </cell>
          <cell r="Z71">
            <v>-44.64280999999999</v>
          </cell>
        </row>
        <row r="72">
          <cell r="A72">
            <v>39448</v>
          </cell>
          <cell r="B72">
            <v>390.51499999999999</v>
          </cell>
          <cell r="C72">
            <v>35.143000000000001</v>
          </cell>
          <cell r="D72">
            <v>355.59</v>
          </cell>
          <cell r="E72">
            <v>63.408000000000357</v>
          </cell>
          <cell r="F72">
            <v>6.8880000000000017</v>
          </cell>
          <cell r="G72">
            <v>56.520000000000351</v>
          </cell>
          <cell r="H72">
            <v>364.69970738000035</v>
          </cell>
          <cell r="I72">
            <v>359.61880000000002</v>
          </cell>
          <cell r="J72">
            <v>357.7532000000005</v>
          </cell>
          <cell r="K72">
            <v>5.0809073800003262</v>
          </cell>
          <cell r="L72">
            <v>1.8655999999995174</v>
          </cell>
          <cell r="M72">
            <v>62.837499999999999</v>
          </cell>
          <cell r="N72">
            <v>6.8336000000000006</v>
          </cell>
          <cell r="P72">
            <v>56.003900000000002</v>
          </cell>
          <cell r="Q72">
            <v>2.9261999999999236E-4</v>
          </cell>
          <cell r="R72">
            <v>55.34</v>
          </cell>
          <cell r="S72">
            <v>102.75</v>
          </cell>
          <cell r="T72">
            <v>0</v>
          </cell>
          <cell r="U72">
            <v>-47.410292619999993</v>
          </cell>
          <cell r="V72">
            <v>0</v>
          </cell>
          <cell r="W72">
            <v>102.89100000000001</v>
          </cell>
          <cell r="X72">
            <v>54.442699999999981</v>
          </cell>
          <cell r="Y72">
            <v>0</v>
          </cell>
          <cell r="Z72">
            <v>-48.448300000000025</v>
          </cell>
        </row>
        <row r="73">
          <cell r="A73">
            <v>39479</v>
          </cell>
          <cell r="B73">
            <v>350.49200000000002</v>
          </cell>
          <cell r="C73">
            <v>31.149299999999997</v>
          </cell>
          <cell r="D73">
            <v>319.34700000000004</v>
          </cell>
          <cell r="E73">
            <v>72.77599999999984</v>
          </cell>
          <cell r="F73">
            <v>4.5640000000000001</v>
          </cell>
          <cell r="G73">
            <v>68.211999999999847</v>
          </cell>
          <cell r="H73">
            <v>343.01899940999988</v>
          </cell>
          <cell r="I73">
            <v>338.32220000000024</v>
          </cell>
          <cell r="J73">
            <v>336.96131999999989</v>
          </cell>
          <cell r="K73">
            <v>4.6967994099996417</v>
          </cell>
          <cell r="L73">
            <v>1.3608800000003498</v>
          </cell>
          <cell r="M73">
            <v>72.107500000000002</v>
          </cell>
          <cell r="N73">
            <v>4.529300000000001</v>
          </cell>
          <cell r="P73">
            <v>67.578199999999995</v>
          </cell>
          <cell r="Q73">
            <v>5.9000000000253291E-7</v>
          </cell>
          <cell r="R73">
            <v>49.6</v>
          </cell>
          <cell r="S73">
            <v>94.21</v>
          </cell>
          <cell r="T73">
            <v>7.0000000000000007E-2</v>
          </cell>
          <cell r="U73">
            <v>-44.540000589999991</v>
          </cell>
          <cell r="V73">
            <v>7.4740000000000015E-2</v>
          </cell>
          <cell r="W73">
            <v>94.391000000000005</v>
          </cell>
          <cell r="X73">
            <v>48.762500000000003</v>
          </cell>
          <cell r="Y73">
            <v>0</v>
          </cell>
          <cell r="Z73">
            <v>-45.553760000000004</v>
          </cell>
        </row>
        <row r="74">
          <cell r="A74">
            <v>39508</v>
          </cell>
          <cell r="B74">
            <v>381.85899999999998</v>
          </cell>
          <cell r="C74">
            <v>31.856999999999999</v>
          </cell>
          <cell r="D74">
            <v>349.44</v>
          </cell>
          <cell r="E74">
            <v>117.84399999999999</v>
          </cell>
          <cell r="F74">
            <v>0.02</v>
          </cell>
          <cell r="G74">
            <v>117.824</v>
          </cell>
          <cell r="H74">
            <v>435.86959999999999</v>
          </cell>
          <cell r="I74">
            <v>429.72030000000001</v>
          </cell>
          <cell r="J74">
            <v>427.69103999999999</v>
          </cell>
          <cell r="K74">
            <v>6.1492999999999824</v>
          </cell>
          <cell r="L74">
            <v>2.029260000000022</v>
          </cell>
          <cell r="M74">
            <v>116.7383</v>
          </cell>
          <cell r="N74">
            <v>1.78E-2</v>
          </cell>
          <cell r="P74">
            <v>116.7205</v>
          </cell>
          <cell r="Q74">
            <v>4.4000000000000003E-3</v>
          </cell>
          <cell r="R74">
            <v>59.33</v>
          </cell>
          <cell r="S74">
            <v>91.31</v>
          </cell>
          <cell r="T74">
            <v>0.59</v>
          </cell>
          <cell r="U74">
            <v>-31.394400000000005</v>
          </cell>
          <cell r="V74">
            <v>0.57355999999999996</v>
          </cell>
          <cell r="W74">
            <v>91.522000000000006</v>
          </cell>
          <cell r="X74">
            <v>58.183300000000003</v>
          </cell>
          <cell r="Y74">
            <v>4.7999999999999996E-3</v>
          </cell>
          <cell r="Z74">
            <v>-32.769940000000005</v>
          </cell>
        </row>
        <row r="75">
          <cell r="A75">
            <v>39539</v>
          </cell>
          <cell r="B75">
            <v>376.798</v>
          </cell>
          <cell r="C75">
            <v>33.131999999999998</v>
          </cell>
          <cell r="D75">
            <v>343.666</v>
          </cell>
          <cell r="E75">
            <v>136.452</v>
          </cell>
          <cell r="F75">
            <v>0</v>
          </cell>
          <cell r="G75">
            <v>136.452</v>
          </cell>
          <cell r="H75">
            <v>468.40800000000002</v>
          </cell>
          <cell r="I75">
            <v>461.99889999999999</v>
          </cell>
          <cell r="J75">
            <v>459.79300000000001</v>
          </cell>
          <cell r="K75">
            <v>6.4091000000000236</v>
          </cell>
          <cell r="L75">
            <v>2.2058999999999855</v>
          </cell>
          <cell r="M75">
            <v>135.59219999999999</v>
          </cell>
          <cell r="N75">
            <v>0</v>
          </cell>
          <cell r="P75">
            <v>135.59219999999999</v>
          </cell>
          <cell r="Q75">
            <v>0</v>
          </cell>
          <cell r="R75">
            <v>66.97</v>
          </cell>
          <cell r="S75">
            <v>78.680000000000007</v>
          </cell>
          <cell r="T75">
            <v>0</v>
          </cell>
          <cell r="U75">
            <v>-11.710000000000008</v>
          </cell>
          <cell r="V75">
            <v>0</v>
          </cell>
          <cell r="W75">
            <v>78.692999999999998</v>
          </cell>
          <cell r="X75">
            <v>65.732100000000003</v>
          </cell>
          <cell r="Y75">
            <v>1E-4</v>
          </cell>
          <cell r="Z75">
            <v>-12.960999999999999</v>
          </cell>
        </row>
        <row r="76">
          <cell r="A76">
            <v>39569</v>
          </cell>
          <cell r="B76">
            <v>373.04700000000003</v>
          </cell>
          <cell r="C76">
            <v>35.088000000000001</v>
          </cell>
          <cell r="D76">
            <v>337.959</v>
          </cell>
          <cell r="E76">
            <v>138.85599999999999</v>
          </cell>
          <cell r="F76">
            <v>0</v>
          </cell>
          <cell r="G76">
            <v>138.85599999999999</v>
          </cell>
          <cell r="H76">
            <v>500.47500000000002</v>
          </cell>
          <cell r="I76">
            <v>493.04790000000003</v>
          </cell>
          <cell r="J76">
            <v>490.43639999999999</v>
          </cell>
          <cell r="K76">
            <v>7.4270999999999958</v>
          </cell>
          <cell r="L76">
            <v>2.611500000000035</v>
          </cell>
          <cell r="M76">
            <v>138.05449999999999</v>
          </cell>
          <cell r="N76">
            <v>0</v>
          </cell>
          <cell r="P76">
            <v>138.05449999999999</v>
          </cell>
          <cell r="Q76">
            <v>0</v>
          </cell>
          <cell r="R76">
            <v>79.430000000000007</v>
          </cell>
          <cell r="S76">
            <v>56.81</v>
          </cell>
          <cell r="T76">
            <v>1.04</v>
          </cell>
          <cell r="U76">
            <v>23.660000000000011</v>
          </cell>
          <cell r="V76">
            <v>1.02461</v>
          </cell>
          <cell r="W76">
            <v>56.77</v>
          </cell>
          <cell r="X76">
            <v>77.536799999999999</v>
          </cell>
          <cell r="Y76">
            <v>1E-4</v>
          </cell>
          <cell r="Z76">
            <v>21.791309999999989</v>
          </cell>
        </row>
        <row r="77">
          <cell r="A77">
            <v>39600</v>
          </cell>
          <cell r="B77">
            <v>376.49599999999998</v>
          </cell>
          <cell r="C77">
            <v>35.1</v>
          </cell>
          <cell r="D77">
            <v>341.39599999999996</v>
          </cell>
          <cell r="E77">
            <v>105.024</v>
          </cell>
          <cell r="F77">
            <v>4.3999999999999997E-2</v>
          </cell>
          <cell r="G77">
            <v>104.98</v>
          </cell>
          <cell r="H77">
            <v>458.29599999999999</v>
          </cell>
          <cell r="I77">
            <v>450.82139999999998</v>
          </cell>
          <cell r="J77">
            <v>448.526364</v>
          </cell>
          <cell r="K77">
            <v>7.4746000000000095</v>
          </cell>
          <cell r="L77">
            <v>2.2950359999999819</v>
          </cell>
          <cell r="M77">
            <v>104.4186</v>
          </cell>
          <cell r="N77">
            <v>4.5999999999999999E-2</v>
          </cell>
          <cell r="P77">
            <v>104.37259999999999</v>
          </cell>
          <cell r="Q77">
            <v>0</v>
          </cell>
          <cell r="R77">
            <v>76.23</v>
          </cell>
          <cell r="S77">
            <v>64.61</v>
          </cell>
          <cell r="T77">
            <v>0.3</v>
          </cell>
          <cell r="U77">
            <v>11.920000000000002</v>
          </cell>
          <cell r="V77">
            <v>0</v>
          </cell>
          <cell r="W77">
            <v>64.667000000000002</v>
          </cell>
          <cell r="X77">
            <v>74.448999999999998</v>
          </cell>
          <cell r="Y77">
            <v>0</v>
          </cell>
          <cell r="Z77">
            <v>9.7819999999999965</v>
          </cell>
        </row>
        <row r="78">
          <cell r="A78">
            <v>39630</v>
          </cell>
          <cell r="B78">
            <v>388.73500000000001</v>
          </cell>
          <cell r="C78">
            <v>34.344000000000001</v>
          </cell>
          <cell r="D78">
            <v>354.39100000000002</v>
          </cell>
          <cell r="E78">
            <v>108.428</v>
          </cell>
          <cell r="F78">
            <v>0.08</v>
          </cell>
          <cell r="G78">
            <v>108.348</v>
          </cell>
          <cell r="H78">
            <v>463.55900000000003</v>
          </cell>
          <cell r="I78">
            <v>456.25150000000002</v>
          </cell>
          <cell r="J78">
            <v>454.39569999999998</v>
          </cell>
          <cell r="K78">
            <v>7.3075000000000045</v>
          </cell>
          <cell r="L78">
            <v>1.8558000000000447</v>
          </cell>
          <cell r="M78">
            <v>107.8892</v>
          </cell>
          <cell r="N78">
            <v>0.68279999999999996</v>
          </cell>
          <cell r="P78">
            <v>107.2064</v>
          </cell>
          <cell r="Q78">
            <v>0</v>
          </cell>
          <cell r="R78">
            <v>74.45</v>
          </cell>
          <cell r="S78">
            <v>73.63</v>
          </cell>
          <cell r="T78">
            <v>0</v>
          </cell>
          <cell r="U78">
            <v>0.82000000000000739</v>
          </cell>
          <cell r="V78">
            <v>0</v>
          </cell>
          <cell r="W78">
            <v>73.677000000000007</v>
          </cell>
          <cell r="X78">
            <v>72.811999999999998</v>
          </cell>
          <cell r="Y78">
            <v>0</v>
          </cell>
          <cell r="Z78">
            <v>-0.86500000000000909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-TARGE"/>
      <sheetName val="SBU-DOM9"/>
      <sheetName val="Data Input"/>
      <sheetName val="FORM-16"/>
      <sheetName val="entitlements"/>
      <sheetName val="MAR08BAN"/>
      <sheetName val="Dep 06-07"/>
      <sheetName val="Sheet9"/>
      <sheetName val="JE 07"/>
      <sheetName val="Reclass BS 07"/>
      <sheetName val="Reclass PL 07"/>
      <sheetName val="Company"/>
      <sheetName val="Loss 3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BLST_MAR.07"/>
      <sheetName val="HI-TARGE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Company"/>
      <sheetName val="SI_FIN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 1 &amp; 2"/>
      <sheetName val="Annex 3 &amp; 4"/>
      <sheetName val="Annex 5"/>
      <sheetName val="Annex 6 &amp; 7"/>
      <sheetName val="Annex 8"/>
      <sheetName val="Sheet1"/>
      <sheetName val="Annex 9"/>
      <sheetName val="Annex 10a"/>
      <sheetName val="Annex 10B"/>
      <sheetName val="ANNEX10C"/>
      <sheetName val="Annex 10D"/>
      <sheetName val="Annex 10E"/>
      <sheetName val="ANNX-11A"/>
      <sheetName val="Annexure 11(B)"/>
      <sheetName val="ANNEXURE12A,B&amp;C"/>
      <sheetName val="ANNEXURE-13"/>
      <sheetName val="ANNEXURE-14"/>
      <sheetName val="3cd part ANnex "/>
      <sheetName val="rishra 05-06"/>
      <sheetName val="additions"/>
      <sheetName val="Sheet2"/>
      <sheetName val="deletion"/>
      <sheetName val="TDS"/>
      <sheetName val="Freehold Land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 tax"/>
      <sheetName val="Result"/>
      <sheetName val="P &amp; L (with)"/>
      <sheetName val="Rec-pay"/>
      <sheetName val="Rent"/>
      <sheetName val="Dep co"/>
      <sheetName val="BP&amp;L"/>
      <sheetName val="Dep 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PLANT"/>
      <sheetName val="Future_Capacity Addition"/>
      <sheetName val="ALLOCATION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Parameters"/>
      <sheetName val="Fin. Proj."/>
      <sheetName val="repaymentsch"/>
      <sheetName val="ANNEX-I(21(B)"/>
      <sheetName val="ANNEX-J(P)"/>
      <sheetName val="ANX-D(16b)"/>
      <sheetName val="HI-TARGE"/>
      <sheetName val="FORM-16"/>
      <sheetName val="Company"/>
      <sheetName val="FACTORS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ExcelEVA Model-Samtel"/>
      <sheetName val="TJC -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Consolidated"/>
      <sheetName val="IMPL-ROUGH-WORKING"/>
      <sheetName val="IMPL-LEDGER"/>
      <sheetName val="OP.RECO"/>
      <sheetName val="OP-RECO-working"/>
      <sheetName val="bill-wise -OP-BAL-31-12-99"/>
      <sheetName val="given-det-of-reco-for-solv"/>
      <sheetName val="DECEMBER"/>
      <sheetName val="D-NOTE-SMMRY"/>
      <sheetName val="OP.RECO -REVISED"/>
      <sheetName val="Consolidated-31-12"/>
      <sheetName val="Consolidated-31-03-00"/>
      <sheetName val="TEL-LEGC"/>
      <sheetName val="Jan to Mar"/>
      <sheetName val="FORNT-PAGE"/>
      <sheetName val="SALE-JANTOMAR"/>
      <sheetName val="PAY-RECD"/>
      <sheetName val="Bill-wise"/>
      <sheetName val="JOB-BILLS-woking-forpay-ded-fin"/>
      <sheetName val="JOB-WORK-BILLS-old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PF ann. 3CD"/>
      <sheetName val="wwww"/>
      <sheetName val="Net"/>
      <sheetName val="MAR EX"/>
      <sheetName val="Checks _ Inputs"/>
      <sheetName val="InputPO_Del"/>
      <sheetName val="Capital_by_Years_Valuation"/>
      <sheetName val="ReportsParameters"/>
      <sheetName val="Data"/>
      <sheetName val="Company"/>
      <sheetName val="Journal Vouchers"/>
      <sheetName val="BANKINT"/>
      <sheetName val="Trial vij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Net"/>
      <sheetName val="ExcelEVA Model-Samtel"/>
      <sheetName val="2000"/>
      <sheetName val="Company"/>
      <sheetName val="F-B"/>
      <sheetName val="F-B-21"/>
      <sheetName val="F-B-3"/>
      <sheetName val="F-B-4"/>
      <sheetName val="entitlements"/>
      <sheetName val="Lead Sheets"/>
      <sheetName val="Control"/>
      <sheetName val="COA in Acct Group"/>
      <sheetName val="INDEPENDENT"/>
      <sheetName val="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1">
          <cell r="J1">
            <v>6</v>
          </cell>
        </row>
        <row r="71">
          <cell r="B71" t="str">
            <v>Equity</v>
          </cell>
        </row>
        <row r="72">
          <cell r="B72" t="str">
            <v>Debt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I87">
            <v>0.29120000000000001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n.investing.com/rates-bonds/india-10-year-bond-yield-historical-data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3"/>
  <sheetViews>
    <sheetView topLeftCell="B1" workbookViewId="0">
      <pane ySplit="4" topLeftCell="A51" activePane="bottomLeft" state="frozen"/>
      <selection activeCell="N49" sqref="N49"/>
      <selection pane="bottomLeft" activeCell="N49" sqref="N49"/>
    </sheetView>
  </sheetViews>
  <sheetFormatPr defaultColWidth="13.33203125" defaultRowHeight="14.4" x14ac:dyDescent="0.3"/>
  <cols>
    <col min="1" max="1" width="66.33203125" bestFit="1" customWidth="1"/>
    <col min="2" max="2" width="23.88671875" bestFit="1" customWidth="1"/>
    <col min="3" max="4" width="13.6640625" bestFit="1" customWidth="1"/>
    <col min="5" max="5" width="7.6640625" bestFit="1" customWidth="1"/>
    <col min="6" max="7" width="13.44140625" bestFit="1" customWidth="1"/>
    <col min="8" max="8" width="13.5546875" bestFit="1" customWidth="1"/>
    <col min="9" max="30" width="13.44140625" bestFit="1" customWidth="1"/>
  </cols>
  <sheetData>
    <row r="1" spans="1:39" x14ac:dyDescent="0.3">
      <c r="A1" s="55" t="s">
        <v>51</v>
      </c>
      <c r="B1" s="2"/>
      <c r="C1" s="2"/>
      <c r="D1" s="2"/>
      <c r="E1" s="2"/>
      <c r="F1" s="3">
        <f>E1+1</f>
        <v>1</v>
      </c>
      <c r="G1" s="3">
        <f>F1+1</f>
        <v>2</v>
      </c>
      <c r="H1" s="3">
        <f>G1+1</f>
        <v>3</v>
      </c>
      <c r="I1" s="3">
        <f t="shared" ref="I1:AB2" si="0">H1+1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ref="AC1:AC2" si="1">AB1+1</f>
        <v>24</v>
      </c>
      <c r="AD1" s="3">
        <f t="shared" ref="AD1:AD2" si="2">AC1+1</f>
        <v>25</v>
      </c>
    </row>
    <row r="2" spans="1:39" x14ac:dyDescent="0.3">
      <c r="A2" s="55" t="s">
        <v>52</v>
      </c>
      <c r="B2" s="2"/>
      <c r="C2" s="2"/>
      <c r="D2" s="2"/>
      <c r="E2" s="2"/>
      <c r="F2" s="2"/>
      <c r="G2" s="2"/>
      <c r="H2" s="3"/>
      <c r="I2" s="3"/>
      <c r="J2" s="3">
        <f>I2+1</f>
        <v>1</v>
      </c>
      <c r="K2" s="3">
        <f t="shared" si="0"/>
        <v>2</v>
      </c>
      <c r="L2" s="3">
        <f t="shared" si="0"/>
        <v>3</v>
      </c>
      <c r="M2" s="3">
        <f t="shared" si="0"/>
        <v>4</v>
      </c>
      <c r="N2" s="3">
        <f t="shared" si="0"/>
        <v>5</v>
      </c>
      <c r="O2" s="3">
        <f t="shared" si="0"/>
        <v>6</v>
      </c>
      <c r="P2" s="3">
        <f t="shared" si="0"/>
        <v>7</v>
      </c>
      <c r="Q2" s="3">
        <f t="shared" si="0"/>
        <v>8</v>
      </c>
      <c r="R2" s="3">
        <f t="shared" si="0"/>
        <v>9</v>
      </c>
      <c r="S2" s="3">
        <f t="shared" si="0"/>
        <v>10</v>
      </c>
      <c r="T2" s="3">
        <f t="shared" si="0"/>
        <v>11</v>
      </c>
      <c r="U2" s="3">
        <f t="shared" si="0"/>
        <v>12</v>
      </c>
      <c r="V2" s="3">
        <f t="shared" si="0"/>
        <v>13</v>
      </c>
      <c r="W2" s="3">
        <f t="shared" si="0"/>
        <v>14</v>
      </c>
      <c r="X2" s="3">
        <f t="shared" si="0"/>
        <v>15</v>
      </c>
      <c r="Y2" s="3">
        <f t="shared" si="0"/>
        <v>16</v>
      </c>
      <c r="Z2" s="3">
        <f t="shared" si="0"/>
        <v>17</v>
      </c>
      <c r="AA2" s="3">
        <f t="shared" si="0"/>
        <v>18</v>
      </c>
      <c r="AB2" s="3">
        <f t="shared" si="0"/>
        <v>19</v>
      </c>
      <c r="AC2" s="3">
        <f t="shared" si="1"/>
        <v>20</v>
      </c>
      <c r="AD2" s="3">
        <f t="shared" si="2"/>
        <v>21</v>
      </c>
    </row>
    <row r="3" spans="1:39" x14ac:dyDescent="0.3">
      <c r="A3" s="55" t="s">
        <v>0</v>
      </c>
      <c r="B3" s="2"/>
      <c r="C3" s="2"/>
      <c r="D3" s="2"/>
      <c r="E3" s="2"/>
      <c r="F3" s="3">
        <f>F4-C7+1</f>
        <v>366</v>
      </c>
      <c r="G3" s="3">
        <f t="shared" ref="G3:J3" si="3">G4-F4</f>
        <v>365</v>
      </c>
      <c r="H3" s="3">
        <f t="shared" si="3"/>
        <v>365</v>
      </c>
      <c r="I3" s="3">
        <f t="shared" si="3"/>
        <v>365</v>
      </c>
      <c r="J3" s="3">
        <f t="shared" si="3"/>
        <v>366</v>
      </c>
      <c r="K3" s="3">
        <f>K4-J4</f>
        <v>365</v>
      </c>
      <c r="L3" s="3">
        <f t="shared" ref="L3:W3" si="4">L4-K4</f>
        <v>365</v>
      </c>
      <c r="M3" s="3">
        <f t="shared" si="4"/>
        <v>365</v>
      </c>
      <c r="N3" s="3">
        <f t="shared" si="4"/>
        <v>366</v>
      </c>
      <c r="O3" s="3">
        <f t="shared" si="4"/>
        <v>365</v>
      </c>
      <c r="P3" s="3">
        <f t="shared" si="4"/>
        <v>365</v>
      </c>
      <c r="Q3" s="3">
        <f t="shared" si="4"/>
        <v>365</v>
      </c>
      <c r="R3" s="3">
        <f t="shared" si="4"/>
        <v>366</v>
      </c>
      <c r="S3" s="3">
        <f t="shared" si="4"/>
        <v>365</v>
      </c>
      <c r="T3" s="3">
        <f t="shared" si="4"/>
        <v>365</v>
      </c>
      <c r="U3" s="3">
        <f t="shared" si="4"/>
        <v>365</v>
      </c>
      <c r="V3" s="3">
        <f t="shared" si="4"/>
        <v>366</v>
      </c>
      <c r="W3" s="3">
        <f t="shared" si="4"/>
        <v>365</v>
      </c>
      <c r="X3" s="3">
        <f t="shared" ref="X3" si="5">X4-W4</f>
        <v>365</v>
      </c>
      <c r="Y3" s="3">
        <f t="shared" ref="Y3" si="6">Y4-X4</f>
        <v>365</v>
      </c>
      <c r="Z3" s="3">
        <f t="shared" ref="Z3" si="7">Z4-Y4</f>
        <v>366</v>
      </c>
      <c r="AA3" s="3">
        <f t="shared" ref="AA3" si="8">AA4-Z4</f>
        <v>365</v>
      </c>
      <c r="AB3" s="3">
        <f t="shared" ref="AB3" si="9">AB4-AA4</f>
        <v>365</v>
      </c>
      <c r="AC3" s="3">
        <f t="shared" ref="AC3" si="10">AC4-AB4</f>
        <v>365</v>
      </c>
      <c r="AD3" s="3">
        <f t="shared" ref="AD3" si="11">AD4-AC4</f>
        <v>366</v>
      </c>
    </row>
    <row r="4" spans="1:39" x14ac:dyDescent="0.3">
      <c r="A4" s="55" t="s">
        <v>1</v>
      </c>
      <c r="B4" s="2"/>
      <c r="C4" s="2"/>
      <c r="D4" s="2"/>
      <c r="E4" s="2"/>
      <c r="F4" s="4">
        <f>EDATE(C7,12)-1</f>
        <v>42460</v>
      </c>
      <c r="G4" s="4">
        <f t="shared" ref="G4" si="12">EDATE(F4,12)</f>
        <v>42825</v>
      </c>
      <c r="H4" s="4">
        <f>EDATE(G4,12)</f>
        <v>43190</v>
      </c>
      <c r="I4" s="4">
        <f t="shared" ref="I4:AB4" si="13">EDATE(H4,12)</f>
        <v>43555</v>
      </c>
      <c r="J4" s="4">
        <f t="shared" si="13"/>
        <v>43921</v>
      </c>
      <c r="K4" s="4">
        <f t="shared" si="13"/>
        <v>44286</v>
      </c>
      <c r="L4" s="4">
        <f t="shared" si="13"/>
        <v>44651</v>
      </c>
      <c r="M4" s="4">
        <f t="shared" si="13"/>
        <v>45016</v>
      </c>
      <c r="N4" s="4">
        <f t="shared" si="13"/>
        <v>45382</v>
      </c>
      <c r="O4" s="4">
        <f t="shared" si="13"/>
        <v>45747</v>
      </c>
      <c r="P4" s="4">
        <f t="shared" si="13"/>
        <v>46112</v>
      </c>
      <c r="Q4" s="4">
        <f t="shared" si="13"/>
        <v>46477</v>
      </c>
      <c r="R4" s="4">
        <f t="shared" si="13"/>
        <v>46843</v>
      </c>
      <c r="S4" s="4">
        <f t="shared" si="13"/>
        <v>47208</v>
      </c>
      <c r="T4" s="4">
        <f t="shared" si="13"/>
        <v>47573</v>
      </c>
      <c r="U4" s="4">
        <f t="shared" si="13"/>
        <v>47938</v>
      </c>
      <c r="V4" s="4">
        <f t="shared" si="13"/>
        <v>48304</v>
      </c>
      <c r="W4" s="4">
        <f t="shared" si="13"/>
        <v>48669</v>
      </c>
      <c r="X4" s="4">
        <f t="shared" si="13"/>
        <v>49034</v>
      </c>
      <c r="Y4" s="4">
        <f t="shared" si="13"/>
        <v>49399</v>
      </c>
      <c r="Z4" s="4">
        <f t="shared" si="13"/>
        <v>49765</v>
      </c>
      <c r="AA4" s="4">
        <f t="shared" si="13"/>
        <v>50130</v>
      </c>
      <c r="AB4" s="4">
        <f t="shared" si="13"/>
        <v>50495</v>
      </c>
      <c r="AC4" s="4">
        <f t="shared" ref="AC4" si="14">EDATE(AB4,12)</f>
        <v>50860</v>
      </c>
      <c r="AD4" s="4">
        <f t="shared" ref="AD4" si="15">EDATE(AC4,12)</f>
        <v>51226</v>
      </c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3">
      <c r="A5" s="122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3">
      <c r="A6" s="112" t="s">
        <v>125</v>
      </c>
    </row>
    <row r="7" spans="1:39" x14ac:dyDescent="0.3">
      <c r="A7" s="2" t="s">
        <v>108</v>
      </c>
      <c r="B7" s="2"/>
      <c r="C7" s="100">
        <v>42095</v>
      </c>
      <c r="D7" t="s">
        <v>246</v>
      </c>
    </row>
    <row r="8" spans="1:39" x14ac:dyDescent="0.3">
      <c r="A8" s="2" t="s">
        <v>109</v>
      </c>
      <c r="B8" s="3" t="s">
        <v>110</v>
      </c>
      <c r="C8" s="2">
        <v>25</v>
      </c>
      <c r="D8" t="s">
        <v>247</v>
      </c>
    </row>
    <row r="9" spans="1:39" x14ac:dyDescent="0.3">
      <c r="A9" s="2" t="s">
        <v>111</v>
      </c>
      <c r="B9" s="2"/>
      <c r="C9" s="100">
        <f>EDATE(C7,(12*C8))-1</f>
        <v>51226</v>
      </c>
    </row>
    <row r="10" spans="1:39" x14ac:dyDescent="0.3">
      <c r="A10" s="2" t="s">
        <v>117</v>
      </c>
      <c r="B10" s="2"/>
      <c r="C10" s="100">
        <f>DATE(IF(MONTH(C9)&gt;3,YEAR(C9+1),YEAR(C9)),3,31)</f>
        <v>51226</v>
      </c>
    </row>
    <row r="11" spans="1:39" x14ac:dyDescent="0.3">
      <c r="A11" s="2" t="s">
        <v>112</v>
      </c>
      <c r="B11" s="2"/>
      <c r="C11" s="100">
        <f>C7</f>
        <v>42095</v>
      </c>
      <c r="D11" t="s">
        <v>246</v>
      </c>
    </row>
    <row r="12" spans="1:39" x14ac:dyDescent="0.3">
      <c r="A12" s="2" t="s">
        <v>113</v>
      </c>
      <c r="B12" s="3" t="s">
        <v>110</v>
      </c>
      <c r="C12" s="2">
        <v>13</v>
      </c>
      <c r="D12" t="s">
        <v>248</v>
      </c>
    </row>
    <row r="13" spans="1:39" x14ac:dyDescent="0.3">
      <c r="A13" s="2" t="s">
        <v>114</v>
      </c>
      <c r="B13" s="3"/>
      <c r="C13" s="100">
        <f>EDATE(C11,(12*C12))-1</f>
        <v>46843</v>
      </c>
    </row>
    <row r="14" spans="1:39" x14ac:dyDescent="0.3">
      <c r="A14" s="2" t="s">
        <v>115</v>
      </c>
      <c r="B14" s="3"/>
      <c r="C14" s="100">
        <f>EDATE(C13,0)+1</f>
        <v>46844</v>
      </c>
    </row>
    <row r="15" spans="1:39" x14ac:dyDescent="0.3">
      <c r="A15" s="2" t="s">
        <v>116</v>
      </c>
      <c r="B15" s="3"/>
      <c r="C15" s="100">
        <f>C10</f>
        <v>51226</v>
      </c>
    </row>
    <row r="16" spans="1:39" x14ac:dyDescent="0.3">
      <c r="B16" s="103"/>
      <c r="C16" s="124"/>
    </row>
    <row r="17" spans="1:30" x14ac:dyDescent="0.3">
      <c r="B17" s="103"/>
      <c r="C17" s="124"/>
    </row>
    <row r="18" spans="1:30" x14ac:dyDescent="0.3">
      <c r="A18" s="2" t="s">
        <v>126</v>
      </c>
      <c r="B18" s="3" t="s">
        <v>127</v>
      </c>
      <c r="C18" s="2">
        <v>6</v>
      </c>
    </row>
    <row r="19" spans="1:30" x14ac:dyDescent="0.3">
      <c r="A19" s="2" t="s">
        <v>142</v>
      </c>
      <c r="B19" s="3" t="s">
        <v>56</v>
      </c>
      <c r="C19" s="104">
        <v>0.22</v>
      </c>
      <c r="D19" t="s">
        <v>249</v>
      </c>
      <c r="M19" s="236"/>
      <c r="N19" s="236"/>
      <c r="O19" s="236"/>
      <c r="P19" s="236"/>
      <c r="Q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x14ac:dyDescent="0.3">
      <c r="A20" s="2" t="s">
        <v>143</v>
      </c>
      <c r="B20" s="3"/>
      <c r="C20" s="104">
        <v>0.15</v>
      </c>
    </row>
    <row r="21" spans="1:30" x14ac:dyDescent="0.3">
      <c r="A21" s="2" t="s">
        <v>106</v>
      </c>
      <c r="B21" s="3" t="s">
        <v>56</v>
      </c>
      <c r="C21" s="99">
        <v>5.0000000000000001E-4</v>
      </c>
    </row>
    <row r="23" spans="1:30" x14ac:dyDescent="0.3">
      <c r="A23" s="2" t="s">
        <v>219</v>
      </c>
      <c r="B23" s="102" t="s">
        <v>105</v>
      </c>
      <c r="C23" s="95">
        <v>5.7</v>
      </c>
      <c r="D23" s="2" t="s">
        <v>250</v>
      </c>
      <c r="E23" s="2"/>
      <c r="F23" s="2"/>
      <c r="G23" s="2"/>
      <c r="H23" s="2"/>
      <c r="I23" s="2"/>
      <c r="J23" s="2">
        <v>2.52</v>
      </c>
      <c r="K23" s="95">
        <v>2.59</v>
      </c>
      <c r="L23" s="95">
        <f>K23*(1+$C$24)</f>
        <v>2.2709308780190036</v>
      </c>
      <c r="M23" s="95">
        <f t="shared" ref="M23:AD23" si="16">L23*(1+$C$24)</f>
        <v>1.9911687462317231</v>
      </c>
      <c r="N23" s="95">
        <f t="shared" si="16"/>
        <v>1.7458712699474925</v>
      </c>
      <c r="O23" s="95">
        <f t="shared" si="16"/>
        <v>1.5307926548146766</v>
      </c>
      <c r="P23" s="95">
        <f t="shared" si="16"/>
        <v>1.3422101573989711</v>
      </c>
      <c r="Q23" s="95">
        <f t="shared" si="16"/>
        <v>1.1768596491228072</v>
      </c>
      <c r="R23" s="95">
        <f t="shared" si="16"/>
        <v>1.031879118257758</v>
      </c>
      <c r="S23" s="95">
        <f t="shared" si="16"/>
        <v>0.90475913205967795</v>
      </c>
      <c r="T23" s="95">
        <f t="shared" si="16"/>
        <v>0.7932994016077205</v>
      </c>
      <c r="U23" s="95">
        <f t="shared" si="16"/>
        <v>0.69557069753859879</v>
      </c>
      <c r="V23" s="95">
        <f t="shared" si="16"/>
        <v>0.60988145748479572</v>
      </c>
      <c r="W23" s="95">
        <f t="shared" si="16"/>
        <v>0.53474850723299494</v>
      </c>
      <c r="X23" s="95">
        <f t="shared" si="16"/>
        <v>0.46887138882238483</v>
      </c>
      <c r="Y23" s="95">
        <f t="shared" si="16"/>
        <v>0.4111098512341344</v>
      </c>
      <c r="Z23" s="95">
        <f t="shared" si="16"/>
        <v>0.36046411406385903</v>
      </c>
      <c r="AA23" s="95">
        <f t="shared" si="16"/>
        <v>0.31605756256578443</v>
      </c>
      <c r="AB23" s="95">
        <f t="shared" si="16"/>
        <v>0.27712157454133707</v>
      </c>
      <c r="AC23" s="95">
        <f t="shared" si="16"/>
        <v>0.24298221644446616</v>
      </c>
      <c r="AD23" s="95">
        <f t="shared" si="16"/>
        <v>0.2130485784298205</v>
      </c>
    </row>
    <row r="24" spans="1:30" x14ac:dyDescent="0.3">
      <c r="A24" s="2" t="s">
        <v>107</v>
      </c>
      <c r="B24" s="105" t="s">
        <v>56</v>
      </c>
      <c r="C24" s="106">
        <f>(K23/C23)^(1/COUNT(C4:K4))-1</f>
        <v>-0.12319271118957387</v>
      </c>
    </row>
    <row r="25" spans="1:30" x14ac:dyDescent="0.3">
      <c r="A25" s="2" t="s">
        <v>272</v>
      </c>
      <c r="B25" s="102" t="s">
        <v>105</v>
      </c>
      <c r="C25" s="2">
        <v>2.75</v>
      </c>
    </row>
    <row r="27" spans="1:30" x14ac:dyDescent="0.3">
      <c r="A27" s="2" t="s">
        <v>216</v>
      </c>
      <c r="B27" s="102" t="s">
        <v>105</v>
      </c>
      <c r="C27" s="2"/>
      <c r="D27" s="2"/>
      <c r="E27" s="2"/>
      <c r="F27" s="2"/>
      <c r="G27" s="2"/>
      <c r="H27" s="2"/>
      <c r="I27" s="2"/>
      <c r="J27" s="127">
        <f>$C$23</f>
        <v>5.7</v>
      </c>
      <c r="K27" s="127">
        <f>$C$23</f>
        <v>5.7</v>
      </c>
      <c r="L27" s="127">
        <f t="shared" ref="L27:R27" si="17">$C$23</f>
        <v>5.7</v>
      </c>
      <c r="M27" s="127">
        <f t="shared" si="17"/>
        <v>5.7</v>
      </c>
      <c r="N27" s="127">
        <f t="shared" si="17"/>
        <v>5.7</v>
      </c>
      <c r="O27" s="127">
        <f t="shared" si="17"/>
        <v>5.7</v>
      </c>
      <c r="P27" s="127">
        <f t="shared" si="17"/>
        <v>5.7</v>
      </c>
      <c r="Q27" s="127">
        <f t="shared" si="17"/>
        <v>5.7</v>
      </c>
      <c r="R27" s="127">
        <f t="shared" si="17"/>
        <v>5.7</v>
      </c>
      <c r="S27" s="127">
        <f t="shared" ref="S27:U27" si="18">$C$25</f>
        <v>2.75</v>
      </c>
      <c r="T27" s="127">
        <f t="shared" si="18"/>
        <v>2.75</v>
      </c>
      <c r="U27" s="127">
        <f t="shared" si="18"/>
        <v>2.75</v>
      </c>
      <c r="V27" s="127">
        <f>$C$25</f>
        <v>2.75</v>
      </c>
      <c r="W27" s="127">
        <f t="shared" ref="W27:AD27" si="19">$C$25</f>
        <v>2.75</v>
      </c>
      <c r="X27" s="127">
        <f t="shared" si="19"/>
        <v>2.75</v>
      </c>
      <c r="Y27" s="127">
        <f t="shared" si="19"/>
        <v>2.75</v>
      </c>
      <c r="Z27" s="127">
        <f t="shared" si="19"/>
        <v>2.75</v>
      </c>
      <c r="AA27" s="127">
        <f t="shared" si="19"/>
        <v>2.75</v>
      </c>
      <c r="AB27" s="127">
        <f t="shared" si="19"/>
        <v>2.75</v>
      </c>
      <c r="AC27" s="127">
        <f t="shared" si="19"/>
        <v>2.75</v>
      </c>
      <c r="AD27" s="127">
        <f t="shared" si="19"/>
        <v>2.75</v>
      </c>
    </row>
    <row r="28" spans="1:30" x14ac:dyDescent="0.3">
      <c r="A28" s="126" t="s">
        <v>238</v>
      </c>
      <c r="B28" s="102" t="s">
        <v>105</v>
      </c>
      <c r="C28" s="127">
        <v>0.5</v>
      </c>
    </row>
    <row r="31" spans="1:30" x14ac:dyDescent="0.3">
      <c r="A31" s="2" t="s">
        <v>256</v>
      </c>
      <c r="B31" s="3" t="s">
        <v>56</v>
      </c>
      <c r="C31" s="99">
        <v>0.12</v>
      </c>
      <c r="D31" s="95">
        <f>20.8456+0</f>
        <v>20.845600000000001</v>
      </c>
    </row>
    <row r="32" spans="1:30" x14ac:dyDescent="0.3">
      <c r="A32" s="2" t="s">
        <v>257</v>
      </c>
      <c r="B32" s="3" t="s">
        <v>56</v>
      </c>
      <c r="C32" s="119">
        <f>SUMPRODUCT(C31:C31,D31:D31)/SUM(D31:D31)</f>
        <v>0.12</v>
      </c>
      <c r="G32" s="116"/>
    </row>
    <row r="34" spans="1:13" x14ac:dyDescent="0.3">
      <c r="A34" s="56" t="s">
        <v>61</v>
      </c>
      <c r="B34" s="57" t="s">
        <v>62</v>
      </c>
      <c r="C34" s="200" t="s">
        <v>230</v>
      </c>
      <c r="D34" s="200" t="s">
        <v>231</v>
      </c>
      <c r="E34" s="200" t="s">
        <v>232</v>
      </c>
      <c r="F34" s="200" t="s">
        <v>233</v>
      </c>
      <c r="G34" s="200" t="s">
        <v>234</v>
      </c>
      <c r="H34" s="200" t="s">
        <v>235</v>
      </c>
      <c r="I34" s="200" t="s">
        <v>236</v>
      </c>
      <c r="J34" s="200" t="s">
        <v>252</v>
      </c>
      <c r="K34" s="200" t="s">
        <v>253</v>
      </c>
      <c r="L34" s="200" t="s">
        <v>254</v>
      </c>
      <c r="M34" s="200" t="s">
        <v>255</v>
      </c>
    </row>
    <row r="35" spans="1:13" x14ac:dyDescent="0.3">
      <c r="A35" s="58" t="s">
        <v>63</v>
      </c>
      <c r="B35" s="59">
        <v>100</v>
      </c>
      <c r="C35" s="60">
        <v>106.9</v>
      </c>
      <c r="D35" s="60">
        <v>112.5</v>
      </c>
      <c r="E35" s="60">
        <v>113.9</v>
      </c>
      <c r="F35" s="60">
        <v>109.7</v>
      </c>
      <c r="G35" s="60">
        <v>111.6</v>
      </c>
      <c r="H35" s="60">
        <v>114.9</v>
      </c>
      <c r="I35" s="60">
        <v>119.8</v>
      </c>
      <c r="J35" s="60">
        <v>121.8</v>
      </c>
      <c r="K35" s="60">
        <v>123.4</v>
      </c>
      <c r="L35" s="60">
        <v>139.4</v>
      </c>
      <c r="M35" s="206">
        <v>152.5</v>
      </c>
    </row>
    <row r="36" spans="1:13" x14ac:dyDescent="0.3">
      <c r="A36" s="32" t="s">
        <v>64</v>
      </c>
      <c r="B36" s="64">
        <f>(M35/B35)^(1/COUNT(C35:M35))-1</f>
        <v>3.9108493961018453E-2</v>
      </c>
      <c r="C36" s="62"/>
      <c r="D36" s="63"/>
      <c r="E36" s="63"/>
      <c r="F36" s="63"/>
      <c r="G36" s="63"/>
      <c r="H36" s="63"/>
      <c r="I36" s="63"/>
    </row>
    <row r="37" spans="1:13" x14ac:dyDescent="0.3">
      <c r="A37" s="54" t="s">
        <v>65</v>
      </c>
      <c r="B37" s="65" t="s">
        <v>56</v>
      </c>
      <c r="C37" s="107">
        <f>B36</f>
        <v>3.9108493961018453E-2</v>
      </c>
    </row>
    <row r="38" spans="1:13" x14ac:dyDescent="0.3">
      <c r="B38" s="121"/>
    </row>
    <row r="39" spans="1:13" x14ac:dyDescent="0.3">
      <c r="A39" s="111" t="s">
        <v>124</v>
      </c>
      <c r="B39" s="121"/>
    </row>
    <row r="41" spans="1:13" x14ac:dyDescent="0.3">
      <c r="A41" s="113" t="s">
        <v>217</v>
      </c>
      <c r="B41" s="103"/>
    </row>
    <row r="42" spans="1:13" x14ac:dyDescent="0.3">
      <c r="A42" s="2" t="s">
        <v>218</v>
      </c>
      <c r="B42" s="3" t="s">
        <v>56</v>
      </c>
      <c r="C42" s="127">
        <v>7.7200000000000005E-2</v>
      </c>
      <c r="D42" t="s">
        <v>251</v>
      </c>
    </row>
    <row r="43" spans="1:13" x14ac:dyDescent="0.3">
      <c r="A43" s="2" t="s">
        <v>227</v>
      </c>
      <c r="B43" s="3"/>
      <c r="C43" s="127">
        <f>C42*C18</f>
        <v>0.46320000000000006</v>
      </c>
    </row>
    <row r="44" spans="1:13" x14ac:dyDescent="0.3">
      <c r="A44" s="2" t="s">
        <v>118</v>
      </c>
      <c r="B44" s="3" t="s">
        <v>56</v>
      </c>
      <c r="C44" s="119">
        <v>0.05</v>
      </c>
    </row>
    <row r="45" spans="1:13" x14ac:dyDescent="0.3">
      <c r="B45" s="103"/>
      <c r="C45" s="120"/>
    </row>
    <row r="46" spans="1:13" x14ac:dyDescent="0.3">
      <c r="A46" s="2" t="s">
        <v>264</v>
      </c>
      <c r="B46" s="50" t="s">
        <v>58</v>
      </c>
      <c r="C46" s="95">
        <f>AVERAGE(H46:K46)</f>
        <v>0.67482500000000001</v>
      </c>
      <c r="D46" s="2"/>
      <c r="E46" s="2"/>
      <c r="F46" s="2"/>
      <c r="G46" s="95"/>
      <c r="H46" s="197">
        <v>0.47350000000000003</v>
      </c>
      <c r="I46" s="197">
        <v>0.49570000000000003</v>
      </c>
      <c r="J46" s="120">
        <v>1.6246</v>
      </c>
      <c r="K46" s="120">
        <v>0.1055</v>
      </c>
      <c r="L46" s="120">
        <v>2.7988</v>
      </c>
    </row>
    <row r="47" spans="1:13" x14ac:dyDescent="0.3">
      <c r="A47" s="2" t="s">
        <v>118</v>
      </c>
      <c r="B47" s="3" t="s">
        <v>56</v>
      </c>
      <c r="C47" s="201">
        <v>0.05</v>
      </c>
      <c r="D47" s="114" t="s">
        <v>120</v>
      </c>
    </row>
    <row r="48" spans="1:13" x14ac:dyDescent="0.3">
      <c r="B48" s="103"/>
      <c r="C48" s="120"/>
    </row>
    <row r="49" spans="1:12" x14ac:dyDescent="0.3">
      <c r="A49" s="2" t="s">
        <v>243</v>
      </c>
      <c r="B49" s="50" t="s">
        <v>58</v>
      </c>
      <c r="C49" s="127">
        <f>AVERAGE(I49:L49)</f>
        <v>0.38262499999999999</v>
      </c>
      <c r="D49" s="2"/>
      <c r="E49" s="2"/>
      <c r="F49" s="197">
        <v>0.89280000000000004</v>
      </c>
      <c r="G49" s="197">
        <v>0.77510000000000001</v>
      </c>
      <c r="H49" s="197">
        <v>0.7390000000000001</v>
      </c>
      <c r="I49" s="197">
        <v>0.31940000000000002</v>
      </c>
      <c r="J49" s="205">
        <v>0.41799999999999998</v>
      </c>
      <c r="K49" s="205">
        <v>0.48199999999999998</v>
      </c>
      <c r="L49" s="205">
        <v>0.31109999999999999</v>
      </c>
    </row>
    <row r="50" spans="1:12" x14ac:dyDescent="0.3">
      <c r="A50" s="2" t="s">
        <v>241</v>
      </c>
      <c r="B50" s="50" t="s">
        <v>58</v>
      </c>
      <c r="C50" s="127">
        <f>AVERAGE(I50:L50)</f>
        <v>0.26907500000000001</v>
      </c>
      <c r="D50" s="2"/>
      <c r="E50" s="2"/>
      <c r="F50" s="197">
        <v>0.13930000000000001</v>
      </c>
      <c r="G50" s="197">
        <v>1E-4</v>
      </c>
      <c r="H50" s="197" t="s">
        <v>242</v>
      </c>
      <c r="I50" s="197">
        <v>4.0399999999999998E-2</v>
      </c>
      <c r="J50" s="205">
        <v>0.16200000000000001</v>
      </c>
      <c r="K50" s="205">
        <v>0.31459999999999999</v>
      </c>
      <c r="L50" s="205">
        <v>0.55930000000000002</v>
      </c>
    </row>
    <row r="51" spans="1:12" x14ac:dyDescent="0.3">
      <c r="A51" s="2" t="s">
        <v>228</v>
      </c>
      <c r="B51" s="3" t="s">
        <v>56</v>
      </c>
      <c r="C51" s="119">
        <v>0.05</v>
      </c>
      <c r="G51" s="196"/>
      <c r="H51" s="196"/>
      <c r="I51" s="196"/>
      <c r="J51" s="196"/>
    </row>
    <row r="52" spans="1:12" x14ac:dyDescent="0.3">
      <c r="B52" s="198"/>
      <c r="C52" s="120"/>
      <c r="G52" s="196"/>
      <c r="H52" s="196"/>
      <c r="I52" s="196"/>
      <c r="J52" s="196"/>
    </row>
    <row r="53" spans="1:12" x14ac:dyDescent="0.3">
      <c r="A53" s="54" t="s">
        <v>55</v>
      </c>
      <c r="B53" s="50" t="s">
        <v>56</v>
      </c>
      <c r="C53" s="52">
        <v>0.03</v>
      </c>
    </row>
    <row r="54" spans="1:12" x14ac:dyDescent="0.3">
      <c r="A54" s="49" t="s">
        <v>57</v>
      </c>
      <c r="B54" s="50" t="s">
        <v>58</v>
      </c>
      <c r="C54" s="51">
        <f>'Depreciation Schedule'!D55/10^2</f>
        <v>5.1085000000000003</v>
      </c>
    </row>
    <row r="55" spans="1:12" x14ac:dyDescent="0.3">
      <c r="A55" s="49" t="s">
        <v>59</v>
      </c>
      <c r="B55" s="50" t="s">
        <v>58</v>
      </c>
      <c r="C55" s="53">
        <f>+C54*(1+C53)^(C8)</f>
        <v>10.696064553638552</v>
      </c>
    </row>
    <row r="56" spans="1:12" x14ac:dyDescent="0.3">
      <c r="A56" s="49" t="s">
        <v>60</v>
      </c>
      <c r="B56" s="50" t="s">
        <v>58</v>
      </c>
      <c r="C56" s="53">
        <f>+C55-C54</f>
        <v>5.5875645536385514</v>
      </c>
    </row>
    <row r="58" spans="1:12" x14ac:dyDescent="0.3">
      <c r="A58" s="117" t="s">
        <v>121</v>
      </c>
    </row>
    <row r="59" spans="1:12" x14ac:dyDescent="0.3">
      <c r="A59" s="49" t="s">
        <v>122</v>
      </c>
      <c r="B59" s="50" t="s">
        <v>56</v>
      </c>
      <c r="C59" s="99">
        <v>0.25169999999999998</v>
      </c>
    </row>
    <row r="61" spans="1:12" x14ac:dyDescent="0.3">
      <c r="A61" s="118" t="s">
        <v>128</v>
      </c>
      <c r="H61">
        <v>100</v>
      </c>
    </row>
    <row r="63" spans="1:12" x14ac:dyDescent="0.3">
      <c r="A63" s="2" t="s">
        <v>129</v>
      </c>
      <c r="B63" s="2"/>
      <c r="C63" s="2"/>
      <c r="D63" s="2"/>
      <c r="E63" s="2"/>
      <c r="F63" s="95"/>
      <c r="G63" s="95"/>
      <c r="H63" s="95">
        <v>8.6695000000000011</v>
      </c>
      <c r="I63" s="95">
        <v>3.2818000000000001</v>
      </c>
      <c r="J63" s="120">
        <v>0.88419999999999999</v>
      </c>
      <c r="K63" s="120">
        <v>5.9676</v>
      </c>
      <c r="L63" s="120">
        <v>10.273199999999999</v>
      </c>
    </row>
    <row r="64" spans="1:12" x14ac:dyDescent="0.3">
      <c r="A64" s="2" t="s">
        <v>130</v>
      </c>
      <c r="B64" s="2"/>
      <c r="C64" s="2"/>
      <c r="D64" s="2"/>
      <c r="E64" s="2"/>
      <c r="F64" s="128"/>
      <c r="G64" s="128"/>
      <c r="H64" s="95">
        <v>8.2494999999999994</v>
      </c>
      <c r="I64" s="202">
        <v>10.415999999999999</v>
      </c>
      <c r="J64" s="120">
        <v>10.3843</v>
      </c>
      <c r="K64" s="120">
        <v>9.5853000000000002</v>
      </c>
      <c r="L64" s="120">
        <v>10.110900000000001</v>
      </c>
    </row>
    <row r="65" spans="1:13" x14ac:dyDescent="0.3">
      <c r="A65" s="2" t="s">
        <v>133</v>
      </c>
      <c r="B65" s="3" t="s">
        <v>135</v>
      </c>
      <c r="C65" s="2"/>
      <c r="D65" s="2"/>
      <c r="E65" s="2"/>
      <c r="F65" s="95"/>
      <c r="G65" s="95"/>
      <c r="H65" s="95">
        <f>(H63/H64)*H3</f>
        <v>383.58294442087407</v>
      </c>
      <c r="I65" s="95">
        <f>(I63/I64)*I3</f>
        <v>115.0016321044547</v>
      </c>
      <c r="J65" s="95">
        <f>(J63/J64)*J3</f>
        <v>31.164084242558477</v>
      </c>
      <c r="K65" s="95">
        <f>(K63/K64)*K3</f>
        <v>227.24108791587116</v>
      </c>
      <c r="L65" s="95">
        <f>(L63/L64)*L3</f>
        <v>370.85897397857747</v>
      </c>
      <c r="M65" s="53">
        <f>AVERAGE(H65:L65)</f>
        <v>225.56974453246715</v>
      </c>
    </row>
    <row r="68" spans="1:13" x14ac:dyDescent="0.3">
      <c r="A68" s="2" t="s">
        <v>131</v>
      </c>
      <c r="B68" s="2"/>
      <c r="C68" s="2"/>
      <c r="D68" s="2"/>
      <c r="E68" s="2"/>
      <c r="F68" s="95"/>
      <c r="G68" s="95"/>
      <c r="H68" s="95">
        <v>0.4793</v>
      </c>
      <c r="I68" s="95">
        <v>0.19059999999999999</v>
      </c>
      <c r="J68" s="120">
        <v>8.3900000000000002E-2</v>
      </c>
      <c r="K68" s="120">
        <v>0.56920000000000004</v>
      </c>
      <c r="L68" s="120">
        <v>2.8868</v>
      </c>
    </row>
    <row r="69" spans="1:13" x14ac:dyDescent="0.3">
      <c r="A69" s="2" t="s">
        <v>132</v>
      </c>
      <c r="B69" s="2"/>
      <c r="C69" s="2"/>
      <c r="D69" s="2"/>
      <c r="E69" s="2"/>
      <c r="F69" s="197"/>
      <c r="G69" s="197"/>
      <c r="H69" s="197">
        <v>0.47350000000000003</v>
      </c>
      <c r="I69" s="197">
        <v>0.49570000000000003</v>
      </c>
      <c r="J69" s="120">
        <f>J46</f>
        <v>1.6246</v>
      </c>
      <c r="K69" s="120">
        <f>K46</f>
        <v>0.1055</v>
      </c>
      <c r="L69" s="120">
        <f>L46</f>
        <v>2.7988</v>
      </c>
    </row>
    <row r="70" spans="1:13" x14ac:dyDescent="0.3">
      <c r="A70" s="2" t="s">
        <v>134</v>
      </c>
      <c r="B70" s="3" t="s">
        <v>135</v>
      </c>
      <c r="C70" s="2"/>
      <c r="D70" s="2"/>
      <c r="E70" s="2"/>
      <c r="F70" s="95"/>
      <c r="G70" s="95"/>
      <c r="H70" s="95">
        <f>(H68/H69)*H3</f>
        <v>369.47096092925023</v>
      </c>
      <c r="I70" s="95">
        <f>(I68/I69)*I3</f>
        <v>140.34496671373813</v>
      </c>
      <c r="J70" s="95">
        <f>(J68/J69)*J3</f>
        <v>18.901514218884646</v>
      </c>
      <c r="K70" s="95">
        <f>(K68/K69)*K3</f>
        <v>1969.2701421800948</v>
      </c>
      <c r="L70" s="95">
        <f>(L68/L69)*L3</f>
        <v>376.47634700585962</v>
      </c>
      <c r="M70" s="53">
        <f>AVERAGE(H70:L70)</f>
        <v>574.89278620956543</v>
      </c>
    </row>
    <row r="73" spans="1:13" x14ac:dyDescent="0.3">
      <c r="A73" s="2" t="s">
        <v>245</v>
      </c>
      <c r="B73" s="3" t="s">
        <v>58</v>
      </c>
      <c r="C73" s="204">
        <v>0.85029999999999994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2C71-4FBD-4CD6-A46C-DA80B2929621}">
  <dimension ref="B4:AD27"/>
  <sheetViews>
    <sheetView topLeftCell="A4" workbookViewId="0">
      <selection activeCell="N49" sqref="N49"/>
    </sheetView>
  </sheetViews>
  <sheetFormatPr defaultRowHeight="14.4" x14ac:dyDescent="0.3"/>
  <cols>
    <col min="2" max="2" width="29.44140625" bestFit="1" customWidth="1"/>
  </cols>
  <sheetData>
    <row r="4" spans="2:6" x14ac:dyDescent="0.3">
      <c r="B4" s="214"/>
    </row>
    <row r="5" spans="2:6" ht="25.8" thickBot="1" x14ac:dyDescent="0.35">
      <c r="B5" s="214" t="s">
        <v>265</v>
      </c>
      <c r="C5" s="214" t="s">
        <v>266</v>
      </c>
    </row>
    <row r="6" spans="2:6" ht="15" thickBot="1" x14ac:dyDescent="0.35">
      <c r="B6" s="215" t="s">
        <v>190</v>
      </c>
      <c r="C6" s="216">
        <v>43525</v>
      </c>
      <c r="D6" s="216">
        <v>43891</v>
      </c>
      <c r="E6" s="216">
        <v>44256</v>
      </c>
      <c r="F6" s="216">
        <v>44621</v>
      </c>
    </row>
    <row r="7" spans="2:6" ht="15" thickBot="1" x14ac:dyDescent="0.35">
      <c r="B7" s="217"/>
      <c r="C7" s="218"/>
      <c r="D7" s="218"/>
      <c r="E7" s="219"/>
      <c r="F7" s="219"/>
    </row>
    <row r="8" spans="2:6" ht="15" thickBot="1" x14ac:dyDescent="0.35">
      <c r="B8" s="217" t="s">
        <v>179</v>
      </c>
      <c r="C8" s="220">
        <v>10.42</v>
      </c>
      <c r="D8" s="220">
        <v>10.38</v>
      </c>
      <c r="E8" s="220">
        <v>9.58</v>
      </c>
      <c r="F8" s="220">
        <v>10.11</v>
      </c>
    </row>
    <row r="9" spans="2:6" ht="15" thickBot="1" x14ac:dyDescent="0.35">
      <c r="B9" s="217"/>
      <c r="C9" s="219"/>
      <c r="D9" s="219"/>
      <c r="E9" s="219"/>
      <c r="F9" s="219"/>
    </row>
    <row r="10" spans="2:6" ht="15" thickBot="1" x14ac:dyDescent="0.35">
      <c r="B10" s="217" t="s">
        <v>267</v>
      </c>
      <c r="C10" s="220">
        <v>2.87</v>
      </c>
      <c r="D10" s="225">
        <v>2.2000000000000002</v>
      </c>
      <c r="E10" s="220">
        <v>0.9</v>
      </c>
      <c r="F10" s="220">
        <v>3.67</v>
      </c>
    </row>
    <row r="11" spans="2:6" ht="15" thickBot="1" x14ac:dyDescent="0.35">
      <c r="B11" s="217"/>
      <c r="C11" s="218"/>
      <c r="D11" s="218"/>
      <c r="E11" s="219"/>
      <c r="F11" s="219"/>
    </row>
    <row r="12" spans="2:6" ht="15" thickBot="1" x14ac:dyDescent="0.35">
      <c r="B12" s="221" t="s">
        <v>150</v>
      </c>
      <c r="C12" s="222">
        <f>C8-C10</f>
        <v>7.55</v>
      </c>
      <c r="D12" s="222">
        <f t="shared" ref="D12:F12" si="0">D8-D10</f>
        <v>8.18</v>
      </c>
      <c r="E12" s="222">
        <f t="shared" si="0"/>
        <v>8.68</v>
      </c>
      <c r="F12" s="222">
        <f t="shared" si="0"/>
        <v>6.4399999999999995</v>
      </c>
    </row>
    <row r="13" spans="2:6" ht="15" thickBot="1" x14ac:dyDescent="0.35">
      <c r="B13" s="223" t="s">
        <v>151</v>
      </c>
      <c r="C13" s="224">
        <f>C12/C8</f>
        <v>0.72456813819577737</v>
      </c>
      <c r="D13" s="224">
        <f t="shared" ref="D13:F13" si="1">D12/D8</f>
        <v>0.78805394990366084</v>
      </c>
      <c r="E13" s="224">
        <f t="shared" si="1"/>
        <v>0.90605427974947805</v>
      </c>
      <c r="F13" s="224">
        <f t="shared" si="1"/>
        <v>0.63699307616221557</v>
      </c>
    </row>
    <row r="14" spans="2:6" ht="15" thickBot="1" x14ac:dyDescent="0.35">
      <c r="B14" s="217"/>
      <c r="C14" s="219"/>
      <c r="D14" s="219"/>
      <c r="E14" s="219"/>
      <c r="F14" s="219"/>
    </row>
    <row r="15" spans="2:6" ht="15" thickBot="1" x14ac:dyDescent="0.35">
      <c r="B15" s="217" t="s">
        <v>268</v>
      </c>
      <c r="C15" s="220">
        <v>1.58</v>
      </c>
      <c r="D15" s="220">
        <v>1.58</v>
      </c>
      <c r="E15" s="220">
        <v>1.58</v>
      </c>
      <c r="F15" s="220">
        <v>1.57</v>
      </c>
    </row>
    <row r="16" spans="2:6" ht="15" thickBot="1" x14ac:dyDescent="0.35">
      <c r="B16" s="217"/>
      <c r="C16" s="219"/>
      <c r="D16" s="219"/>
      <c r="E16" s="219"/>
      <c r="F16" s="219"/>
    </row>
    <row r="17" spans="2:30" ht="15" thickBot="1" x14ac:dyDescent="0.35">
      <c r="B17" s="221" t="s">
        <v>153</v>
      </c>
      <c r="C17" s="222">
        <f>C12-C15</f>
        <v>5.97</v>
      </c>
      <c r="D17" s="222">
        <f t="shared" ref="D17:F17" si="2">D12-D15</f>
        <v>6.6</v>
      </c>
      <c r="E17" s="222">
        <f t="shared" si="2"/>
        <v>7.1</v>
      </c>
      <c r="F17" s="222">
        <f t="shared" si="2"/>
        <v>4.8699999999999992</v>
      </c>
    </row>
    <row r="18" spans="2:30" ht="15" thickBot="1" x14ac:dyDescent="0.35">
      <c r="B18" s="223" t="s">
        <v>154</v>
      </c>
      <c r="C18" s="224">
        <f>C17/C8</f>
        <v>0.57293666026871404</v>
      </c>
      <c r="D18" s="224">
        <f t="shared" ref="D18:F18" si="3">D17/D8</f>
        <v>0.63583815028901725</v>
      </c>
      <c r="E18" s="224">
        <f t="shared" si="3"/>
        <v>0.74112734864300622</v>
      </c>
      <c r="F18" s="224">
        <f t="shared" si="3"/>
        <v>0.48170128585558847</v>
      </c>
    </row>
    <row r="19" spans="2:30" ht="15" thickBot="1" x14ac:dyDescent="0.35">
      <c r="B19" s="217"/>
      <c r="C19" s="219"/>
      <c r="D19" s="219"/>
      <c r="E19" s="219"/>
      <c r="F19" s="219"/>
      <c r="M19" s="236"/>
      <c r="N19" s="236"/>
      <c r="O19" s="236"/>
      <c r="P19" s="236"/>
      <c r="Q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2:30" ht="15" thickBot="1" x14ac:dyDescent="0.35">
      <c r="B20" s="217" t="s">
        <v>269</v>
      </c>
      <c r="C20" s="220">
        <v>4.41</v>
      </c>
      <c r="D20" s="220">
        <v>4.04</v>
      </c>
      <c r="E20" s="220">
        <v>4.04</v>
      </c>
      <c r="F20" s="225">
        <v>3.66</v>
      </c>
    </row>
    <row r="21" spans="2:30" ht="15" thickBot="1" x14ac:dyDescent="0.35">
      <c r="B21" s="217"/>
      <c r="C21" s="219"/>
      <c r="D21" s="219"/>
      <c r="E21" s="219"/>
      <c r="F21" s="219"/>
    </row>
    <row r="22" spans="2:30" ht="15" thickBot="1" x14ac:dyDescent="0.35">
      <c r="B22" s="221" t="s">
        <v>155</v>
      </c>
      <c r="C22" s="222">
        <f>C17-C20-C21</f>
        <v>1.5599999999999996</v>
      </c>
      <c r="D22" s="222">
        <f t="shared" ref="D22:F22" si="4">D17-D20-D21</f>
        <v>2.5599999999999996</v>
      </c>
      <c r="E22" s="222">
        <f t="shared" si="4"/>
        <v>3.0599999999999996</v>
      </c>
      <c r="F22" s="222">
        <f t="shared" si="4"/>
        <v>1.2099999999999991</v>
      </c>
    </row>
    <row r="23" spans="2:30" ht="15" thickBot="1" x14ac:dyDescent="0.35">
      <c r="B23" s="217"/>
      <c r="C23" s="218"/>
      <c r="D23" s="218"/>
      <c r="E23" s="219"/>
      <c r="F23" s="219"/>
    </row>
    <row r="24" spans="2:30" ht="15" thickBot="1" x14ac:dyDescent="0.35">
      <c r="B24" s="217" t="s">
        <v>270</v>
      </c>
      <c r="C24" s="220">
        <v>0.53</v>
      </c>
      <c r="D24" s="225">
        <f>0.8247-0.0383</f>
        <v>0.78639999999999999</v>
      </c>
      <c r="E24" s="225">
        <f>0.7052-0.0511</f>
        <v>0.65410000000000001</v>
      </c>
      <c r="F24" s="225">
        <f>0.1921-0.0681</f>
        <v>0.124</v>
      </c>
    </row>
    <row r="25" spans="2:30" ht="15" thickBot="1" x14ac:dyDescent="0.35">
      <c r="B25" s="217"/>
      <c r="C25" s="218"/>
      <c r="D25" s="218"/>
      <c r="E25" s="219"/>
      <c r="F25" s="219"/>
    </row>
    <row r="26" spans="2:30" ht="15" thickBot="1" x14ac:dyDescent="0.35">
      <c r="B26" s="221" t="s">
        <v>174</v>
      </c>
      <c r="C26" s="222">
        <f>C22-C24</f>
        <v>1.0299999999999996</v>
      </c>
      <c r="D26" s="226">
        <f>D22-D24</f>
        <v>1.7735999999999996</v>
      </c>
      <c r="E26" s="226">
        <f>E22-E24</f>
        <v>2.4058999999999995</v>
      </c>
      <c r="F26" s="226">
        <f>F22-F24</f>
        <v>1.085999999999999</v>
      </c>
    </row>
    <row r="27" spans="2:30" ht="15" thickBot="1" x14ac:dyDescent="0.35">
      <c r="B27" s="223" t="s">
        <v>175</v>
      </c>
      <c r="C27" s="224">
        <f>C26/C8</f>
        <v>9.8848368522072891E-2</v>
      </c>
      <c r="D27" s="224">
        <f>D26/D8</f>
        <v>0.17086705202312133</v>
      </c>
      <c r="E27" s="224">
        <f>E26/E8</f>
        <v>0.25113778705636736</v>
      </c>
      <c r="F27" s="224">
        <f>F26/F8</f>
        <v>0.10741839762611266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7603-B570-4A01-AE28-8EF851B1702E}">
  <dimension ref="A1:AD94"/>
  <sheetViews>
    <sheetView topLeftCell="Q1" workbookViewId="0">
      <pane ySplit="4" topLeftCell="A5" activePane="bottomLeft" state="frozen"/>
      <selection activeCell="N49" sqref="N49"/>
      <selection pane="bottomLeft" activeCell="N49" sqref="N49"/>
    </sheetView>
  </sheetViews>
  <sheetFormatPr defaultRowHeight="14.4" outlineLevelCol="1" x14ac:dyDescent="0.3"/>
  <cols>
    <col min="1" max="1" width="33.6640625" bestFit="1" customWidth="1"/>
    <col min="2" max="2" width="8" hidden="1" customWidth="1" outlineLevel="1"/>
    <col min="3" max="5" width="14.5546875" hidden="1" customWidth="1" outlineLevel="1"/>
    <col min="6" max="7" width="13.44140625" hidden="1" customWidth="1" outlineLevel="1"/>
    <col min="8" max="8" width="13.5546875" bestFit="1" customWidth="1" outlineLevel="1"/>
    <col min="9" max="10" width="13.44140625" hidden="1" customWidth="1" outlineLevel="1"/>
    <col min="11" max="12" width="13.44140625" hidden="1" customWidth="1"/>
    <col min="13" max="30" width="13.44140625" bestFit="1" customWidth="1"/>
    <col min="31" max="36" width="2" bestFit="1" customWidth="1"/>
  </cols>
  <sheetData>
    <row r="1" spans="1:30" x14ac:dyDescent="0.3">
      <c r="A1" s="2" t="str">
        <f>Assumptions!A1</f>
        <v>Plant Year</v>
      </c>
      <c r="B1" s="2"/>
      <c r="C1" s="2"/>
      <c r="D1" s="3"/>
      <c r="E1" s="3"/>
      <c r="F1" s="3">
        <f>Assumptions!F1</f>
        <v>1</v>
      </c>
      <c r="G1" s="3">
        <f>Assumptions!G1</f>
        <v>2</v>
      </c>
      <c r="H1" s="3">
        <f>Assumptions!H1</f>
        <v>3</v>
      </c>
      <c r="I1" s="3">
        <f>Assumptions!I1</f>
        <v>4</v>
      </c>
      <c r="J1" s="3">
        <f>Assumptions!J1</f>
        <v>5</v>
      </c>
      <c r="K1" s="3">
        <f>Assumptions!K1</f>
        <v>6</v>
      </c>
      <c r="L1" s="3">
        <f>Assumptions!L1</f>
        <v>7</v>
      </c>
      <c r="M1" s="3">
        <f>Assumptions!M1</f>
        <v>8</v>
      </c>
      <c r="N1" s="3">
        <f>Assumptions!N1</f>
        <v>9</v>
      </c>
      <c r="O1" s="3">
        <f>Assumptions!O1</f>
        <v>10</v>
      </c>
      <c r="P1" s="3">
        <f>Assumptions!P1</f>
        <v>11</v>
      </c>
      <c r="Q1" s="3">
        <f>Assumptions!Q1</f>
        <v>12</v>
      </c>
      <c r="R1" s="3">
        <f>Assumptions!R1</f>
        <v>13</v>
      </c>
      <c r="S1" s="3">
        <f>Assumptions!S1</f>
        <v>14</v>
      </c>
      <c r="T1" s="3">
        <f>Assumptions!T1</f>
        <v>15</v>
      </c>
      <c r="U1" s="3">
        <f>Assumptions!U1</f>
        <v>16</v>
      </c>
      <c r="V1" s="3">
        <f>Assumptions!V1</f>
        <v>17</v>
      </c>
      <c r="W1" s="3">
        <f>Assumptions!W1</f>
        <v>18</v>
      </c>
      <c r="X1" s="3">
        <f>Assumptions!X1</f>
        <v>19</v>
      </c>
      <c r="Y1" s="3">
        <f>Assumptions!Y1</f>
        <v>20</v>
      </c>
      <c r="Z1" s="3">
        <f>Assumptions!Z1</f>
        <v>21</v>
      </c>
      <c r="AA1" s="3">
        <f>Assumptions!AA1</f>
        <v>22</v>
      </c>
      <c r="AB1" s="3">
        <f>Assumptions!AB1</f>
        <v>23</v>
      </c>
      <c r="AC1" s="3">
        <f>Assumptions!AC1</f>
        <v>24</v>
      </c>
      <c r="AD1" s="3">
        <f>Assumptions!AD1</f>
        <v>25</v>
      </c>
    </row>
    <row r="2" spans="1:30" x14ac:dyDescent="0.3">
      <c r="A2" s="2" t="str">
        <f>Assumptions!A2</f>
        <v>Projecton Year</v>
      </c>
      <c r="B2" s="2"/>
      <c r="C2" s="2"/>
      <c r="D2" s="2"/>
      <c r="E2" s="2"/>
      <c r="F2" s="2"/>
      <c r="G2" s="2"/>
      <c r="H2" s="2"/>
      <c r="I2" s="2"/>
      <c r="J2" s="3">
        <f>Assumptions!J2</f>
        <v>1</v>
      </c>
      <c r="K2" s="3">
        <f>Assumptions!K2</f>
        <v>2</v>
      </c>
      <c r="L2" s="3">
        <f>Assumptions!L2</f>
        <v>3</v>
      </c>
      <c r="M2" s="3">
        <f>Assumptions!M2</f>
        <v>4</v>
      </c>
      <c r="N2" s="3">
        <f>Assumptions!N2</f>
        <v>5</v>
      </c>
      <c r="O2" s="3">
        <f>Assumptions!O2</f>
        <v>6</v>
      </c>
      <c r="P2" s="3">
        <f>Assumptions!P2</f>
        <v>7</v>
      </c>
      <c r="Q2" s="3">
        <f>Assumptions!Q2</f>
        <v>8</v>
      </c>
      <c r="R2" s="3">
        <f>Assumptions!R2</f>
        <v>9</v>
      </c>
      <c r="S2" s="3">
        <f>Assumptions!S2</f>
        <v>10</v>
      </c>
      <c r="T2" s="3">
        <f>Assumptions!T2</f>
        <v>11</v>
      </c>
      <c r="U2" s="3">
        <f>Assumptions!U2</f>
        <v>12</v>
      </c>
      <c r="V2" s="3">
        <f>Assumptions!V2</f>
        <v>13</v>
      </c>
      <c r="W2" s="3">
        <f>Assumptions!W2</f>
        <v>14</v>
      </c>
      <c r="X2" s="3">
        <f>Assumptions!X2</f>
        <v>15</v>
      </c>
      <c r="Y2" s="3">
        <f>Assumptions!Y2</f>
        <v>16</v>
      </c>
      <c r="Z2" s="3">
        <f>Assumptions!Z2</f>
        <v>17</v>
      </c>
      <c r="AA2" s="3">
        <f>Assumptions!AA2</f>
        <v>18</v>
      </c>
      <c r="AB2" s="3">
        <f>Assumptions!AB2</f>
        <v>19</v>
      </c>
      <c r="AC2" s="3">
        <f>Assumptions!AC2</f>
        <v>20</v>
      </c>
      <c r="AD2" s="3">
        <f>Assumptions!AD2</f>
        <v>21</v>
      </c>
    </row>
    <row r="3" spans="1:30" x14ac:dyDescent="0.3">
      <c r="A3" s="2" t="str">
        <f>Assumptions!A3</f>
        <v>No. of Days</v>
      </c>
      <c r="B3" s="2"/>
      <c r="C3" s="2"/>
      <c r="D3" s="2"/>
      <c r="E3" s="2"/>
      <c r="F3" s="2"/>
      <c r="G3" s="2"/>
      <c r="H3" s="2"/>
      <c r="I3" s="2"/>
      <c r="J3" s="3">
        <f>Assumptions!J3</f>
        <v>366</v>
      </c>
      <c r="K3" s="3">
        <f>Assumptions!K3</f>
        <v>365</v>
      </c>
      <c r="L3" s="3">
        <f>Assumptions!L3</f>
        <v>365</v>
      </c>
      <c r="M3" s="3">
        <f>Assumptions!M3</f>
        <v>365</v>
      </c>
      <c r="N3" s="3">
        <f>Assumptions!N3</f>
        <v>366</v>
      </c>
      <c r="O3" s="3">
        <f>Assumptions!O3</f>
        <v>365</v>
      </c>
      <c r="P3" s="3">
        <f>Assumptions!P3</f>
        <v>365</v>
      </c>
      <c r="Q3" s="3">
        <f>Assumptions!Q3</f>
        <v>365</v>
      </c>
      <c r="R3" s="3">
        <f>Assumptions!R3</f>
        <v>366</v>
      </c>
      <c r="S3" s="3">
        <f>Assumptions!S3</f>
        <v>365</v>
      </c>
      <c r="T3" s="3">
        <f>Assumptions!T3</f>
        <v>365</v>
      </c>
      <c r="U3" s="3">
        <f>Assumptions!U3</f>
        <v>365</v>
      </c>
      <c r="V3" s="3">
        <f>Assumptions!V3</f>
        <v>366</v>
      </c>
      <c r="W3" s="3">
        <f>Assumptions!W3</f>
        <v>365</v>
      </c>
      <c r="X3" s="3">
        <f>Assumptions!X3</f>
        <v>365</v>
      </c>
      <c r="Y3" s="3">
        <f>Assumptions!Y3</f>
        <v>365</v>
      </c>
      <c r="Z3" s="3">
        <f>Assumptions!Z3</f>
        <v>366</v>
      </c>
      <c r="AA3" s="3">
        <f>Assumptions!AA3</f>
        <v>365</v>
      </c>
      <c r="AB3" s="3">
        <f>Assumptions!AB3</f>
        <v>365</v>
      </c>
      <c r="AC3" s="3">
        <f>Assumptions!AC3</f>
        <v>365</v>
      </c>
      <c r="AD3" s="3">
        <f>Assumptions!AD3</f>
        <v>366</v>
      </c>
    </row>
    <row r="4" spans="1:30" x14ac:dyDescent="0.3">
      <c r="A4" s="2" t="str">
        <f>Assumptions!A4</f>
        <v>Year End</v>
      </c>
      <c r="B4" s="123"/>
      <c r="C4" s="123"/>
      <c r="D4" s="123"/>
      <c r="E4" s="123"/>
      <c r="F4" s="4">
        <f>Assumptions!F4</f>
        <v>42460</v>
      </c>
      <c r="G4" s="4">
        <f>Assumptions!G4</f>
        <v>42825</v>
      </c>
      <c r="H4" s="4">
        <f>Assumptions!H4</f>
        <v>43190</v>
      </c>
      <c r="I4" s="4">
        <f>Assumptions!I4</f>
        <v>43555</v>
      </c>
      <c r="J4" s="4">
        <f>Assumptions!J4</f>
        <v>43921</v>
      </c>
      <c r="K4" s="4">
        <f>Assumptions!K4</f>
        <v>44286</v>
      </c>
      <c r="L4" s="4">
        <f>Assumptions!L4</f>
        <v>44651</v>
      </c>
      <c r="M4" s="4">
        <f>Assumptions!M4</f>
        <v>45016</v>
      </c>
      <c r="N4" s="4">
        <f>Assumptions!N4</f>
        <v>45382</v>
      </c>
      <c r="O4" s="4">
        <f>Assumptions!O4</f>
        <v>45747</v>
      </c>
      <c r="P4" s="4">
        <f>Assumptions!P4</f>
        <v>46112</v>
      </c>
      <c r="Q4" s="4">
        <f>Assumptions!Q4</f>
        <v>46477</v>
      </c>
      <c r="R4" s="4">
        <f>Assumptions!R4</f>
        <v>46843</v>
      </c>
      <c r="S4" s="4">
        <f>Assumptions!S4</f>
        <v>47208</v>
      </c>
      <c r="T4" s="4">
        <f>Assumptions!T4</f>
        <v>47573</v>
      </c>
      <c r="U4" s="4">
        <f>Assumptions!U4</f>
        <v>47938</v>
      </c>
      <c r="V4" s="4">
        <f>Assumptions!V4</f>
        <v>48304</v>
      </c>
      <c r="W4" s="4">
        <f>Assumptions!W4</f>
        <v>48669</v>
      </c>
      <c r="X4" s="4">
        <f>Assumptions!X4</f>
        <v>49034</v>
      </c>
      <c r="Y4" s="4">
        <f>Assumptions!Y4</f>
        <v>49399</v>
      </c>
      <c r="Z4" s="4">
        <f>Assumptions!Z4</f>
        <v>49765</v>
      </c>
      <c r="AA4" s="4">
        <f>Assumptions!AA4</f>
        <v>50130</v>
      </c>
      <c r="AB4" s="4">
        <f>Assumptions!AB4</f>
        <v>50495</v>
      </c>
      <c r="AC4" s="4">
        <f>Assumptions!AC4</f>
        <v>50860</v>
      </c>
      <c r="AD4" s="4">
        <f>Assumptions!AD4</f>
        <v>51226</v>
      </c>
    </row>
    <row r="5" spans="1:30" x14ac:dyDescent="0.3">
      <c r="B5" s="125"/>
    </row>
    <row r="6" spans="1:30" x14ac:dyDescent="0.3">
      <c r="A6" s="132" t="s">
        <v>141</v>
      </c>
      <c r="B6" s="130"/>
      <c r="C6" s="129"/>
      <c r="D6" s="129"/>
      <c r="E6" s="129"/>
      <c r="F6" s="129"/>
      <c r="G6" s="129"/>
      <c r="H6" s="129"/>
      <c r="I6" s="129"/>
      <c r="J6" s="131"/>
      <c r="K6" s="131"/>
      <c r="L6" s="131"/>
      <c r="M6" s="131">
        <f>Assumptions!$C$19</f>
        <v>0.22</v>
      </c>
      <c r="N6" s="131">
        <f>Assumptions!$C$19</f>
        <v>0.22</v>
      </c>
      <c r="O6" s="131">
        <f>Assumptions!$C$19</f>
        <v>0.22</v>
      </c>
      <c r="P6" s="131">
        <f>Assumptions!$C$19</f>
        <v>0.22</v>
      </c>
      <c r="Q6" s="131">
        <f>Assumptions!$C$19</f>
        <v>0.22</v>
      </c>
      <c r="R6" s="129"/>
      <c r="S6" s="131"/>
      <c r="T6" s="131"/>
      <c r="U6" s="131"/>
      <c r="V6" s="131">
        <f>Assumptions!$C$19</f>
        <v>0.22</v>
      </c>
      <c r="W6" s="131">
        <f>Assumptions!$C$19</f>
        <v>0.22</v>
      </c>
      <c r="X6" s="131">
        <f>Assumptions!$C$19</f>
        <v>0.22</v>
      </c>
      <c r="Y6" s="131">
        <f>Assumptions!$C$19</f>
        <v>0.22</v>
      </c>
      <c r="Z6" s="131">
        <f>Assumptions!$C$19</f>
        <v>0.22</v>
      </c>
      <c r="AA6" s="131">
        <f>Assumptions!$C$19</f>
        <v>0.22</v>
      </c>
      <c r="AB6" s="131">
        <f>Assumptions!$C$19</f>
        <v>0.22</v>
      </c>
      <c r="AC6" s="131">
        <f>Assumptions!$C$19</f>
        <v>0.22</v>
      </c>
      <c r="AD6" s="131">
        <f>Assumptions!$C$19</f>
        <v>0.22</v>
      </c>
    </row>
    <row r="8" spans="1:30" x14ac:dyDescent="0.3">
      <c r="A8" s="111" t="s">
        <v>136</v>
      </c>
    </row>
    <row r="9" spans="1:30" x14ac:dyDescent="0.3">
      <c r="A9" s="2" t="s">
        <v>137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>(Assumptions!$C$18*M6)*(24*'RKA P&amp;L'!M3*1000)</f>
        <v>11563200</v>
      </c>
      <c r="N9" s="2">
        <f>(Assumptions!$C$18*N6)*(24*'RKA P&amp;L'!N3*1000)</f>
        <v>11594880</v>
      </c>
      <c r="O9" s="2">
        <f>(Assumptions!$C$18*O6)*(24*'RKA P&amp;L'!O3*1000)</f>
        <v>11563200</v>
      </c>
      <c r="P9" s="2">
        <f>(Assumptions!$C$18*P6)*(24*'RKA P&amp;L'!P3*1000)</f>
        <v>11563200</v>
      </c>
      <c r="Q9" s="2">
        <f>(Assumptions!$C$18*Q6)*(24*'RKA P&amp;L'!Q3*1000)</f>
        <v>11563200</v>
      </c>
      <c r="R9" s="2"/>
      <c r="S9" s="2"/>
      <c r="T9" s="2"/>
      <c r="U9" s="2"/>
      <c r="V9" s="2">
        <f>(Assumptions!$C$18*V6)*(24*'RKA P&amp;L'!V3*1000)</f>
        <v>11594880</v>
      </c>
      <c r="W9" s="2">
        <f>(Assumptions!$C$18*W6)*(24*'RKA P&amp;L'!W3*1000)</f>
        <v>11563200</v>
      </c>
      <c r="X9" s="2">
        <f>(Assumptions!$C$18*X6)*(24*'RKA P&amp;L'!X3*1000)</f>
        <v>11563200</v>
      </c>
      <c r="Y9" s="2">
        <f>(Assumptions!$C$18*Y6)*(24*'RKA P&amp;L'!Y3*1000)</f>
        <v>11563200</v>
      </c>
      <c r="Z9" s="2">
        <f>(Assumptions!$C$18*Z6)*(24*'RKA P&amp;L'!Z3*1000)</f>
        <v>11594880</v>
      </c>
      <c r="AA9" s="2">
        <f>(Assumptions!$C$18*AA6)*(24*'RKA P&amp;L'!AA3*1000)</f>
        <v>11563200</v>
      </c>
      <c r="AB9" s="2">
        <f>(Assumptions!$C$18*AB6)*(24*'RKA P&amp;L'!AB3*1000)</f>
        <v>11563200</v>
      </c>
      <c r="AC9" s="2">
        <f>(Assumptions!$C$18*AC6)*(24*'RKA P&amp;L'!AC3*1000)</f>
        <v>11563200</v>
      </c>
      <c r="AD9" s="2">
        <f>(Assumptions!$C$18*AD6)*(24*'RKA P&amp;L'!AD3*1000)</f>
        <v>11594880</v>
      </c>
    </row>
    <row r="10" spans="1:30" x14ac:dyDescent="0.3">
      <c r="A10" s="2" t="str">
        <f>Assumptions!A21</f>
        <v>Auxiliary Consumption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>M9*Assumptions!$C$21</f>
        <v>5781.6</v>
      </c>
      <c r="N10" s="2">
        <f>N9*Assumptions!$C$21</f>
        <v>5797.4400000000005</v>
      </c>
      <c r="O10" s="2">
        <f>O9*Assumptions!$C$21</f>
        <v>5781.6</v>
      </c>
      <c r="P10" s="2">
        <f>P9*Assumptions!$C$21</f>
        <v>5781.6</v>
      </c>
      <c r="Q10" s="2">
        <f>Q9*Assumptions!$C$21</f>
        <v>5781.6</v>
      </c>
      <c r="R10" s="2"/>
      <c r="S10" s="2"/>
      <c r="T10" s="2"/>
      <c r="U10" s="2"/>
      <c r="V10" s="2">
        <f>V9*Assumptions!$C$21</f>
        <v>5797.4400000000005</v>
      </c>
      <c r="W10" s="2">
        <f>W9*Assumptions!$C$21</f>
        <v>5781.6</v>
      </c>
      <c r="X10" s="2">
        <f>X9*Assumptions!$C$21</f>
        <v>5781.6</v>
      </c>
      <c r="Y10" s="2">
        <f>Y9*Assumptions!$C$21</f>
        <v>5781.6</v>
      </c>
      <c r="Z10" s="2">
        <f>Z9*Assumptions!$C$21</f>
        <v>5797.4400000000005</v>
      </c>
      <c r="AA10" s="2">
        <f>AA9*Assumptions!$C$21</f>
        <v>5781.6</v>
      </c>
      <c r="AB10" s="2">
        <f>AB9*Assumptions!$C$21</f>
        <v>5781.6</v>
      </c>
      <c r="AC10" s="2">
        <f>AC9*Assumptions!$C$21</f>
        <v>5781.6</v>
      </c>
      <c r="AD10" s="2">
        <f>AD9*Assumptions!$C$21</f>
        <v>5797.4400000000005</v>
      </c>
    </row>
    <row r="11" spans="1:30" x14ac:dyDescent="0.3">
      <c r="A11" s="101" t="s">
        <v>138</v>
      </c>
      <c r="B11" s="2"/>
      <c r="C11" s="2"/>
      <c r="D11" s="2"/>
      <c r="E11" s="2"/>
      <c r="F11" s="2"/>
      <c r="G11" s="2"/>
      <c r="H11" s="2"/>
      <c r="I11" s="2"/>
      <c r="J11" s="101"/>
      <c r="K11" s="101"/>
      <c r="L11" s="101"/>
      <c r="M11" s="101">
        <f t="shared" ref="M11:AB11" si="0">M9-M10</f>
        <v>11557418.4</v>
      </c>
      <c r="N11" s="101">
        <f t="shared" si="0"/>
        <v>11589082.560000001</v>
      </c>
      <c r="O11" s="101">
        <f t="shared" si="0"/>
        <v>11557418.4</v>
      </c>
      <c r="P11" s="101">
        <f t="shared" si="0"/>
        <v>11557418.4</v>
      </c>
      <c r="Q11" s="101">
        <f t="shared" si="0"/>
        <v>11557418.4</v>
      </c>
      <c r="R11" s="2"/>
      <c r="S11" s="101"/>
      <c r="T11" s="101"/>
      <c r="U11" s="101"/>
      <c r="V11" s="101">
        <f t="shared" ref="V11:Z11" si="1">V9-V10</f>
        <v>11589082.560000001</v>
      </c>
      <c r="W11" s="101">
        <f t="shared" si="1"/>
        <v>11557418.4</v>
      </c>
      <c r="X11" s="101">
        <f t="shared" si="1"/>
        <v>11557418.4</v>
      </c>
      <c r="Y11" s="101">
        <f t="shared" si="1"/>
        <v>11557418.4</v>
      </c>
      <c r="Z11" s="101">
        <f t="shared" si="1"/>
        <v>11589082.560000001</v>
      </c>
      <c r="AA11" s="101">
        <f t="shared" si="0"/>
        <v>11557418.4</v>
      </c>
      <c r="AB11" s="101">
        <f t="shared" si="0"/>
        <v>11557418.4</v>
      </c>
      <c r="AC11" s="101">
        <f t="shared" ref="AC11:AD11" si="2">AC9-AC10</f>
        <v>11557418.4</v>
      </c>
      <c r="AD11" s="101">
        <f t="shared" si="2"/>
        <v>11589082.560000001</v>
      </c>
    </row>
    <row r="13" spans="1:30" x14ac:dyDescent="0.3">
      <c r="A13" s="101" t="s">
        <v>139</v>
      </c>
      <c r="B13" s="128"/>
      <c r="C13" s="128"/>
      <c r="D13" s="128"/>
      <c r="E13" s="128"/>
      <c r="F13" s="128"/>
      <c r="G13" s="128"/>
      <c r="H13" s="128"/>
      <c r="I13" s="128"/>
      <c r="J13" s="127"/>
      <c r="K13" s="127"/>
      <c r="L13" s="127"/>
      <c r="M13" s="127">
        <f>Assumptions!M27</f>
        <v>5.7</v>
      </c>
      <c r="N13" s="127">
        <f>Assumptions!N27</f>
        <v>5.7</v>
      </c>
      <c r="O13" s="127">
        <f>Assumptions!O27</f>
        <v>5.7</v>
      </c>
      <c r="P13" s="127">
        <f>Assumptions!P27</f>
        <v>5.7</v>
      </c>
      <c r="Q13" s="127">
        <f>Assumptions!Q27</f>
        <v>5.7</v>
      </c>
      <c r="R13" s="128"/>
      <c r="S13" s="127"/>
      <c r="T13" s="127"/>
      <c r="U13" s="127"/>
      <c r="V13" s="127">
        <f>Assumptions!V27</f>
        <v>2.75</v>
      </c>
      <c r="W13" s="127">
        <f>Assumptions!W27</f>
        <v>2.75</v>
      </c>
      <c r="X13" s="127">
        <f>Assumptions!X27</f>
        <v>2.75</v>
      </c>
      <c r="Y13" s="127">
        <f>Assumptions!Y27</f>
        <v>2.75</v>
      </c>
      <c r="Z13" s="127">
        <f>Assumptions!Z27</f>
        <v>2.75</v>
      </c>
      <c r="AA13" s="127">
        <f>Assumptions!AA27</f>
        <v>2.75</v>
      </c>
      <c r="AB13" s="127">
        <f>Assumptions!AB27</f>
        <v>2.75</v>
      </c>
      <c r="AC13" s="127">
        <f>Assumptions!AC27</f>
        <v>2.75</v>
      </c>
      <c r="AD13" s="127">
        <f>Assumptions!AD27</f>
        <v>2.75</v>
      </c>
    </row>
    <row r="15" spans="1:30" x14ac:dyDescent="0.3">
      <c r="A15" s="111" t="s">
        <v>140</v>
      </c>
    </row>
    <row r="16" spans="1:30" x14ac:dyDescent="0.3">
      <c r="A16" s="2" t="s">
        <v>224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3">
      <c r="A17" s="148" t="s">
        <v>222</v>
      </c>
      <c r="B17" s="2"/>
      <c r="C17" s="2"/>
      <c r="D17" s="2"/>
      <c r="E17" s="2"/>
      <c r="F17" s="2"/>
      <c r="G17" s="2"/>
      <c r="H17" s="2"/>
      <c r="I17" s="2"/>
      <c r="J17" s="95"/>
      <c r="K17" s="95"/>
      <c r="L17" s="95"/>
      <c r="M17" s="95">
        <f t="shared" ref="M17:AB17" si="3">(M11*M13)/(10^7)</f>
        <v>6.5877284880000007</v>
      </c>
      <c r="N17" s="95">
        <f t="shared" si="3"/>
        <v>6.6057770592000011</v>
      </c>
      <c r="O17" s="95">
        <f t="shared" si="3"/>
        <v>6.5877284880000007</v>
      </c>
      <c r="P17" s="95">
        <f t="shared" si="3"/>
        <v>6.5877284880000007</v>
      </c>
      <c r="Q17" s="95">
        <f t="shared" si="3"/>
        <v>6.5877284880000007</v>
      </c>
      <c r="R17" s="2"/>
      <c r="S17" s="95"/>
      <c r="T17" s="95"/>
      <c r="U17" s="95"/>
      <c r="V17" s="95">
        <f t="shared" ref="V17:Z17" si="4">(V11*V13)/(10^7)</f>
        <v>3.1869977040000004</v>
      </c>
      <c r="W17" s="95">
        <f t="shared" si="4"/>
        <v>3.1782900600000001</v>
      </c>
      <c r="X17" s="95">
        <f t="shared" si="4"/>
        <v>3.1782900600000001</v>
      </c>
      <c r="Y17" s="95">
        <f t="shared" si="4"/>
        <v>3.1782900600000001</v>
      </c>
      <c r="Z17" s="95">
        <f t="shared" si="4"/>
        <v>3.1869977040000004</v>
      </c>
      <c r="AA17" s="95">
        <f t="shared" si="3"/>
        <v>3.1782900600000001</v>
      </c>
      <c r="AB17" s="95">
        <f t="shared" si="3"/>
        <v>3.1782900600000001</v>
      </c>
      <c r="AC17" s="95">
        <f t="shared" ref="AC17:AD17" si="5">(AC11*AC13)/(10^7)</f>
        <v>3.1782900600000001</v>
      </c>
      <c r="AD17" s="95">
        <f t="shared" si="5"/>
        <v>3.1869977040000004</v>
      </c>
    </row>
    <row r="18" spans="1:30" ht="15" thickBot="1" x14ac:dyDescent="0.35">
      <c r="A18" s="148" t="s">
        <v>223</v>
      </c>
      <c r="B18" s="2"/>
      <c r="C18" s="2"/>
      <c r="D18" s="2"/>
      <c r="E18" s="2"/>
      <c r="F18" s="2"/>
      <c r="G18" s="2"/>
      <c r="H18" s="2"/>
      <c r="I18" s="2"/>
      <c r="J18" s="191"/>
      <c r="K18" s="191"/>
      <c r="L18" s="191"/>
      <c r="M18" s="191">
        <f>(M11*Assumptions!$C$28)/(10^7)</f>
        <v>0.57787092000000007</v>
      </c>
      <c r="N18" s="191">
        <f>(N11*Assumptions!$C$28)/(10^7)</f>
        <v>0.57945412800000007</v>
      </c>
      <c r="O18" s="191">
        <f>(O11*Assumptions!$C$28)/(10^7)</f>
        <v>0.57787092000000007</v>
      </c>
      <c r="P18" s="149">
        <v>0</v>
      </c>
      <c r="Q18" s="149">
        <v>0</v>
      </c>
      <c r="R18" s="2"/>
      <c r="S18" s="191"/>
      <c r="T18" s="191"/>
      <c r="U18" s="191"/>
      <c r="V18" s="191">
        <f>(V11*Assumptions!$C$28)/(10^7)</f>
        <v>0.57945412800000007</v>
      </c>
      <c r="W18" s="191">
        <f>(W11*Assumptions!$C$28)/(10^7)</f>
        <v>0.57787092000000007</v>
      </c>
      <c r="X18" s="191">
        <f>(X11*Assumptions!$C$28)/(10^7)</f>
        <v>0.57787092000000007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</row>
    <row r="19" spans="1:30" x14ac:dyDescent="0.3">
      <c r="A19" s="148"/>
      <c r="B19" s="2"/>
      <c r="C19" s="2"/>
      <c r="D19" s="2"/>
      <c r="E19" s="2"/>
      <c r="F19" s="2"/>
      <c r="G19" s="2"/>
      <c r="H19" s="2"/>
      <c r="I19" s="2"/>
      <c r="J19" s="192"/>
      <c r="K19" s="192"/>
      <c r="L19" s="192"/>
      <c r="M19" s="193">
        <f t="shared" ref="M19:AD19" si="6">SUM(M17:M18)</f>
        <v>7.1655994080000003</v>
      </c>
      <c r="N19" s="193">
        <f t="shared" si="6"/>
        <v>7.1852311872000012</v>
      </c>
      <c r="O19" s="193">
        <f t="shared" si="6"/>
        <v>7.1655994080000003</v>
      </c>
      <c r="P19" s="193">
        <f t="shared" si="6"/>
        <v>6.5877284880000007</v>
      </c>
      <c r="Q19" s="193">
        <f t="shared" si="6"/>
        <v>6.5877284880000007</v>
      </c>
      <c r="R19" s="2"/>
      <c r="S19" s="192"/>
      <c r="T19" s="192"/>
      <c r="U19" s="192"/>
      <c r="V19" s="193">
        <f t="shared" ref="V19:Z19" si="7">SUM(V17:V18)</f>
        <v>3.7664518320000004</v>
      </c>
      <c r="W19" s="193">
        <f t="shared" si="7"/>
        <v>3.7561609800000002</v>
      </c>
      <c r="X19" s="193">
        <f t="shared" si="7"/>
        <v>3.7561609800000002</v>
      </c>
      <c r="Y19" s="193">
        <f t="shared" si="7"/>
        <v>3.1782900600000001</v>
      </c>
      <c r="Z19" s="193">
        <f t="shared" si="7"/>
        <v>3.1869977040000004</v>
      </c>
      <c r="AA19" s="193">
        <f t="shared" si="6"/>
        <v>3.1782900600000001</v>
      </c>
      <c r="AB19" s="193">
        <f t="shared" si="6"/>
        <v>3.1782900600000001</v>
      </c>
      <c r="AC19" s="193">
        <f t="shared" si="6"/>
        <v>3.1782900600000001</v>
      </c>
      <c r="AD19" s="193">
        <f t="shared" si="6"/>
        <v>3.1869977040000004</v>
      </c>
    </row>
    <row r="20" spans="1:30" x14ac:dyDescent="0.3">
      <c r="A20" s="190" t="s">
        <v>225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3">
      <c r="A21" s="148" t="s">
        <v>144</v>
      </c>
      <c r="B21" s="2"/>
      <c r="C21" s="2"/>
      <c r="D21" s="2"/>
      <c r="E21" s="2"/>
      <c r="F21" s="2"/>
      <c r="G21" s="2"/>
      <c r="H21" s="2"/>
      <c r="I21" s="2"/>
      <c r="J21" s="149"/>
      <c r="K21" s="149"/>
      <c r="L21" s="149"/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2"/>
      <c r="S21" s="149"/>
      <c r="T21" s="149"/>
      <c r="U21" s="149"/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95">
        <f>Assumptions!C56</f>
        <v>5.5875645536385514</v>
      </c>
    </row>
    <row r="22" spans="1:30" x14ac:dyDescent="0.3">
      <c r="A22" s="101" t="s">
        <v>145</v>
      </c>
      <c r="B22" s="2"/>
      <c r="C22" s="2"/>
      <c r="D22" s="2"/>
      <c r="E22" s="2"/>
      <c r="F22" s="2"/>
      <c r="G22" s="2"/>
      <c r="H22" s="2"/>
      <c r="I22" s="2"/>
      <c r="J22" s="127"/>
      <c r="K22" s="127"/>
      <c r="L22" s="127"/>
      <c r="M22" s="127">
        <f t="shared" ref="M22:AD22" si="8">SUM(M19:M21)</f>
        <v>7.1655994080000003</v>
      </c>
      <c r="N22" s="127">
        <f t="shared" si="8"/>
        <v>7.1852311872000012</v>
      </c>
      <c r="O22" s="127">
        <f t="shared" si="8"/>
        <v>7.1655994080000003</v>
      </c>
      <c r="P22" s="127">
        <f t="shared" si="8"/>
        <v>6.5877284880000007</v>
      </c>
      <c r="Q22" s="127">
        <f t="shared" si="8"/>
        <v>6.5877284880000007</v>
      </c>
      <c r="R22" s="127">
        <f t="shared" si="8"/>
        <v>0</v>
      </c>
      <c r="S22" s="127">
        <f t="shared" si="8"/>
        <v>0</v>
      </c>
      <c r="T22" s="127">
        <f t="shared" si="8"/>
        <v>0</v>
      </c>
      <c r="U22" s="127">
        <f t="shared" si="8"/>
        <v>0</v>
      </c>
      <c r="V22" s="127">
        <f t="shared" si="8"/>
        <v>3.7664518320000004</v>
      </c>
      <c r="W22" s="127">
        <f t="shared" si="8"/>
        <v>3.7561609800000002</v>
      </c>
      <c r="X22" s="127">
        <f t="shared" si="8"/>
        <v>3.7561609800000002</v>
      </c>
      <c r="Y22" s="127">
        <f t="shared" si="8"/>
        <v>3.1782900600000001</v>
      </c>
      <c r="Z22" s="127">
        <f t="shared" si="8"/>
        <v>3.1869977040000004</v>
      </c>
      <c r="AA22" s="127">
        <f t="shared" si="8"/>
        <v>3.1782900600000001</v>
      </c>
      <c r="AB22" s="127">
        <f t="shared" si="8"/>
        <v>3.1782900600000001</v>
      </c>
      <c r="AC22" s="127">
        <f t="shared" si="8"/>
        <v>3.1782900600000001</v>
      </c>
      <c r="AD22" s="127">
        <f t="shared" si="8"/>
        <v>8.7745622576385518</v>
      </c>
    </row>
    <row r="23" spans="1:30" x14ac:dyDescent="0.3">
      <c r="A23" s="55" t="s">
        <v>146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3">
      <c r="A24" s="148" t="s">
        <v>147</v>
      </c>
      <c r="B24" s="2"/>
      <c r="C24" s="2"/>
      <c r="D24" s="2"/>
      <c r="E24" s="2"/>
      <c r="F24" s="2"/>
      <c r="G24" s="2"/>
      <c r="H24" s="2"/>
      <c r="I24" s="2"/>
      <c r="J24" s="95"/>
      <c r="K24" s="95"/>
      <c r="L24" s="95"/>
      <c r="M24" s="95">
        <f>Assumptions!C43*(1+Assumptions!$C$44)</f>
        <v>0.48636000000000007</v>
      </c>
      <c r="N24" s="95">
        <f>M24*(1+Assumptions!$C$44)</f>
        <v>0.51067800000000008</v>
      </c>
      <c r="O24" s="95">
        <f>N24*(1+Assumptions!$C$44)</f>
        <v>0.53621190000000007</v>
      </c>
      <c r="P24" s="95">
        <f>O24*(1+Assumptions!$C$44)</f>
        <v>0.56302249500000012</v>
      </c>
      <c r="Q24" s="95">
        <f>P24*(1+Assumptions!$C$44)</f>
        <v>0.59117361975000016</v>
      </c>
      <c r="R24" s="95">
        <f>Q24*(1+Assumptions!$C$44)</f>
        <v>0.62073230073750019</v>
      </c>
      <c r="S24" s="95">
        <f>R24*(1+Assumptions!$C$44)</f>
        <v>0.65176891577437523</v>
      </c>
      <c r="T24" s="95">
        <f>S24*(1+Assumptions!$C$44)</f>
        <v>0.68435736156309401</v>
      </c>
      <c r="U24" s="95">
        <f>T24*(1+Assumptions!$C$44)</f>
        <v>0.71857522964124876</v>
      </c>
      <c r="V24" s="95">
        <f>U24*(1+Assumptions!$C$44)</f>
        <v>0.75450399112331124</v>
      </c>
      <c r="W24" s="95">
        <f>V24*(1+Assumptions!$C$44)</f>
        <v>0.79222919067947684</v>
      </c>
      <c r="X24" s="95">
        <f>W24*(1+Assumptions!$C$44)</f>
        <v>0.83184065021345066</v>
      </c>
      <c r="Y24" s="95">
        <f>X24*(1+Assumptions!$C$44)</f>
        <v>0.87343268272412322</v>
      </c>
      <c r="Z24" s="95">
        <f>Y24*(1+Assumptions!$C$44)</f>
        <v>0.91710431686032945</v>
      </c>
      <c r="AA24" s="95">
        <f>Z24*(1+Assumptions!$C$44)</f>
        <v>0.962959532703346</v>
      </c>
      <c r="AB24" s="95">
        <f>AA24*(1+Assumptions!$C$44)</f>
        <v>1.0111075093385133</v>
      </c>
      <c r="AC24" s="95">
        <f>AB24*(1+Assumptions!$C$44)</f>
        <v>1.061662884805439</v>
      </c>
      <c r="AD24" s="95">
        <f>AC24*(1+Assumptions!$C$44)</f>
        <v>1.114746029045711</v>
      </c>
    </row>
    <row r="25" spans="1:30" x14ac:dyDescent="0.3">
      <c r="A25" s="148" t="str">
        <f>Assumptions!A50</f>
        <v>Employee Benefit Expenses</v>
      </c>
      <c r="B25" s="2"/>
      <c r="C25" s="2"/>
      <c r="D25" s="2"/>
      <c r="E25" s="2"/>
      <c r="F25" s="2"/>
      <c r="G25" s="2"/>
      <c r="H25" s="2"/>
      <c r="I25" s="2"/>
      <c r="J25" s="203"/>
      <c r="K25" s="203"/>
      <c r="L25" s="203"/>
      <c r="M25" s="203">
        <f>Assumptions!C50*(1+Assumptions!$C$51)</f>
        <v>0.28252875</v>
      </c>
      <c r="N25" s="203">
        <f>M25*(1+Assumptions!$C$51)</f>
        <v>0.29665518750000003</v>
      </c>
      <c r="O25" s="203">
        <f>N25*(1+Assumptions!$C$51)</f>
        <v>0.31148794687500003</v>
      </c>
      <c r="P25" s="203">
        <f>O25*(1+Assumptions!$C$51)</f>
        <v>0.32706234421875002</v>
      </c>
      <c r="Q25" s="203">
        <f>P25*(1+Assumptions!$C$51)</f>
        <v>0.34341546142968754</v>
      </c>
      <c r="R25" s="203">
        <f>Q25*(1+Assumptions!$C$51)</f>
        <v>0.36058623450117194</v>
      </c>
      <c r="S25" s="203">
        <f>R25*(1+Assumptions!$C$51)</f>
        <v>0.37861554622623056</v>
      </c>
      <c r="T25" s="203">
        <f>S25*(1+Assumptions!$C$51)</f>
        <v>0.3975463235375421</v>
      </c>
      <c r="U25" s="203">
        <f>T25*(1+Assumptions!$C$51)</f>
        <v>0.4174236397144192</v>
      </c>
      <c r="V25" s="203">
        <f>U25*(1+Assumptions!$C$51)</f>
        <v>0.43829482170014017</v>
      </c>
      <c r="W25" s="203">
        <f>V25*(1+Assumptions!$C$51)</f>
        <v>0.46020956278514719</v>
      </c>
      <c r="X25" s="203">
        <f>W25*(1+Assumptions!$C$51)</f>
        <v>0.48322004092440457</v>
      </c>
      <c r="Y25" s="203">
        <f>X25*(1+Assumptions!$C$51)</f>
        <v>0.50738104297062481</v>
      </c>
      <c r="Z25" s="203">
        <f>Y25*(1+Assumptions!$C$51)</f>
        <v>0.53275009511915605</v>
      </c>
      <c r="AA25" s="203">
        <f>Z25*(1+Assumptions!$C$51)</f>
        <v>0.55938759987511388</v>
      </c>
      <c r="AB25" s="203">
        <f>AA25*(1+Assumptions!$C$51)</f>
        <v>0.58735697986886959</v>
      </c>
      <c r="AC25" s="203">
        <f>AB25*(1+Assumptions!$C$51)</f>
        <v>0.61672482886231306</v>
      </c>
      <c r="AD25" s="203">
        <f>AC25*(1+Assumptions!$C$51)</f>
        <v>0.64756107030542875</v>
      </c>
    </row>
    <row r="26" spans="1:30" ht="15" thickBot="1" x14ac:dyDescent="0.35">
      <c r="A26" s="148" t="s">
        <v>148</v>
      </c>
      <c r="B26" s="2"/>
      <c r="C26" s="2"/>
      <c r="D26" s="2"/>
      <c r="E26" s="2"/>
      <c r="F26" s="2"/>
      <c r="G26" s="2"/>
      <c r="H26" s="2"/>
      <c r="I26" s="2"/>
      <c r="J26" s="191"/>
      <c r="K26" s="191"/>
      <c r="L26" s="191"/>
      <c r="M26" s="191">
        <f>Assumptions!C49*(1+Assumptions!$C$51)</f>
        <v>0.40175625000000004</v>
      </c>
      <c r="N26" s="191">
        <f>M26*(1+Assumptions!$C$51)</f>
        <v>0.42184406250000006</v>
      </c>
      <c r="O26" s="191">
        <f>N26*(1+Assumptions!$C$51)</f>
        <v>0.4429362656250001</v>
      </c>
      <c r="P26" s="191">
        <f>O26*(1+Assumptions!$C$51)</f>
        <v>0.46508307890625011</v>
      </c>
      <c r="Q26" s="191">
        <f>P26*(1+Assumptions!$C$51)</f>
        <v>0.48833723285156266</v>
      </c>
      <c r="R26" s="191">
        <f>Q26*(1+Assumptions!$C$51)</f>
        <v>0.51275409449414078</v>
      </c>
      <c r="S26" s="191">
        <f>R26*(1+Assumptions!$C$51)</f>
        <v>0.53839179921884783</v>
      </c>
      <c r="T26" s="191">
        <f>S26*(1+Assumptions!$C$51)</f>
        <v>0.56531138917979029</v>
      </c>
      <c r="U26" s="191">
        <f>T26*(1+Assumptions!$C$51)</f>
        <v>0.59357695863877979</v>
      </c>
      <c r="V26" s="191">
        <f>U26*(1+Assumptions!$C$51)</f>
        <v>0.62325580657071877</v>
      </c>
      <c r="W26" s="191">
        <f>V26*(1+Assumptions!$C$51)</f>
        <v>0.65441859689925475</v>
      </c>
      <c r="X26" s="191">
        <f>W26*(1+Assumptions!$C$51)</f>
        <v>0.68713952674421752</v>
      </c>
      <c r="Y26" s="191">
        <f>X26*(1+Assumptions!$C$51)</f>
        <v>0.72149650308142843</v>
      </c>
      <c r="Z26" s="191">
        <f>Y26*(1+Assumptions!$C$51)</f>
        <v>0.75757132823549989</v>
      </c>
      <c r="AA26" s="191">
        <f>Z26*(1+Assumptions!$C$51)</f>
        <v>0.79544989464727489</v>
      </c>
      <c r="AB26" s="191">
        <f>AA26*(1+Assumptions!$C$51)</f>
        <v>0.83522238937963866</v>
      </c>
      <c r="AC26" s="191">
        <f>AB26*(1+Assumptions!$C$51)</f>
        <v>0.87698350884862064</v>
      </c>
      <c r="AD26" s="191">
        <f>AC26*(1+Assumptions!$C$51)</f>
        <v>0.9208326842910517</v>
      </c>
    </row>
    <row r="27" spans="1:30" x14ac:dyDescent="0.3">
      <c r="A27" s="55" t="s">
        <v>149</v>
      </c>
      <c r="B27" s="2"/>
      <c r="C27" s="2"/>
      <c r="D27" s="2"/>
      <c r="E27" s="2"/>
      <c r="F27" s="2"/>
      <c r="G27" s="2"/>
      <c r="H27" s="2"/>
      <c r="I27" s="2"/>
      <c r="J27" s="193"/>
      <c r="K27" s="193"/>
      <c r="L27" s="193"/>
      <c r="M27" s="193">
        <f t="shared" ref="M27:AD27" si="9">SUM(M24:M26)</f>
        <v>1.1706450000000002</v>
      </c>
      <c r="N27" s="193">
        <f t="shared" si="9"/>
        <v>1.2291772500000002</v>
      </c>
      <c r="O27" s="193">
        <f t="shared" si="9"/>
        <v>1.2906361125000001</v>
      </c>
      <c r="P27" s="193">
        <f t="shared" si="9"/>
        <v>1.3551679181250003</v>
      </c>
      <c r="Q27" s="193">
        <f t="shared" si="9"/>
        <v>1.4229263140312505</v>
      </c>
      <c r="R27" s="193">
        <f t="shared" si="9"/>
        <v>1.4940726297328131</v>
      </c>
      <c r="S27" s="193">
        <f t="shared" si="9"/>
        <v>1.5687762612194536</v>
      </c>
      <c r="T27" s="193">
        <f t="shared" si="9"/>
        <v>1.6472150742804264</v>
      </c>
      <c r="U27" s="193">
        <f t="shared" si="9"/>
        <v>1.7295758279944478</v>
      </c>
      <c r="V27" s="193">
        <f t="shared" si="9"/>
        <v>1.8160546193941702</v>
      </c>
      <c r="W27" s="193">
        <f t="shared" si="9"/>
        <v>1.9068573503638788</v>
      </c>
      <c r="X27" s="193">
        <f t="shared" si="9"/>
        <v>2.0022002178820726</v>
      </c>
      <c r="Y27" s="193">
        <f t="shared" si="9"/>
        <v>2.1023102287761768</v>
      </c>
      <c r="Z27" s="193">
        <f t="shared" si="9"/>
        <v>2.2074257402149851</v>
      </c>
      <c r="AA27" s="193">
        <f t="shared" si="9"/>
        <v>2.3177970272257347</v>
      </c>
      <c r="AB27" s="193">
        <f t="shared" si="9"/>
        <v>2.4336868785870216</v>
      </c>
      <c r="AC27" s="193">
        <f t="shared" si="9"/>
        <v>2.5553712225163725</v>
      </c>
      <c r="AD27" s="193">
        <f t="shared" si="9"/>
        <v>2.6831397836421913</v>
      </c>
    </row>
    <row r="28" spans="1:30" x14ac:dyDescent="0.3">
      <c r="A28" s="101" t="s">
        <v>150</v>
      </c>
      <c r="B28" s="55"/>
      <c r="C28" s="55"/>
      <c r="D28" s="55"/>
      <c r="E28" s="55"/>
      <c r="F28" s="55"/>
      <c r="G28" s="55"/>
      <c r="H28" s="55"/>
      <c r="I28" s="55"/>
      <c r="J28" s="127"/>
      <c r="K28" s="127"/>
      <c r="L28" s="127"/>
      <c r="M28" s="127">
        <f t="shared" ref="M28:AD28" si="10">M22-M27</f>
        <v>5.9949544079999999</v>
      </c>
      <c r="N28" s="127">
        <f t="shared" si="10"/>
        <v>5.956053937200001</v>
      </c>
      <c r="O28" s="127">
        <f t="shared" si="10"/>
        <v>5.8749632955000006</v>
      </c>
      <c r="P28" s="127">
        <f t="shared" si="10"/>
        <v>5.232560569875</v>
      </c>
      <c r="Q28" s="127">
        <f t="shared" si="10"/>
        <v>5.1648021739687504</v>
      </c>
      <c r="R28" s="127">
        <f t="shared" si="10"/>
        <v>-1.4940726297328131</v>
      </c>
      <c r="S28" s="127">
        <f t="shared" si="10"/>
        <v>-1.5687762612194536</v>
      </c>
      <c r="T28" s="127">
        <f t="shared" si="10"/>
        <v>-1.6472150742804264</v>
      </c>
      <c r="U28" s="127">
        <f t="shared" si="10"/>
        <v>-1.7295758279944478</v>
      </c>
      <c r="V28" s="127">
        <f t="shared" si="10"/>
        <v>1.9503972126058302</v>
      </c>
      <c r="W28" s="127">
        <f t="shared" si="10"/>
        <v>1.8493036296361214</v>
      </c>
      <c r="X28" s="127">
        <f t="shared" si="10"/>
        <v>1.7539607621179276</v>
      </c>
      <c r="Y28" s="127">
        <f t="shared" si="10"/>
        <v>1.0759798312238233</v>
      </c>
      <c r="Z28" s="127">
        <f t="shared" si="10"/>
        <v>0.97957196378501532</v>
      </c>
      <c r="AA28" s="127">
        <f t="shared" si="10"/>
        <v>0.86049303277426548</v>
      </c>
      <c r="AB28" s="127">
        <f t="shared" si="10"/>
        <v>0.74460318141297854</v>
      </c>
      <c r="AC28" s="127">
        <f t="shared" si="10"/>
        <v>0.62291883748362764</v>
      </c>
      <c r="AD28" s="127">
        <f t="shared" si="10"/>
        <v>6.0914224739963601</v>
      </c>
    </row>
    <row r="29" spans="1:30" x14ac:dyDescent="0.3">
      <c r="A29" s="150" t="s">
        <v>151</v>
      </c>
      <c r="B29" s="55"/>
      <c r="C29" s="55"/>
      <c r="D29" s="55"/>
      <c r="E29" s="55"/>
      <c r="F29" s="55"/>
      <c r="G29" s="55"/>
      <c r="H29" s="55"/>
      <c r="I29" s="55"/>
      <c r="J29" s="151"/>
      <c r="K29" s="151"/>
      <c r="L29" s="151"/>
      <c r="M29" s="151">
        <f t="shared" ref="M29:AB29" si="11">M28/M$22</f>
        <v>0.83662985699520975</v>
      </c>
      <c r="N29" s="151">
        <f t="shared" si="11"/>
        <v>0.82893003468145943</v>
      </c>
      <c r="O29" s="151">
        <f t="shared" si="11"/>
        <v>0.81988441733721884</v>
      </c>
      <c r="P29" s="151">
        <f t="shared" si="11"/>
        <v>0.79428904506408671</v>
      </c>
      <c r="Q29" s="151">
        <f t="shared" si="11"/>
        <v>0.78400349731729102</v>
      </c>
      <c r="R29" s="151" t="e">
        <f t="shared" si="11"/>
        <v>#DIV/0!</v>
      </c>
      <c r="S29" s="151" t="e">
        <f t="shared" si="11"/>
        <v>#DIV/0!</v>
      </c>
      <c r="T29" s="151" t="e">
        <f t="shared" si="11"/>
        <v>#DIV/0!</v>
      </c>
      <c r="U29" s="151" t="e">
        <f t="shared" si="11"/>
        <v>#DIV/0!</v>
      </c>
      <c r="V29" s="151">
        <f t="shared" si="11"/>
        <v>0.51783410477604908</v>
      </c>
      <c r="W29" s="151">
        <f t="shared" si="11"/>
        <v>0.49233875743954969</v>
      </c>
      <c r="X29" s="151">
        <f t="shared" si="11"/>
        <v>0.46695569531152725</v>
      </c>
      <c r="Y29" s="151">
        <f t="shared" si="11"/>
        <v>0.3385404764547586</v>
      </c>
      <c r="Z29" s="151">
        <f t="shared" si="11"/>
        <v>0.30736513005815935</v>
      </c>
      <c r="AA29" s="151">
        <f t="shared" si="11"/>
        <v>0.27074087529137142</v>
      </c>
      <c r="AB29" s="151">
        <f t="shared" si="11"/>
        <v>0.23427791905593995</v>
      </c>
      <c r="AC29" s="151">
        <f t="shared" ref="AC29:AD29" si="12">AC28/AC$22</f>
        <v>0.195991815008737</v>
      </c>
      <c r="AD29" s="151">
        <f t="shared" si="12"/>
        <v>0.69421383029034545</v>
      </c>
    </row>
    <row r="30" spans="1:30" x14ac:dyDescent="0.3">
      <c r="A30" s="2" t="s">
        <v>152</v>
      </c>
      <c r="B30" s="2"/>
      <c r="C30" s="2"/>
      <c r="D30" s="2"/>
      <c r="E30" s="2"/>
      <c r="F30" s="2"/>
      <c r="G30" s="2"/>
      <c r="H30" s="2"/>
      <c r="I30" s="2"/>
      <c r="J30" s="95"/>
      <c r="K30" s="95"/>
      <c r="L30" s="95"/>
      <c r="M30" s="95">
        <f>'Depreciation Schedule'!H84</f>
        <v>1.5678733787878787</v>
      </c>
      <c r="N30" s="95">
        <f>'Depreciation Schedule'!I84</f>
        <v>1.5678733787878787</v>
      </c>
      <c r="O30" s="95">
        <f>'Depreciation Schedule'!J84</f>
        <v>1.5678733787878787</v>
      </c>
      <c r="P30" s="95">
        <f>'Depreciation Schedule'!K84</f>
        <v>1.5678733787878787</v>
      </c>
      <c r="Q30" s="95">
        <f>'Depreciation Schedule'!L84</f>
        <v>1.5678733787878787</v>
      </c>
      <c r="R30" s="95">
        <f>'Depreciation Schedule'!M84</f>
        <v>1.5678733787878787</v>
      </c>
      <c r="S30" s="95">
        <f>'Depreciation Schedule'!N84</f>
        <v>1.5678733787878787</v>
      </c>
      <c r="T30" s="95">
        <f>'Depreciation Schedule'!O84</f>
        <v>1.5678733787878787</v>
      </c>
      <c r="U30" s="95">
        <f>'Depreciation Schedule'!P84</f>
        <v>1.5678733787878787</v>
      </c>
      <c r="V30" s="95">
        <f>'Depreciation Schedule'!Q84</f>
        <v>1.5678733787878787</v>
      </c>
      <c r="W30" s="95">
        <f>'Depreciation Schedule'!R84</f>
        <v>1.5678733787878787</v>
      </c>
      <c r="X30" s="95">
        <f>'Depreciation Schedule'!S84</f>
        <v>1.5678733787878787</v>
      </c>
      <c r="Y30" s="95">
        <f>'Depreciation Schedule'!T84</f>
        <v>1.5678733787878787</v>
      </c>
      <c r="Z30" s="95">
        <f>'Depreciation Schedule'!U84</f>
        <v>1.5678733787878787</v>
      </c>
      <c r="AA30" s="95">
        <f>'Depreciation Schedule'!V84</f>
        <v>1.5678733787878787</v>
      </c>
      <c r="AB30" s="95">
        <f>'Depreciation Schedule'!W84</f>
        <v>1.5678733787878787</v>
      </c>
      <c r="AC30" s="95">
        <f>'Depreciation Schedule'!X84</f>
        <v>1.1216333333333333E-2</v>
      </c>
      <c r="AD30" s="95">
        <f>'Depreciation Schedule'!Y84</f>
        <v>1.1216333333333333E-2</v>
      </c>
    </row>
    <row r="31" spans="1:30" x14ac:dyDescent="0.3">
      <c r="A31" s="101" t="s">
        <v>153</v>
      </c>
      <c r="B31" s="2"/>
      <c r="C31" s="2"/>
      <c r="D31" s="2"/>
      <c r="E31" s="2"/>
      <c r="F31" s="2"/>
      <c r="G31" s="2"/>
      <c r="H31" s="2"/>
      <c r="I31" s="2"/>
      <c r="J31" s="127"/>
      <c r="K31" s="127"/>
      <c r="L31" s="127"/>
      <c r="M31" s="127">
        <f t="shared" ref="M31:AD31" si="13">M28-M30</f>
        <v>4.427081029212121</v>
      </c>
      <c r="N31" s="127">
        <f t="shared" si="13"/>
        <v>4.3881805584121221</v>
      </c>
      <c r="O31" s="127">
        <f t="shared" si="13"/>
        <v>4.3070899167121217</v>
      </c>
      <c r="P31" s="127">
        <f t="shared" si="13"/>
        <v>3.664687191087121</v>
      </c>
      <c r="Q31" s="127">
        <f t="shared" si="13"/>
        <v>3.5969287951808715</v>
      </c>
      <c r="R31" s="127">
        <f t="shared" si="13"/>
        <v>-3.0619460085206915</v>
      </c>
      <c r="S31" s="127">
        <f t="shared" si="13"/>
        <v>-3.1366496400073323</v>
      </c>
      <c r="T31" s="127">
        <f t="shared" si="13"/>
        <v>-3.2150884530683053</v>
      </c>
      <c r="U31" s="127">
        <f t="shared" si="13"/>
        <v>-3.2974492067823267</v>
      </c>
      <c r="V31" s="127">
        <f t="shared" si="13"/>
        <v>0.38252383381795152</v>
      </c>
      <c r="W31" s="127">
        <f t="shared" si="13"/>
        <v>0.28143025084824269</v>
      </c>
      <c r="X31" s="127">
        <f t="shared" si="13"/>
        <v>0.18608738333004893</v>
      </c>
      <c r="Y31" s="127">
        <f t="shared" si="13"/>
        <v>-0.49189354756405534</v>
      </c>
      <c r="Z31" s="127">
        <f t="shared" si="13"/>
        <v>-0.58830141500286337</v>
      </c>
      <c r="AA31" s="127">
        <f t="shared" si="13"/>
        <v>-0.70738034601361321</v>
      </c>
      <c r="AB31" s="127">
        <f t="shared" si="13"/>
        <v>-0.82327019737490015</v>
      </c>
      <c r="AC31" s="127">
        <f t="shared" si="13"/>
        <v>0.61170250415029426</v>
      </c>
      <c r="AD31" s="127">
        <f t="shared" si="13"/>
        <v>6.0802061406630266</v>
      </c>
    </row>
    <row r="32" spans="1:30" x14ac:dyDescent="0.3">
      <c r="A32" s="150" t="s">
        <v>154</v>
      </c>
      <c r="B32" s="2"/>
      <c r="C32" s="2"/>
      <c r="D32" s="2"/>
      <c r="E32" s="2"/>
      <c r="F32" s="2"/>
      <c r="G32" s="2"/>
      <c r="H32" s="2"/>
      <c r="I32" s="2"/>
      <c r="J32" s="151"/>
      <c r="K32" s="151"/>
      <c r="L32" s="151"/>
      <c r="M32" s="151">
        <f t="shared" ref="M32:AB32" si="14">M31/M$22</f>
        <v>0.61782424290555882</v>
      </c>
      <c r="N32" s="151">
        <f t="shared" si="14"/>
        <v>0.61072225013850157</v>
      </c>
      <c r="O32" s="151">
        <f t="shared" si="14"/>
        <v>0.60107880324756802</v>
      </c>
      <c r="P32" s="151">
        <f t="shared" si="14"/>
        <v>0.55628995605429099</v>
      </c>
      <c r="Q32" s="151">
        <f t="shared" si="14"/>
        <v>0.54600440830749541</v>
      </c>
      <c r="R32" s="151" t="e">
        <f t="shared" si="14"/>
        <v>#DIV/0!</v>
      </c>
      <c r="S32" s="151" t="e">
        <f t="shared" si="14"/>
        <v>#DIV/0!</v>
      </c>
      <c r="T32" s="151" t="e">
        <f t="shared" si="14"/>
        <v>#DIV/0!</v>
      </c>
      <c r="U32" s="151" t="e">
        <f t="shared" si="14"/>
        <v>#DIV/0!</v>
      </c>
      <c r="V32" s="151">
        <f t="shared" si="14"/>
        <v>0.10156079272486804</v>
      </c>
      <c r="W32" s="151">
        <f t="shared" si="14"/>
        <v>7.4924970560831153E-2</v>
      </c>
      <c r="X32" s="151">
        <f t="shared" si="14"/>
        <v>4.954190843280868E-2</v>
      </c>
      <c r="Y32" s="151">
        <f t="shared" si="14"/>
        <v>-0.15476672622009061</v>
      </c>
      <c r="Z32" s="151">
        <f t="shared" si="14"/>
        <v>-0.18459423872960007</v>
      </c>
      <c r="AA32" s="151">
        <f t="shared" si="14"/>
        <v>-0.22256632738347776</v>
      </c>
      <c r="AB32" s="151">
        <f t="shared" si="14"/>
        <v>-0.25902928361890926</v>
      </c>
      <c r="AC32" s="151">
        <f t="shared" ref="AC32:AD32" si="15">AC31/AC$22</f>
        <v>0.1924627685335599</v>
      </c>
      <c r="AD32" s="151">
        <f t="shared" si="15"/>
        <v>0.69293555189833</v>
      </c>
    </row>
    <row r="33" spans="1:30" x14ac:dyDescent="0.3">
      <c r="A33" s="2" t="s">
        <v>102</v>
      </c>
      <c r="B33" s="2"/>
      <c r="C33" s="2"/>
      <c r="D33" s="2"/>
      <c r="E33" s="2"/>
      <c r="F33" s="2"/>
      <c r="G33" s="2"/>
      <c r="H33" s="2"/>
      <c r="I33" s="2"/>
      <c r="J33" s="149"/>
      <c r="K33" s="149"/>
      <c r="L33" s="149"/>
      <c r="M33" s="149">
        <f>'Debt Sch'!E14</f>
        <v>2.0011776000000001</v>
      </c>
      <c r="N33" s="149">
        <f>'Debt Sch'!F14</f>
        <v>1.5008832000000001</v>
      </c>
      <c r="O33" s="149">
        <f>'Debt Sch'!G14</f>
        <v>1.0005888000000003</v>
      </c>
      <c r="P33" s="149">
        <f>'Debt Sch'!H14</f>
        <v>0.50029440000000025</v>
      </c>
      <c r="Q33" s="149">
        <f>'Debt Sch'!I14</f>
        <v>0</v>
      </c>
      <c r="R33" s="149">
        <f>'Debt Sch'!J14</f>
        <v>0</v>
      </c>
      <c r="S33" s="149">
        <f>'Debt Sch'!K14</f>
        <v>0</v>
      </c>
      <c r="T33" s="149">
        <f>'Debt Sch'!L14</f>
        <v>0</v>
      </c>
      <c r="U33" s="149">
        <f>'Debt Sch'!M14</f>
        <v>0</v>
      </c>
      <c r="V33" s="149">
        <f>'Debt Sch'!N14</f>
        <v>0</v>
      </c>
      <c r="W33" s="149">
        <f>'Debt Sch'!O14</f>
        <v>0</v>
      </c>
      <c r="X33" s="149">
        <f>'Debt Sch'!P14</f>
        <v>0</v>
      </c>
      <c r="Y33" s="149">
        <f>'Debt Sch'!Q14</f>
        <v>0</v>
      </c>
      <c r="Z33" s="149">
        <f>'Debt Sch'!R14</f>
        <v>0</v>
      </c>
      <c r="AA33" s="149">
        <f>'Debt Sch'!S14</f>
        <v>0</v>
      </c>
      <c r="AB33" s="149">
        <f>'Debt Sch'!T14</f>
        <v>0</v>
      </c>
      <c r="AC33" s="149">
        <f>'Debt Sch'!U14</f>
        <v>0</v>
      </c>
      <c r="AD33" s="149">
        <f>'Debt Sch'!V14</f>
        <v>0</v>
      </c>
    </row>
    <row r="34" spans="1:30" x14ac:dyDescent="0.3">
      <c r="A34" s="101" t="s">
        <v>155</v>
      </c>
      <c r="B34" s="55"/>
      <c r="C34" s="55"/>
      <c r="D34" s="55"/>
      <c r="E34" s="55"/>
      <c r="F34" s="55"/>
      <c r="G34" s="55"/>
      <c r="H34" s="199">
        <v>0</v>
      </c>
      <c r="I34" s="199">
        <v>0</v>
      </c>
      <c r="J34" s="152"/>
      <c r="K34" s="152"/>
      <c r="L34" s="152"/>
      <c r="M34" s="152">
        <f t="shared" ref="M34:AD34" si="16">M31-M33</f>
        <v>2.4259034292121209</v>
      </c>
      <c r="N34" s="152">
        <f t="shared" si="16"/>
        <v>2.887297358412122</v>
      </c>
      <c r="O34" s="152">
        <f t="shared" si="16"/>
        <v>3.3065011167121217</v>
      </c>
      <c r="P34" s="152">
        <f t="shared" si="16"/>
        <v>3.1643927910871206</v>
      </c>
      <c r="Q34" s="152">
        <f t="shared" si="16"/>
        <v>3.5969287951808715</v>
      </c>
      <c r="R34" s="152">
        <f t="shared" si="16"/>
        <v>-3.0619460085206915</v>
      </c>
      <c r="S34" s="152">
        <f t="shared" si="16"/>
        <v>-3.1366496400073323</v>
      </c>
      <c r="T34" s="152">
        <f t="shared" si="16"/>
        <v>-3.2150884530683053</v>
      </c>
      <c r="U34" s="152">
        <f t="shared" si="16"/>
        <v>-3.2974492067823267</v>
      </c>
      <c r="V34" s="152">
        <f t="shared" si="16"/>
        <v>0.38252383381795152</v>
      </c>
      <c r="W34" s="152">
        <f t="shared" si="16"/>
        <v>0.28143025084824269</v>
      </c>
      <c r="X34" s="152">
        <f t="shared" si="16"/>
        <v>0.18608738333004893</v>
      </c>
      <c r="Y34" s="152">
        <f t="shared" si="16"/>
        <v>-0.49189354756405534</v>
      </c>
      <c r="Z34" s="152">
        <f t="shared" si="16"/>
        <v>-0.58830141500286337</v>
      </c>
      <c r="AA34" s="152">
        <f t="shared" si="16"/>
        <v>-0.70738034601361321</v>
      </c>
      <c r="AB34" s="152">
        <f t="shared" si="16"/>
        <v>-0.82327019737490015</v>
      </c>
      <c r="AC34" s="152">
        <f t="shared" si="16"/>
        <v>0.61170250415029426</v>
      </c>
      <c r="AD34" s="152">
        <f t="shared" si="16"/>
        <v>6.0802061406630266</v>
      </c>
    </row>
    <row r="35" spans="1:30" x14ac:dyDescent="0.3">
      <c r="A35" s="150" t="s">
        <v>156</v>
      </c>
      <c r="B35" s="2"/>
      <c r="C35" s="2"/>
      <c r="D35" s="2"/>
      <c r="E35" s="2"/>
      <c r="F35" s="2"/>
      <c r="G35" s="2"/>
      <c r="H35" s="2"/>
      <c r="I35" s="2"/>
      <c r="J35" s="151"/>
      <c r="K35" s="151"/>
      <c r="L35" s="151"/>
      <c r="M35" s="151">
        <f t="shared" ref="M35:AB35" si="17">M34/M$22</f>
        <v>0.33854856950330381</v>
      </c>
      <c r="N35" s="151">
        <f t="shared" si="17"/>
        <v>0.40183778130279857</v>
      </c>
      <c r="O35" s="151">
        <f t="shared" si="17"/>
        <v>0.46144096654644046</v>
      </c>
      <c r="P35" s="151">
        <f t="shared" si="17"/>
        <v>0.48034657118174789</v>
      </c>
      <c r="Q35" s="151">
        <f t="shared" si="17"/>
        <v>0.54600440830749541</v>
      </c>
      <c r="R35" s="151" t="e">
        <f t="shared" si="17"/>
        <v>#DIV/0!</v>
      </c>
      <c r="S35" s="151" t="e">
        <f t="shared" si="17"/>
        <v>#DIV/0!</v>
      </c>
      <c r="T35" s="151" t="e">
        <f t="shared" si="17"/>
        <v>#DIV/0!</v>
      </c>
      <c r="U35" s="151" t="e">
        <f t="shared" si="17"/>
        <v>#DIV/0!</v>
      </c>
      <c r="V35" s="151">
        <f t="shared" si="17"/>
        <v>0.10156079272486804</v>
      </c>
      <c r="W35" s="151">
        <f t="shared" si="17"/>
        <v>7.4924970560831153E-2</v>
      </c>
      <c r="X35" s="151">
        <f t="shared" si="17"/>
        <v>4.954190843280868E-2</v>
      </c>
      <c r="Y35" s="151">
        <f t="shared" si="17"/>
        <v>-0.15476672622009061</v>
      </c>
      <c r="Z35" s="151">
        <f t="shared" si="17"/>
        <v>-0.18459423872960007</v>
      </c>
      <c r="AA35" s="151">
        <f t="shared" si="17"/>
        <v>-0.22256632738347776</v>
      </c>
      <c r="AB35" s="151">
        <f t="shared" si="17"/>
        <v>-0.25902928361890926</v>
      </c>
      <c r="AC35" s="151">
        <f t="shared" ref="AC35:AD35" si="18">AC34/AC$22</f>
        <v>0.1924627685335599</v>
      </c>
      <c r="AD35" s="151">
        <f t="shared" si="18"/>
        <v>0.69293555189833</v>
      </c>
    </row>
    <row r="36" spans="1:30" x14ac:dyDescent="0.3">
      <c r="A36" s="148" t="s">
        <v>173</v>
      </c>
      <c r="B36" s="2"/>
      <c r="C36" s="2"/>
      <c r="D36" s="2"/>
      <c r="E36" s="2"/>
      <c r="F36" s="2"/>
      <c r="G36" s="2"/>
      <c r="H36" s="2"/>
      <c r="I36" s="2"/>
      <c r="J36" s="51"/>
      <c r="K36" s="51"/>
      <c r="L36" s="51"/>
      <c r="M36" s="95">
        <f t="shared" ref="M36:AB36" si="19">MAX(0,M46)*M67</f>
        <v>0.61059989313269081</v>
      </c>
      <c r="N36" s="95">
        <f t="shared" ca="1" si="19"/>
        <v>0.72673274511233099</v>
      </c>
      <c r="O36" s="95">
        <f t="shared" ca="1" si="19"/>
        <v>0.83224633107644097</v>
      </c>
      <c r="P36" s="95">
        <f t="shared" ca="1" si="19"/>
        <v>0.79647766551662813</v>
      </c>
      <c r="Q36" s="95">
        <f t="shared" ca="1" si="19"/>
        <v>0.90534697774702533</v>
      </c>
      <c r="R36" s="95">
        <f t="shared" ca="1" si="19"/>
        <v>0</v>
      </c>
      <c r="S36" s="95">
        <f t="shared" ca="1" si="19"/>
        <v>0</v>
      </c>
      <c r="T36" s="95">
        <f t="shared" ca="1" si="19"/>
        <v>0</v>
      </c>
      <c r="U36" s="95">
        <f t="shared" ca="1" si="19"/>
        <v>0</v>
      </c>
      <c r="V36" s="95">
        <f t="shared" ca="1" si="19"/>
        <v>0</v>
      </c>
      <c r="W36" s="95">
        <f t="shared" ca="1" si="19"/>
        <v>0</v>
      </c>
      <c r="X36" s="95">
        <f t="shared" ca="1" si="19"/>
        <v>0</v>
      </c>
      <c r="Y36" s="95">
        <f t="shared" ca="1" si="19"/>
        <v>0</v>
      </c>
      <c r="Z36" s="95">
        <f t="shared" ca="1" si="19"/>
        <v>0</v>
      </c>
      <c r="AA36" s="95">
        <f t="shared" ca="1" si="19"/>
        <v>0</v>
      </c>
      <c r="AB36" s="95">
        <f t="shared" ca="1" si="19"/>
        <v>0</v>
      </c>
      <c r="AC36" s="95">
        <f t="shared" ref="AC36:AD36" ca="1" si="20">MAX(0,AC46)*AC67</f>
        <v>0</v>
      </c>
      <c r="AD36" s="95">
        <f t="shared" ca="1" si="20"/>
        <v>0.87323807175590151</v>
      </c>
    </row>
    <row r="37" spans="1:30" x14ac:dyDescent="0.3">
      <c r="A37" s="101" t="s">
        <v>174</v>
      </c>
      <c r="B37" s="55"/>
      <c r="C37" s="55"/>
      <c r="D37" s="55"/>
      <c r="E37" s="55"/>
      <c r="F37" s="55"/>
      <c r="G37" s="55"/>
      <c r="H37" s="55"/>
      <c r="I37" s="55"/>
      <c r="J37" s="152"/>
      <c r="K37" s="152"/>
      <c r="L37" s="152"/>
      <c r="M37" s="152">
        <f t="shared" ref="M37:AD37" si="21">M34-M36</f>
        <v>1.8153035360794301</v>
      </c>
      <c r="N37" s="152">
        <f t="shared" ca="1" si="21"/>
        <v>2.1605646132997909</v>
      </c>
      <c r="O37" s="152">
        <f t="shared" ca="1" si="21"/>
        <v>2.4742547856356807</v>
      </c>
      <c r="P37" s="152">
        <f t="shared" ca="1" si="21"/>
        <v>2.3679151255704927</v>
      </c>
      <c r="Q37" s="152">
        <f t="shared" ca="1" si="21"/>
        <v>2.6915818174338462</v>
      </c>
      <c r="R37" s="152">
        <f t="shared" ca="1" si="21"/>
        <v>-3.0619460085206915</v>
      </c>
      <c r="S37" s="152">
        <f t="shared" ca="1" si="21"/>
        <v>-3.1366496400073323</v>
      </c>
      <c r="T37" s="152">
        <f t="shared" ca="1" si="21"/>
        <v>-3.2150884530683053</v>
      </c>
      <c r="U37" s="152">
        <f t="shared" ca="1" si="21"/>
        <v>-3.2974492067823267</v>
      </c>
      <c r="V37" s="152">
        <f t="shared" ca="1" si="21"/>
        <v>0.38252383381795152</v>
      </c>
      <c r="W37" s="152">
        <f t="shared" ca="1" si="21"/>
        <v>0.28143025084824269</v>
      </c>
      <c r="X37" s="152">
        <f t="shared" ca="1" si="21"/>
        <v>0.18608738333004893</v>
      </c>
      <c r="Y37" s="152">
        <f t="shared" ca="1" si="21"/>
        <v>-0.49189354756405534</v>
      </c>
      <c r="Z37" s="152">
        <f t="shared" ca="1" si="21"/>
        <v>-0.58830141500286337</v>
      </c>
      <c r="AA37" s="152">
        <f t="shared" ca="1" si="21"/>
        <v>-0.70738034601361321</v>
      </c>
      <c r="AB37" s="152">
        <f t="shared" ca="1" si="21"/>
        <v>-0.82327019737490015</v>
      </c>
      <c r="AC37" s="152">
        <f t="shared" ca="1" si="21"/>
        <v>0.61170250415029426</v>
      </c>
      <c r="AD37" s="152">
        <f t="shared" ca="1" si="21"/>
        <v>5.2069680689071252</v>
      </c>
    </row>
    <row r="38" spans="1:30" x14ac:dyDescent="0.3">
      <c r="A38" s="150" t="s">
        <v>175</v>
      </c>
      <c r="B38" s="2"/>
      <c r="C38" s="2"/>
      <c r="D38" s="2"/>
      <c r="E38" s="2"/>
      <c r="F38" s="2"/>
      <c r="G38" s="2"/>
      <c r="H38" s="2"/>
      <c r="I38" s="2"/>
      <c r="J38" s="151"/>
      <c r="K38" s="151"/>
      <c r="L38" s="151"/>
      <c r="M38" s="151">
        <f t="shared" ref="M38:AB38" si="22">M37/M$22</f>
        <v>0.25333589455932226</v>
      </c>
      <c r="N38" s="151">
        <f t="shared" ca="1" si="22"/>
        <v>0.30069521174888419</v>
      </c>
      <c r="O38" s="151">
        <f t="shared" ca="1" si="22"/>
        <v>0.34529627526670142</v>
      </c>
      <c r="P38" s="151">
        <f t="shared" ca="1" si="22"/>
        <v>0.35944333921530197</v>
      </c>
      <c r="Q38" s="151">
        <f t="shared" ca="1" si="22"/>
        <v>0.40857509873649878</v>
      </c>
      <c r="R38" s="151" t="e">
        <f t="shared" ca="1" si="22"/>
        <v>#DIV/0!</v>
      </c>
      <c r="S38" s="151" t="e">
        <f t="shared" ca="1" si="22"/>
        <v>#DIV/0!</v>
      </c>
      <c r="T38" s="151" t="e">
        <f t="shared" ca="1" si="22"/>
        <v>#DIV/0!</v>
      </c>
      <c r="U38" s="151" t="e">
        <f t="shared" ca="1" si="22"/>
        <v>#DIV/0!</v>
      </c>
      <c r="V38" s="151">
        <f t="shared" ca="1" si="22"/>
        <v>0.10156079272486804</v>
      </c>
      <c r="W38" s="151">
        <f t="shared" ca="1" si="22"/>
        <v>7.4924970560831153E-2</v>
      </c>
      <c r="X38" s="151">
        <f t="shared" ca="1" si="22"/>
        <v>4.954190843280868E-2</v>
      </c>
      <c r="Y38" s="151">
        <f t="shared" ca="1" si="22"/>
        <v>-0.15476672622009061</v>
      </c>
      <c r="Z38" s="151">
        <f t="shared" ca="1" si="22"/>
        <v>-0.18459423872960007</v>
      </c>
      <c r="AA38" s="151">
        <f t="shared" ca="1" si="22"/>
        <v>-0.22256632738347776</v>
      </c>
      <c r="AB38" s="151">
        <f t="shared" ca="1" si="22"/>
        <v>-0.25902928361890926</v>
      </c>
      <c r="AC38" s="151">
        <f t="shared" ref="AC38:AD38" ca="1" si="23">AC37/AC$22</f>
        <v>0.1924627685335599</v>
      </c>
      <c r="AD38" s="151">
        <f t="shared" ca="1" si="23"/>
        <v>0.59341627719084045</v>
      </c>
    </row>
    <row r="41" spans="1:30" x14ac:dyDescent="0.3">
      <c r="A41" s="133" t="s">
        <v>157</v>
      </c>
      <c r="B41" s="146" t="s">
        <v>110</v>
      </c>
      <c r="C41" s="133"/>
      <c r="D41" s="133"/>
      <c r="E41" s="133"/>
      <c r="F41" s="133"/>
      <c r="G41" s="133"/>
      <c r="H41" s="133">
        <v>8</v>
      </c>
      <c r="I41" s="5"/>
      <c r="J41" s="134"/>
      <c r="K41" s="134"/>
      <c r="L41" s="134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x14ac:dyDescent="0.3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5"/>
      <c r="N42" s="135"/>
      <c r="O42" s="135"/>
      <c r="P42" s="135"/>
      <c r="Q42" s="135"/>
      <c r="R42" s="135"/>
      <c r="S42" s="135"/>
      <c r="T42" s="13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x14ac:dyDescent="0.3">
      <c r="A43" s="136" t="s">
        <v>158</v>
      </c>
      <c r="B43" s="137"/>
      <c r="C43" s="137"/>
      <c r="D43" s="137"/>
      <c r="E43" s="137"/>
      <c r="F43" s="137"/>
      <c r="G43" s="137"/>
      <c r="H43" s="134"/>
      <c r="I43" s="134"/>
      <c r="J43" s="134"/>
      <c r="K43" s="134"/>
      <c r="L43" s="134"/>
      <c r="M43" s="135"/>
      <c r="N43" s="135"/>
      <c r="O43" s="135"/>
      <c r="P43" s="135"/>
      <c r="Q43" s="135"/>
      <c r="R43" s="135"/>
      <c r="S43" s="135"/>
      <c r="T43" s="13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x14ac:dyDescent="0.3">
      <c r="A44" s="133" t="s">
        <v>159</v>
      </c>
      <c r="B44" s="133"/>
      <c r="C44" s="133"/>
      <c r="D44" s="133"/>
      <c r="E44" s="133"/>
      <c r="F44" s="133"/>
      <c r="G44" s="133"/>
      <c r="H44" s="138" t="e">
        <f>#REF!</f>
        <v>#REF!</v>
      </c>
      <c r="I44" s="138" t="e">
        <f>#REF!</f>
        <v>#REF!</v>
      </c>
      <c r="J44" s="138"/>
      <c r="K44" s="138"/>
      <c r="L44" s="138"/>
      <c r="M44" s="138">
        <f t="shared" ref="M44:AD44" si="24">M34</f>
        <v>2.4259034292121209</v>
      </c>
      <c r="N44" s="138">
        <f t="shared" si="24"/>
        <v>2.887297358412122</v>
      </c>
      <c r="O44" s="138">
        <f t="shared" si="24"/>
        <v>3.3065011167121217</v>
      </c>
      <c r="P44" s="138">
        <f t="shared" si="24"/>
        <v>3.1643927910871206</v>
      </c>
      <c r="Q44" s="138">
        <f t="shared" si="24"/>
        <v>3.5969287951808715</v>
      </c>
      <c r="R44" s="138">
        <f t="shared" si="24"/>
        <v>-3.0619460085206915</v>
      </c>
      <c r="S44" s="138">
        <f t="shared" si="24"/>
        <v>-3.1366496400073323</v>
      </c>
      <c r="T44" s="138">
        <f t="shared" si="24"/>
        <v>-3.2150884530683053</v>
      </c>
      <c r="U44" s="138">
        <f t="shared" si="24"/>
        <v>-3.2974492067823267</v>
      </c>
      <c r="V44" s="138">
        <f t="shared" si="24"/>
        <v>0.38252383381795152</v>
      </c>
      <c r="W44" s="138">
        <f t="shared" si="24"/>
        <v>0.28143025084824269</v>
      </c>
      <c r="X44" s="138">
        <f t="shared" si="24"/>
        <v>0.18608738333004893</v>
      </c>
      <c r="Y44" s="138">
        <f t="shared" si="24"/>
        <v>-0.49189354756405534</v>
      </c>
      <c r="Z44" s="138">
        <f t="shared" si="24"/>
        <v>-0.58830141500286337</v>
      </c>
      <c r="AA44" s="138">
        <f t="shared" si="24"/>
        <v>-0.70738034601361321</v>
      </c>
      <c r="AB44" s="138">
        <f t="shared" si="24"/>
        <v>-0.82327019737490015</v>
      </c>
      <c r="AC44" s="138">
        <f t="shared" si="24"/>
        <v>0.61170250415029426</v>
      </c>
      <c r="AD44" s="138">
        <f t="shared" si="24"/>
        <v>6.0802061406630266</v>
      </c>
    </row>
    <row r="45" spans="1:30" x14ac:dyDescent="0.3">
      <c r="A45" s="133" t="s">
        <v>160</v>
      </c>
      <c r="B45" s="133"/>
      <c r="C45" s="133"/>
      <c r="D45" s="133"/>
      <c r="E45" s="133"/>
      <c r="F45" s="133"/>
      <c r="G45" s="133"/>
      <c r="H45" s="138" t="e">
        <f t="shared" ref="H45" si="25">H51</f>
        <v>#REF!</v>
      </c>
      <c r="I45" s="138" t="e">
        <f t="shared" ref="I45:AB45" si="26">I51</f>
        <v>#REF!</v>
      </c>
      <c r="J45" s="138"/>
      <c r="K45" s="138"/>
      <c r="L45" s="138"/>
      <c r="M45" s="138">
        <f t="shared" si="26"/>
        <v>0</v>
      </c>
      <c r="N45" s="138">
        <f t="shared" ca="1" si="26"/>
        <v>0</v>
      </c>
      <c r="O45" s="138">
        <f t="shared" ca="1" si="26"/>
        <v>0</v>
      </c>
      <c r="P45" s="138">
        <f t="shared" ca="1" si="26"/>
        <v>0</v>
      </c>
      <c r="Q45" s="138">
        <f t="shared" ca="1" si="26"/>
        <v>0</v>
      </c>
      <c r="R45" s="138">
        <f t="shared" ca="1" si="26"/>
        <v>0</v>
      </c>
      <c r="S45" s="138">
        <f t="shared" ca="1" si="26"/>
        <v>0</v>
      </c>
      <c r="T45" s="138">
        <f t="shared" ca="1" si="26"/>
        <v>0</v>
      </c>
      <c r="U45" s="138">
        <f t="shared" ca="1" si="26"/>
        <v>0</v>
      </c>
      <c r="V45" s="138">
        <f t="shared" ca="1" si="26"/>
        <v>-0.38252383381795152</v>
      </c>
      <c r="W45" s="138">
        <f t="shared" ca="1" si="26"/>
        <v>-0.28143025084824269</v>
      </c>
      <c r="X45" s="138">
        <f t="shared" ca="1" si="26"/>
        <v>-0.18608738333004893</v>
      </c>
      <c r="Y45" s="138">
        <f t="shared" ca="1" si="26"/>
        <v>0</v>
      </c>
      <c r="Z45" s="138">
        <f t="shared" ca="1" si="26"/>
        <v>0</v>
      </c>
      <c r="AA45" s="138">
        <f t="shared" ca="1" si="26"/>
        <v>0</v>
      </c>
      <c r="AB45" s="138">
        <f t="shared" ca="1" si="26"/>
        <v>0</v>
      </c>
      <c r="AC45" s="138">
        <f t="shared" ref="AC45:AD45" ca="1" si="27">AC51</f>
        <v>-0.61170250415029426</v>
      </c>
      <c r="AD45" s="138">
        <f t="shared" ca="1" si="27"/>
        <v>-2.6108455059554321</v>
      </c>
    </row>
    <row r="46" spans="1:30" x14ac:dyDescent="0.3">
      <c r="A46" s="133" t="s">
        <v>161</v>
      </c>
      <c r="B46" s="133"/>
      <c r="C46" s="133"/>
      <c r="D46" s="133"/>
      <c r="E46" s="133"/>
      <c r="F46" s="133"/>
      <c r="G46" s="133"/>
      <c r="H46" s="138" t="e">
        <f t="shared" ref="H46" si="28">SUM(H44:H45)</f>
        <v>#REF!</v>
      </c>
      <c r="I46" s="138" t="e">
        <f t="shared" ref="I46:AB46" si="29">SUM(I44:I45)</f>
        <v>#REF!</v>
      </c>
      <c r="J46" s="138"/>
      <c r="K46" s="138"/>
      <c r="L46" s="138"/>
      <c r="M46" s="138">
        <f t="shared" si="29"/>
        <v>2.4259034292121209</v>
      </c>
      <c r="N46" s="138">
        <f t="shared" ca="1" si="29"/>
        <v>2.887297358412122</v>
      </c>
      <c r="O46" s="138">
        <f t="shared" ca="1" si="29"/>
        <v>3.3065011167121217</v>
      </c>
      <c r="P46" s="138">
        <f t="shared" ca="1" si="29"/>
        <v>3.1643927910871206</v>
      </c>
      <c r="Q46" s="138">
        <f t="shared" ca="1" si="29"/>
        <v>3.5969287951808715</v>
      </c>
      <c r="R46" s="138">
        <f t="shared" ca="1" si="29"/>
        <v>-3.0619460085206915</v>
      </c>
      <c r="S46" s="138">
        <f t="shared" ca="1" si="29"/>
        <v>-3.1366496400073323</v>
      </c>
      <c r="T46" s="138">
        <f t="shared" ca="1" si="29"/>
        <v>-3.2150884530683053</v>
      </c>
      <c r="U46" s="138">
        <f t="shared" ca="1" si="29"/>
        <v>-3.2974492067823267</v>
      </c>
      <c r="V46" s="138">
        <f t="shared" ca="1" si="29"/>
        <v>0</v>
      </c>
      <c r="W46" s="138">
        <f t="shared" ca="1" si="29"/>
        <v>0</v>
      </c>
      <c r="X46" s="138">
        <f t="shared" ca="1" si="29"/>
        <v>0</v>
      </c>
      <c r="Y46" s="138">
        <f t="shared" ca="1" si="29"/>
        <v>-0.49189354756405534</v>
      </c>
      <c r="Z46" s="138">
        <f t="shared" ca="1" si="29"/>
        <v>-0.58830141500286337</v>
      </c>
      <c r="AA46" s="138">
        <f t="shared" ca="1" si="29"/>
        <v>-0.70738034601361321</v>
      </c>
      <c r="AB46" s="138">
        <f t="shared" ca="1" si="29"/>
        <v>-0.82327019737490015</v>
      </c>
      <c r="AC46" s="138">
        <f t="shared" ref="AC46:AD46" ca="1" si="30">SUM(AC44:AC45)</f>
        <v>0</v>
      </c>
      <c r="AD46" s="138">
        <f t="shared" ca="1" si="30"/>
        <v>3.4693606347075945</v>
      </c>
    </row>
    <row r="47" spans="1:30" x14ac:dyDescent="0.3">
      <c r="A47" s="134"/>
      <c r="B47" s="134"/>
      <c r="C47" s="134"/>
      <c r="D47" s="134"/>
      <c r="E47" s="134"/>
      <c r="F47" s="134"/>
      <c r="G47" s="134"/>
      <c r="H47" s="134"/>
      <c r="I47" s="135" t="e">
        <f>MAX(0,I46)</f>
        <v>#REF!</v>
      </c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x14ac:dyDescent="0.3">
      <c r="A48" s="134"/>
      <c r="B48" s="134"/>
      <c r="C48" s="134"/>
      <c r="D48" s="134"/>
      <c r="E48" s="134"/>
      <c r="F48" s="134"/>
      <c r="G48" s="134"/>
      <c r="H48" s="134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</row>
    <row r="49" spans="1:30" x14ac:dyDescent="0.3">
      <c r="A49" s="137" t="s">
        <v>162</v>
      </c>
      <c r="B49" s="137"/>
      <c r="C49" s="137"/>
      <c r="D49" s="137"/>
      <c r="E49" s="137"/>
      <c r="F49" s="137"/>
      <c r="G49" s="137"/>
      <c r="H49" s="134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x14ac:dyDescent="0.3">
      <c r="A50" s="133" t="s">
        <v>163</v>
      </c>
      <c r="B50" s="133"/>
      <c r="C50" s="138"/>
      <c r="D50" s="138">
        <f t="shared" ref="D50" si="31">C54</f>
        <v>0</v>
      </c>
      <c r="E50" s="138" t="e">
        <f t="shared" ref="E50:AB50" si="32">D54</f>
        <v>#REF!</v>
      </c>
      <c r="F50" s="138" t="e">
        <f t="shared" si="32"/>
        <v>#REF!</v>
      </c>
      <c r="G50" s="138" t="e">
        <f t="shared" si="32"/>
        <v>#REF!</v>
      </c>
      <c r="H50" s="138" t="e">
        <f t="shared" si="32"/>
        <v>#REF!</v>
      </c>
      <c r="I50" s="138" t="e">
        <f t="shared" si="32"/>
        <v>#REF!</v>
      </c>
      <c r="J50" s="138"/>
      <c r="K50" s="138"/>
      <c r="L50" s="138"/>
      <c r="M50" s="138">
        <f t="shared" si="32"/>
        <v>0</v>
      </c>
      <c r="N50" s="138">
        <f t="shared" ca="1" si="32"/>
        <v>0</v>
      </c>
      <c r="O50" s="138">
        <f t="shared" ca="1" si="32"/>
        <v>0</v>
      </c>
      <c r="P50" s="138">
        <f t="shared" ca="1" si="32"/>
        <v>0</v>
      </c>
      <c r="Q50" s="138">
        <f t="shared" ca="1" si="32"/>
        <v>0</v>
      </c>
      <c r="R50" s="138">
        <f t="shared" ca="1" si="32"/>
        <v>0</v>
      </c>
      <c r="S50" s="138">
        <f t="shared" ca="1" si="32"/>
        <v>3.0619460085206915</v>
      </c>
      <c r="T50" s="138">
        <f t="shared" ca="1" si="32"/>
        <v>6.1985956485280234</v>
      </c>
      <c r="U50" s="138">
        <f t="shared" ca="1" si="32"/>
        <v>9.4136841015963277</v>
      </c>
      <c r="V50" s="138">
        <f t="shared" ca="1" si="32"/>
        <v>12.711133308378654</v>
      </c>
      <c r="W50" s="138">
        <f t="shared" ca="1" si="32"/>
        <v>12.328609474560704</v>
      </c>
      <c r="X50" s="138">
        <f t="shared" ca="1" si="32"/>
        <v>12.047179223712462</v>
      </c>
      <c r="Y50" s="138">
        <f t="shared" ca="1" si="32"/>
        <v>11.861091840382413</v>
      </c>
      <c r="Z50" s="138">
        <f t="shared" ca="1" si="32"/>
        <v>12.352985387946468</v>
      </c>
      <c r="AA50" s="138">
        <f t="shared" ca="1" si="32"/>
        <v>10.729382262424883</v>
      </c>
      <c r="AB50" s="138">
        <f t="shared" ca="1" si="32"/>
        <v>8.300112968431165</v>
      </c>
      <c r="AC50" s="138">
        <f t="shared" ref="AC50" ca="1" si="33">AB54</f>
        <v>5.9082947127377592</v>
      </c>
      <c r="AD50" s="138">
        <f t="shared" ref="AD50" ca="1" si="34">AC54</f>
        <v>2.6108455059554321</v>
      </c>
    </row>
    <row r="51" spans="1:30" x14ac:dyDescent="0.3">
      <c r="A51" s="133" t="s">
        <v>164</v>
      </c>
      <c r="B51" s="133"/>
      <c r="C51" s="138"/>
      <c r="D51" s="138" t="e">
        <f>-MIN(MAX(0,#REF!),D50)</f>
        <v>#REF!</v>
      </c>
      <c r="E51" s="138" t="e">
        <f>-MIN(MAX(0,#REF!),E50)</f>
        <v>#REF!</v>
      </c>
      <c r="F51" s="138" t="e">
        <f>-MIN(MAX(0,#REF!),F50)</f>
        <v>#REF!</v>
      </c>
      <c r="G51" s="138" t="e">
        <f>-MIN(MAX(0,G34),G50)</f>
        <v>#REF!</v>
      </c>
      <c r="H51" s="138" t="e">
        <f>-MIN(MAX(0,H34),H50)</f>
        <v>#REF!</v>
      </c>
      <c r="I51" s="138" t="e">
        <f>-MIN(MAX(0,#REF!),I50)</f>
        <v>#REF!</v>
      </c>
      <c r="J51" s="138"/>
      <c r="K51" s="138"/>
      <c r="L51" s="138"/>
      <c r="M51" s="138">
        <f t="shared" ref="M51:AD51" si="35">-MIN(MAX(0,M34),M50)</f>
        <v>0</v>
      </c>
      <c r="N51" s="138">
        <f t="shared" ca="1" si="35"/>
        <v>0</v>
      </c>
      <c r="O51" s="138">
        <f t="shared" ca="1" si="35"/>
        <v>0</v>
      </c>
      <c r="P51" s="138">
        <f t="shared" ca="1" si="35"/>
        <v>0</v>
      </c>
      <c r="Q51" s="138">
        <f t="shared" ca="1" si="35"/>
        <v>0</v>
      </c>
      <c r="R51" s="138">
        <f t="shared" ca="1" si="35"/>
        <v>0</v>
      </c>
      <c r="S51" s="138">
        <f t="shared" ca="1" si="35"/>
        <v>0</v>
      </c>
      <c r="T51" s="138">
        <f t="shared" ca="1" si="35"/>
        <v>0</v>
      </c>
      <c r="U51" s="138">
        <f t="shared" ca="1" si="35"/>
        <v>0</v>
      </c>
      <c r="V51" s="138">
        <f t="shared" ca="1" si="35"/>
        <v>-0.38252383381795152</v>
      </c>
      <c r="W51" s="138">
        <f t="shared" ca="1" si="35"/>
        <v>-0.28143025084824269</v>
      </c>
      <c r="X51" s="138">
        <f t="shared" ca="1" si="35"/>
        <v>-0.18608738333004893</v>
      </c>
      <c r="Y51" s="138">
        <f t="shared" ca="1" si="35"/>
        <v>0</v>
      </c>
      <c r="Z51" s="138">
        <f t="shared" ca="1" si="35"/>
        <v>0</v>
      </c>
      <c r="AA51" s="138">
        <f t="shared" ca="1" si="35"/>
        <v>0</v>
      </c>
      <c r="AB51" s="138">
        <f t="shared" ca="1" si="35"/>
        <v>0</v>
      </c>
      <c r="AC51" s="138">
        <f t="shared" ca="1" si="35"/>
        <v>-0.61170250415029426</v>
      </c>
      <c r="AD51" s="138">
        <f t="shared" ca="1" si="35"/>
        <v>-2.6108455059554321</v>
      </c>
    </row>
    <row r="52" spans="1:30" x14ac:dyDescent="0.3">
      <c r="A52" s="133" t="s">
        <v>165</v>
      </c>
      <c r="B52" s="133"/>
      <c r="C52" s="138"/>
      <c r="D52" s="138">
        <v>0</v>
      </c>
      <c r="E52" s="138">
        <v>0</v>
      </c>
      <c r="F52" s="138">
        <v>0</v>
      </c>
      <c r="G52" s="138">
        <v>0</v>
      </c>
      <c r="H52" s="138">
        <f>MAX(0,-H34)</f>
        <v>0</v>
      </c>
      <c r="I52" s="138">
        <f>MAX(0,-I34)</f>
        <v>0</v>
      </c>
      <c r="J52" s="138"/>
      <c r="K52" s="138"/>
      <c r="L52" s="138"/>
      <c r="M52" s="138">
        <f t="shared" ref="M52:AD52" si="36">MAX(0,-M34)</f>
        <v>0</v>
      </c>
      <c r="N52" s="138">
        <f t="shared" si="36"/>
        <v>0</v>
      </c>
      <c r="O52" s="138">
        <f t="shared" si="36"/>
        <v>0</v>
      </c>
      <c r="P52" s="138">
        <f t="shared" si="36"/>
        <v>0</v>
      </c>
      <c r="Q52" s="138">
        <f t="shared" si="36"/>
        <v>0</v>
      </c>
      <c r="R52" s="138">
        <f t="shared" si="36"/>
        <v>3.0619460085206915</v>
      </c>
      <c r="S52" s="138">
        <f t="shared" si="36"/>
        <v>3.1366496400073323</v>
      </c>
      <c r="T52" s="138">
        <f t="shared" si="36"/>
        <v>3.2150884530683053</v>
      </c>
      <c r="U52" s="138">
        <f t="shared" si="36"/>
        <v>3.2974492067823267</v>
      </c>
      <c r="V52" s="138">
        <f t="shared" si="36"/>
        <v>0</v>
      </c>
      <c r="W52" s="138">
        <f t="shared" si="36"/>
        <v>0</v>
      </c>
      <c r="X52" s="138">
        <f t="shared" si="36"/>
        <v>0</v>
      </c>
      <c r="Y52" s="138">
        <f t="shared" si="36"/>
        <v>0.49189354756405534</v>
      </c>
      <c r="Z52" s="138">
        <f t="shared" si="36"/>
        <v>0.58830141500286337</v>
      </c>
      <c r="AA52" s="138">
        <f t="shared" si="36"/>
        <v>0.70738034601361321</v>
      </c>
      <c r="AB52" s="138">
        <f t="shared" si="36"/>
        <v>0.82327019737490015</v>
      </c>
      <c r="AC52" s="138">
        <f t="shared" si="36"/>
        <v>0</v>
      </c>
      <c r="AD52" s="138">
        <f t="shared" si="36"/>
        <v>0</v>
      </c>
    </row>
    <row r="53" spans="1:30" x14ac:dyDescent="0.3">
      <c r="A53" s="133" t="s">
        <v>166</v>
      </c>
      <c r="B53" s="133"/>
      <c r="C53" s="138"/>
      <c r="D53" s="138">
        <f t="shared" ref="D53:I53" ca="1" si="37">-IF(D1-1&lt;$H41,0,MAX(0,SUM(D50:D52)-SUM(OFFSET(D52,,-($H41-1),,$H41))))</f>
        <v>0</v>
      </c>
      <c r="E53" s="138">
        <f t="shared" ca="1" si="37"/>
        <v>0</v>
      </c>
      <c r="F53" s="138">
        <f t="shared" ca="1" si="37"/>
        <v>0</v>
      </c>
      <c r="G53" s="138">
        <f t="shared" ca="1" si="37"/>
        <v>0</v>
      </c>
      <c r="H53" s="138">
        <f t="shared" ca="1" si="37"/>
        <v>0</v>
      </c>
      <c r="I53" s="138">
        <f t="shared" ca="1" si="37"/>
        <v>0</v>
      </c>
      <c r="J53" s="138"/>
      <c r="K53" s="138"/>
      <c r="L53" s="138"/>
      <c r="M53" s="138">
        <f t="shared" ref="M53:AD53" ca="1" si="38">-IF(M1-1&lt;$H41,0,MAX(0,SUM(M50:M52)-SUM(OFFSET(M52,,-($H41-1),,$H41))))</f>
        <v>0</v>
      </c>
      <c r="N53" s="138">
        <f t="shared" ca="1" si="38"/>
        <v>0</v>
      </c>
      <c r="O53" s="138">
        <f t="shared" ca="1" si="38"/>
        <v>0</v>
      </c>
      <c r="P53" s="138">
        <f t="shared" ca="1" si="38"/>
        <v>0</v>
      </c>
      <c r="Q53" s="138">
        <f t="shared" ca="1" si="38"/>
        <v>0</v>
      </c>
      <c r="R53" s="138">
        <f t="shared" ca="1" si="38"/>
        <v>0</v>
      </c>
      <c r="S53" s="138">
        <f t="shared" ca="1" si="38"/>
        <v>0</v>
      </c>
      <c r="T53" s="138">
        <f t="shared" ca="1" si="38"/>
        <v>0</v>
      </c>
      <c r="U53" s="138">
        <f t="shared" ca="1" si="38"/>
        <v>0</v>
      </c>
      <c r="V53" s="138">
        <f t="shared" ca="1" si="38"/>
        <v>0</v>
      </c>
      <c r="W53" s="138">
        <f t="shared" ca="1" si="38"/>
        <v>0</v>
      </c>
      <c r="X53" s="138">
        <f t="shared" ca="1" si="38"/>
        <v>0</v>
      </c>
      <c r="Y53" s="138">
        <f t="shared" ca="1" si="38"/>
        <v>0</v>
      </c>
      <c r="Z53" s="138">
        <f t="shared" ca="1" si="38"/>
        <v>-2.2119045405244488</v>
      </c>
      <c r="AA53" s="138">
        <f t="shared" ca="1" si="38"/>
        <v>-3.1366496400073309</v>
      </c>
      <c r="AB53" s="138">
        <f t="shared" ca="1" si="38"/>
        <v>-3.2150884530683053</v>
      </c>
      <c r="AC53" s="138">
        <f t="shared" ca="1" si="38"/>
        <v>-2.685746702632033</v>
      </c>
      <c r="AD53" s="138">
        <f t="shared" ca="1" si="38"/>
        <v>0</v>
      </c>
    </row>
    <row r="54" spans="1:30" x14ac:dyDescent="0.3">
      <c r="A54" s="133" t="s">
        <v>167</v>
      </c>
      <c r="B54" s="133"/>
      <c r="C54" s="138"/>
      <c r="D54" s="138" t="e">
        <f t="shared" ref="D54:AB54" si="39">SUM(D50:D53)</f>
        <v>#REF!</v>
      </c>
      <c r="E54" s="138" t="e">
        <f t="shared" si="39"/>
        <v>#REF!</v>
      </c>
      <c r="F54" s="138" t="e">
        <f t="shared" si="39"/>
        <v>#REF!</v>
      </c>
      <c r="G54" s="138" t="e">
        <f t="shared" si="39"/>
        <v>#REF!</v>
      </c>
      <c r="H54" s="138" t="e">
        <f t="shared" si="39"/>
        <v>#REF!</v>
      </c>
      <c r="I54" s="138" t="e">
        <f t="shared" si="39"/>
        <v>#REF!</v>
      </c>
      <c r="J54" s="138"/>
      <c r="K54" s="138"/>
      <c r="L54" s="138"/>
      <c r="M54" s="138">
        <f t="shared" ca="1" si="39"/>
        <v>0</v>
      </c>
      <c r="N54" s="138">
        <f t="shared" ca="1" si="39"/>
        <v>0</v>
      </c>
      <c r="O54" s="138">
        <f t="shared" ca="1" si="39"/>
        <v>0</v>
      </c>
      <c r="P54" s="138">
        <f t="shared" ca="1" si="39"/>
        <v>0</v>
      </c>
      <c r="Q54" s="138">
        <f t="shared" ca="1" si="39"/>
        <v>0</v>
      </c>
      <c r="R54" s="138">
        <f t="shared" ca="1" si="39"/>
        <v>3.0619460085206915</v>
      </c>
      <c r="S54" s="138">
        <f t="shared" ca="1" si="39"/>
        <v>6.1985956485280234</v>
      </c>
      <c r="T54" s="138">
        <f t="shared" ca="1" si="39"/>
        <v>9.4136841015963277</v>
      </c>
      <c r="U54" s="138">
        <f t="shared" ca="1" si="39"/>
        <v>12.711133308378654</v>
      </c>
      <c r="V54" s="138">
        <f t="shared" ca="1" si="39"/>
        <v>12.328609474560704</v>
      </c>
      <c r="W54" s="138">
        <f t="shared" ca="1" si="39"/>
        <v>12.047179223712462</v>
      </c>
      <c r="X54" s="138">
        <f t="shared" ca="1" si="39"/>
        <v>11.861091840382413</v>
      </c>
      <c r="Y54" s="138">
        <f t="shared" ca="1" si="39"/>
        <v>12.352985387946468</v>
      </c>
      <c r="Z54" s="138">
        <f t="shared" ca="1" si="39"/>
        <v>10.729382262424883</v>
      </c>
      <c r="AA54" s="138">
        <f t="shared" ca="1" si="39"/>
        <v>8.300112968431165</v>
      </c>
      <c r="AB54" s="138">
        <f t="shared" ca="1" si="39"/>
        <v>5.9082947127377592</v>
      </c>
      <c r="AC54" s="138">
        <f t="shared" ref="AC54:AD54" ca="1" si="40">SUM(AC50:AC53)</f>
        <v>2.6108455059554321</v>
      </c>
      <c r="AD54" s="138">
        <f t="shared" ca="1" si="40"/>
        <v>0</v>
      </c>
    </row>
    <row r="55" spans="1:30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x14ac:dyDescent="0.3">
      <c r="A57" s="19" t="s">
        <v>168</v>
      </c>
      <c r="B57" s="19"/>
      <c r="C57" s="19"/>
      <c r="D57" s="19"/>
      <c r="E57" s="19"/>
      <c r="F57" s="19"/>
      <c r="G57" s="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x14ac:dyDescent="0.3">
      <c r="A58" s="8" t="s">
        <v>169</v>
      </c>
      <c r="B58" s="139"/>
      <c r="C58" s="139"/>
      <c r="D58" s="139"/>
      <c r="E58" s="139"/>
      <c r="F58" s="139"/>
      <c r="G58" s="139"/>
      <c r="H58" s="139">
        <v>0.22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3">
      <c r="A59" s="140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3">
      <c r="A60" s="8" t="s">
        <v>170</v>
      </c>
      <c r="B60" s="139">
        <v>0.04</v>
      </c>
      <c r="C60" s="141"/>
      <c r="D60" s="141"/>
      <c r="E60" s="141"/>
      <c r="F60" s="141"/>
      <c r="G60" s="14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3">
      <c r="A61" s="140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3">
      <c r="A62" s="140" t="s">
        <v>171</v>
      </c>
      <c r="B62" s="8"/>
      <c r="C62" s="5"/>
      <c r="D62" s="5"/>
      <c r="E62" s="5"/>
      <c r="F62" s="5"/>
      <c r="G62" s="147"/>
      <c r="H62" s="147" t="s">
        <v>176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3">
      <c r="A63" s="140">
        <v>1</v>
      </c>
      <c r="B63" s="8"/>
      <c r="C63" s="8"/>
      <c r="D63" s="8"/>
      <c r="E63" s="8"/>
      <c r="F63" s="8"/>
      <c r="G63" s="142"/>
      <c r="H63" s="142">
        <v>0.25169999999999998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3">
      <c r="A64" s="143">
        <v>10</v>
      </c>
      <c r="B64" s="139">
        <v>0.04</v>
      </c>
      <c r="C64" s="139"/>
      <c r="D64" s="139"/>
      <c r="E64" s="139"/>
      <c r="F64" s="139"/>
      <c r="G64" s="142"/>
      <c r="H64" s="142">
        <v>0.25169999999999998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x14ac:dyDescent="0.3">
      <c r="A65" s="144">
        <v>10</v>
      </c>
      <c r="B65" s="139">
        <v>0.1</v>
      </c>
      <c r="C65" s="139"/>
      <c r="D65" s="139"/>
      <c r="E65" s="139"/>
      <c r="F65" s="139"/>
      <c r="G65" s="142"/>
      <c r="H65" s="142">
        <v>0.25169999999999998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30" x14ac:dyDescent="0.3">
      <c r="A66" s="14"/>
      <c r="B66" s="1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</row>
    <row r="67" spans="1:30" x14ac:dyDescent="0.3">
      <c r="A67" s="8" t="s">
        <v>172</v>
      </c>
      <c r="B67" s="8"/>
      <c r="C67" s="8"/>
      <c r="D67" s="8"/>
      <c r="E67" s="8"/>
      <c r="F67" s="8"/>
      <c r="G67" s="8"/>
      <c r="H67" s="142"/>
      <c r="I67" s="142" t="e">
        <f>IF(I46&gt;0,IF(I46&lt;$A63,$H63,IF(I46&lt;$A64,$H64,$H65)),0)</f>
        <v>#REF!</v>
      </c>
      <c r="J67" s="142"/>
      <c r="K67" s="142"/>
      <c r="L67" s="142"/>
      <c r="M67" s="142">
        <v>0.25169999999999998</v>
      </c>
      <c r="N67" s="142">
        <f t="shared" ref="N67:AB67" ca="1" si="41">IF(N46&gt;0,IF(N46&lt;$A63,$H63,IF(N46&lt;$A64,$H64,$H65)),0)</f>
        <v>0.25169999999999998</v>
      </c>
      <c r="O67" s="142">
        <f t="shared" ca="1" si="41"/>
        <v>0.25169999999999998</v>
      </c>
      <c r="P67" s="142">
        <f t="shared" ca="1" si="41"/>
        <v>0.25169999999999998</v>
      </c>
      <c r="Q67" s="142">
        <f t="shared" ca="1" si="41"/>
        <v>0.25169999999999998</v>
      </c>
      <c r="R67" s="142">
        <f t="shared" ca="1" si="41"/>
        <v>0</v>
      </c>
      <c r="S67" s="142">
        <f t="shared" ca="1" si="41"/>
        <v>0</v>
      </c>
      <c r="T67" s="142">
        <f t="shared" ca="1" si="41"/>
        <v>0</v>
      </c>
      <c r="U67" s="142">
        <f t="shared" ca="1" si="41"/>
        <v>0</v>
      </c>
      <c r="V67" s="142">
        <f t="shared" ca="1" si="41"/>
        <v>0</v>
      </c>
      <c r="W67" s="142">
        <f t="shared" ca="1" si="41"/>
        <v>0</v>
      </c>
      <c r="X67" s="142">
        <f t="shared" ca="1" si="41"/>
        <v>0</v>
      </c>
      <c r="Y67" s="142">
        <f t="shared" ca="1" si="41"/>
        <v>0</v>
      </c>
      <c r="Z67" s="142">
        <f t="shared" ca="1" si="41"/>
        <v>0</v>
      </c>
      <c r="AA67" s="142">
        <f t="shared" ca="1" si="41"/>
        <v>0</v>
      </c>
      <c r="AB67" s="142">
        <f t="shared" ca="1" si="41"/>
        <v>0</v>
      </c>
      <c r="AC67" s="142">
        <f t="shared" ref="AC67:AD67" ca="1" si="42">IF(AC46&gt;0,IF(AC46&lt;$A63,$H63,IF(AC46&lt;$A64,$H64,$H65)),0)</f>
        <v>0</v>
      </c>
      <c r="AD67" s="142">
        <f t="shared" ca="1" si="42"/>
        <v>0.25169999999999998</v>
      </c>
    </row>
    <row r="70" spans="1:30" s="5" customFormat="1" ht="12" x14ac:dyDescent="0.25">
      <c r="A70" s="32" t="s">
        <v>209</v>
      </c>
      <c r="B70" s="121"/>
      <c r="C70" s="121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</row>
    <row r="71" spans="1:30" s="5" customFormat="1" ht="11.4" x14ac:dyDescent="0.2">
      <c r="B71" s="121"/>
      <c r="C71" s="121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</row>
    <row r="72" spans="1:30" s="5" customFormat="1" ht="12" x14ac:dyDescent="0.25">
      <c r="A72" s="32" t="s">
        <v>129</v>
      </c>
      <c r="B72" s="121"/>
      <c r="C72" s="121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</row>
    <row r="73" spans="1:30" s="5" customFormat="1" ht="11.4" x14ac:dyDescent="0.2">
      <c r="A73" s="180" t="s">
        <v>210</v>
      </c>
      <c r="B73" s="65" t="s">
        <v>58</v>
      </c>
      <c r="C73" s="65"/>
      <c r="D73" s="8"/>
      <c r="E73" s="8"/>
      <c r="F73" s="8"/>
      <c r="G73" s="8"/>
      <c r="H73" s="8"/>
      <c r="I73" s="8"/>
      <c r="J73" s="181"/>
      <c r="K73" s="181"/>
      <c r="L73" s="181"/>
      <c r="M73" s="181">
        <f t="shared" ref="M73:AB73" si="43">L75</f>
        <v>0</v>
      </c>
      <c r="N73" s="181">
        <f t="shared" si="43"/>
        <v>4.4283354188618027</v>
      </c>
      <c r="O73" s="181">
        <f t="shared" si="43"/>
        <v>4.4283354188618027</v>
      </c>
      <c r="P73" s="181">
        <f t="shared" si="43"/>
        <v>4.4283354188618027</v>
      </c>
      <c r="Q73" s="181">
        <f t="shared" si="43"/>
        <v>4.0712115947600447</v>
      </c>
      <c r="R73" s="181">
        <f t="shared" si="43"/>
        <v>4.0712115947600447</v>
      </c>
      <c r="S73" s="181">
        <f t="shared" si="43"/>
        <v>0</v>
      </c>
      <c r="T73" s="181">
        <f t="shared" si="43"/>
        <v>0</v>
      </c>
      <c r="U73" s="181">
        <f t="shared" si="43"/>
        <v>0</v>
      </c>
      <c r="V73" s="181">
        <f t="shared" si="43"/>
        <v>0</v>
      </c>
      <c r="W73" s="181">
        <f t="shared" si="43"/>
        <v>2.3213048566614289</v>
      </c>
      <c r="X73" s="181">
        <f t="shared" si="43"/>
        <v>2.3213048566614289</v>
      </c>
      <c r="Y73" s="181">
        <f t="shared" si="43"/>
        <v>2.3213048566614289</v>
      </c>
      <c r="Z73" s="181">
        <f t="shared" si="43"/>
        <v>1.9641810325596705</v>
      </c>
      <c r="AA73" s="181">
        <f t="shared" si="43"/>
        <v>1.9641810325596705</v>
      </c>
      <c r="AB73" s="181">
        <f t="shared" si="43"/>
        <v>1.9641810325596705</v>
      </c>
      <c r="AC73" s="181">
        <f t="shared" ref="AC73" si="44">AB75</f>
        <v>1.9641810325596705</v>
      </c>
      <c r="AD73" s="181">
        <f t="shared" ref="AD73" si="45">AC75</f>
        <v>1.9641810325596705</v>
      </c>
    </row>
    <row r="74" spans="1:30" s="5" customFormat="1" ht="11.4" x14ac:dyDescent="0.2">
      <c r="A74" s="180" t="s">
        <v>43</v>
      </c>
      <c r="B74" s="65" t="s">
        <v>58</v>
      </c>
      <c r="C74" s="65"/>
      <c r="D74" s="8"/>
      <c r="E74" s="8"/>
      <c r="F74" s="8"/>
      <c r="G74" s="8"/>
      <c r="H74" s="8"/>
      <c r="I74" s="8"/>
      <c r="J74" s="181"/>
      <c r="K74" s="181"/>
      <c r="L74" s="181"/>
      <c r="M74" s="181">
        <f t="shared" ref="M74:AD74" si="46">M19</f>
        <v>7.1655994080000003</v>
      </c>
      <c r="N74" s="181">
        <f t="shared" si="46"/>
        <v>7.1852311872000012</v>
      </c>
      <c r="O74" s="181">
        <f t="shared" si="46"/>
        <v>7.1655994080000003</v>
      </c>
      <c r="P74" s="181">
        <f t="shared" si="46"/>
        <v>6.5877284880000007</v>
      </c>
      <c r="Q74" s="181">
        <f t="shared" si="46"/>
        <v>6.5877284880000007</v>
      </c>
      <c r="R74" s="181">
        <f t="shared" si="46"/>
        <v>0</v>
      </c>
      <c r="S74" s="181">
        <f t="shared" si="46"/>
        <v>0</v>
      </c>
      <c r="T74" s="181">
        <f t="shared" si="46"/>
        <v>0</v>
      </c>
      <c r="U74" s="181">
        <f t="shared" si="46"/>
        <v>0</v>
      </c>
      <c r="V74" s="181">
        <f t="shared" si="46"/>
        <v>3.7664518320000004</v>
      </c>
      <c r="W74" s="181">
        <f t="shared" si="46"/>
        <v>3.7561609800000002</v>
      </c>
      <c r="X74" s="181">
        <f t="shared" si="46"/>
        <v>3.7561609800000002</v>
      </c>
      <c r="Y74" s="181">
        <f t="shared" si="46"/>
        <v>3.1782900600000001</v>
      </c>
      <c r="Z74" s="181">
        <f t="shared" si="46"/>
        <v>3.1869977040000004</v>
      </c>
      <c r="AA74" s="181">
        <f t="shared" si="46"/>
        <v>3.1782900600000001</v>
      </c>
      <c r="AB74" s="181">
        <f t="shared" si="46"/>
        <v>3.1782900600000001</v>
      </c>
      <c r="AC74" s="181">
        <f t="shared" si="46"/>
        <v>3.1782900600000001</v>
      </c>
      <c r="AD74" s="181">
        <f t="shared" si="46"/>
        <v>3.1869977040000004</v>
      </c>
    </row>
    <row r="75" spans="1:30" s="5" customFormat="1" ht="12" x14ac:dyDescent="0.25">
      <c r="A75" s="182" t="s">
        <v>103</v>
      </c>
      <c r="B75" s="65" t="s">
        <v>58</v>
      </c>
      <c r="C75" s="65"/>
      <c r="D75" s="8"/>
      <c r="E75" s="8"/>
      <c r="F75" s="8"/>
      <c r="G75" s="8"/>
      <c r="H75" s="8"/>
      <c r="I75" s="7">
        <f>Assumptions!I63</f>
        <v>3.2818000000000001</v>
      </c>
      <c r="J75" s="184"/>
      <c r="K75" s="184"/>
      <c r="L75" s="184"/>
      <c r="M75" s="184">
        <f>M74*(Assumptions!$M$65/'RKA P&amp;L'!M3)</f>
        <v>4.4283354188618027</v>
      </c>
      <c r="N75" s="184">
        <f>N74*(Assumptions!$M$65/'RKA P&amp;L'!N3)</f>
        <v>4.4283354188618027</v>
      </c>
      <c r="O75" s="184">
        <f>O74*(Assumptions!$M$65/'RKA P&amp;L'!O3)</f>
        <v>4.4283354188618027</v>
      </c>
      <c r="P75" s="184">
        <f>P74*(Assumptions!$M$65/'RKA P&amp;L'!P3)</f>
        <v>4.0712115947600447</v>
      </c>
      <c r="Q75" s="184">
        <f>Q74*(Assumptions!$M$65/'RKA P&amp;L'!Q3)</f>
        <v>4.0712115947600447</v>
      </c>
      <c r="R75" s="184">
        <f>R74*(Assumptions!$M$65/'RKA P&amp;L'!R3)</f>
        <v>0</v>
      </c>
      <c r="S75" s="184">
        <f>S74*(Assumptions!$M$65/'RKA P&amp;L'!S3)</f>
        <v>0</v>
      </c>
      <c r="T75" s="184">
        <f>T74*(Assumptions!$M$65/'RKA P&amp;L'!T3)</f>
        <v>0</v>
      </c>
      <c r="U75" s="184">
        <f>U74*(Assumptions!$M$65/'RKA P&amp;L'!U3)</f>
        <v>0</v>
      </c>
      <c r="V75" s="184">
        <f>V74*(Assumptions!$M$65/'RKA P&amp;L'!V3)</f>
        <v>2.3213048566614289</v>
      </c>
      <c r="W75" s="184">
        <f>W74*(Assumptions!$M$65/'RKA P&amp;L'!W3)</f>
        <v>2.3213048566614289</v>
      </c>
      <c r="X75" s="184">
        <f>X74*(Assumptions!$M$65/'RKA P&amp;L'!X3)</f>
        <v>2.3213048566614289</v>
      </c>
      <c r="Y75" s="184">
        <f>Y74*(Assumptions!$M$65/'RKA P&amp;L'!Y3)</f>
        <v>1.9641810325596705</v>
      </c>
      <c r="Z75" s="184">
        <f>Z74*(Assumptions!$M$65/'RKA P&amp;L'!Z3)</f>
        <v>1.9641810325596705</v>
      </c>
      <c r="AA75" s="184">
        <f>AA74*(Assumptions!$M$65/'RKA P&amp;L'!AA3)</f>
        <v>1.9641810325596705</v>
      </c>
      <c r="AB75" s="184">
        <f>AB74*(Assumptions!$M$65/'RKA P&amp;L'!AB3)</f>
        <v>1.9641810325596705</v>
      </c>
      <c r="AC75" s="184">
        <f>AC74*(Assumptions!$M$65/'RKA P&amp;L'!AC3)</f>
        <v>1.9641810325596705</v>
      </c>
      <c r="AD75" s="184">
        <f>AD74*(Assumptions!$M$65/'RKA P&amp;L'!AD3)</f>
        <v>1.9641810325596705</v>
      </c>
    </row>
    <row r="76" spans="1:30" s="5" customFormat="1" ht="11.4" x14ac:dyDescent="0.2">
      <c r="A76" s="180" t="s">
        <v>211</v>
      </c>
      <c r="B76" s="65" t="s">
        <v>58</v>
      </c>
      <c r="C76" s="65"/>
      <c r="D76" s="8"/>
      <c r="E76" s="8"/>
      <c r="F76" s="8"/>
      <c r="G76" s="8"/>
      <c r="H76" s="8"/>
      <c r="I76" s="8"/>
      <c r="J76" s="181"/>
      <c r="K76" s="181"/>
      <c r="L76" s="181"/>
      <c r="M76" s="181">
        <f t="shared" ref="M76:AB76" si="47">+M73+M74-M75</f>
        <v>2.7372639891381976</v>
      </c>
      <c r="N76" s="181">
        <f t="shared" si="47"/>
        <v>7.1852311872000012</v>
      </c>
      <c r="O76" s="181">
        <f t="shared" si="47"/>
        <v>7.1655994080000003</v>
      </c>
      <c r="P76" s="181">
        <f t="shared" si="47"/>
        <v>6.9448523121017578</v>
      </c>
      <c r="Q76" s="181">
        <f t="shared" si="47"/>
        <v>6.5877284880000007</v>
      </c>
      <c r="R76" s="181">
        <f t="shared" si="47"/>
        <v>4.0712115947600447</v>
      </c>
      <c r="S76" s="181">
        <f t="shared" si="47"/>
        <v>0</v>
      </c>
      <c r="T76" s="181">
        <f t="shared" si="47"/>
        <v>0</v>
      </c>
      <c r="U76" s="181">
        <f t="shared" si="47"/>
        <v>0</v>
      </c>
      <c r="V76" s="181">
        <f t="shared" si="47"/>
        <v>1.4451469753385715</v>
      </c>
      <c r="W76" s="181">
        <f t="shared" si="47"/>
        <v>3.7561609800000002</v>
      </c>
      <c r="X76" s="181">
        <f t="shared" si="47"/>
        <v>3.7561609800000002</v>
      </c>
      <c r="Y76" s="181">
        <f t="shared" si="47"/>
        <v>3.5354138841017591</v>
      </c>
      <c r="Z76" s="181">
        <f t="shared" si="47"/>
        <v>3.1869977040000004</v>
      </c>
      <c r="AA76" s="181">
        <f t="shared" si="47"/>
        <v>3.1782900600000001</v>
      </c>
      <c r="AB76" s="181">
        <f t="shared" si="47"/>
        <v>3.1782900600000001</v>
      </c>
      <c r="AC76" s="181">
        <f t="shared" ref="AC76:AD76" si="48">+AC73+AC74-AC75</f>
        <v>3.1782900600000001</v>
      </c>
      <c r="AD76" s="181">
        <f t="shared" si="48"/>
        <v>3.1869977040000004</v>
      </c>
    </row>
    <row r="77" spans="1:30" s="5" customFormat="1" ht="11.4" x14ac:dyDescent="0.2">
      <c r="B77" s="121"/>
      <c r="C77" s="121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</row>
    <row r="78" spans="1:30" s="5" customFormat="1" x14ac:dyDescent="0.3">
      <c r="A78" s="8" t="s">
        <v>240</v>
      </c>
      <c r="B78" s="65" t="s">
        <v>58</v>
      </c>
      <c r="C78" s="65"/>
      <c r="D78" s="8"/>
      <c r="E78" s="8"/>
      <c r="F78" s="8"/>
      <c r="G78" s="8"/>
      <c r="H78" s="8"/>
      <c r="I78" s="195">
        <v>0</v>
      </c>
      <c r="J78"/>
      <c r="K78"/>
      <c r="L78"/>
      <c r="M78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</row>
    <row r="79" spans="1:30" s="5" customFormat="1" x14ac:dyDescent="0.3">
      <c r="B79" s="121"/>
      <c r="C79" s="121"/>
      <c r="I79" s="18"/>
      <c r="J79"/>
      <c r="K79"/>
      <c r="L79"/>
      <c r="M79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</row>
    <row r="80" spans="1:30" s="5" customFormat="1" x14ac:dyDescent="0.3">
      <c r="A80" s="8" t="s">
        <v>239</v>
      </c>
      <c r="B80" s="65" t="s">
        <v>58</v>
      </c>
      <c r="C80" s="65"/>
      <c r="D80" s="8"/>
      <c r="E80" s="8"/>
      <c r="F80" s="8"/>
      <c r="G80" s="8"/>
      <c r="H80" s="8"/>
      <c r="I80" s="195">
        <v>0</v>
      </c>
      <c r="J80"/>
      <c r="K80"/>
      <c r="L80"/>
      <c r="M80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</row>
    <row r="81" spans="1:30" s="5" customFormat="1" x14ac:dyDescent="0.3">
      <c r="B81" s="121"/>
      <c r="C81" s="121"/>
      <c r="I81" s="18"/>
      <c r="J81"/>
      <c r="K81"/>
      <c r="L81"/>
      <c r="M81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</row>
    <row r="82" spans="1:30" s="5" customFormat="1" x14ac:dyDescent="0.3">
      <c r="A82" s="8" t="s">
        <v>226</v>
      </c>
      <c r="B82" s="65" t="s">
        <v>58</v>
      </c>
      <c r="C82" s="65"/>
      <c r="D82" s="8"/>
      <c r="E82" s="8"/>
      <c r="F82" s="8"/>
      <c r="G82" s="8"/>
      <c r="H82" s="8"/>
      <c r="I82" s="195">
        <v>0.26929999999999998</v>
      </c>
      <c r="J82"/>
      <c r="K82"/>
      <c r="L82"/>
      <c r="M82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</row>
    <row r="83" spans="1:30" s="5" customFormat="1" ht="11.4" x14ac:dyDescent="0.2">
      <c r="B83" s="121"/>
      <c r="C83" s="121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</row>
    <row r="84" spans="1:30" s="5" customFormat="1" ht="12" x14ac:dyDescent="0.25">
      <c r="A84" s="32" t="s">
        <v>131</v>
      </c>
      <c r="B84" s="121"/>
      <c r="C84" s="121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</row>
    <row r="85" spans="1:30" s="5" customFormat="1" ht="11.4" x14ac:dyDescent="0.2">
      <c r="A85" s="180" t="s">
        <v>210</v>
      </c>
      <c r="B85" s="65" t="s">
        <v>58</v>
      </c>
      <c r="C85" s="65"/>
      <c r="D85" s="8"/>
      <c r="E85" s="8"/>
      <c r="F85" s="8"/>
      <c r="G85" s="8"/>
      <c r="H85" s="8"/>
      <c r="I85" s="8"/>
      <c r="J85" s="181"/>
      <c r="K85" s="181"/>
      <c r="L85" s="181"/>
      <c r="M85" s="181">
        <f t="shared" ref="M85:AB85" si="49">L87</f>
        <v>0</v>
      </c>
      <c r="N85" s="181">
        <f t="shared" si="49"/>
        <v>0.76604070000242275</v>
      </c>
      <c r="O85" s="181">
        <f t="shared" si="49"/>
        <v>0.80214507725663531</v>
      </c>
      <c r="P85" s="181">
        <f t="shared" si="49"/>
        <v>0.844559871752671</v>
      </c>
      <c r="Q85" s="181">
        <f t="shared" si="49"/>
        <v>0.88678786534030463</v>
      </c>
      <c r="R85" s="181">
        <f t="shared" si="49"/>
        <v>0.93112725860731993</v>
      </c>
      <c r="S85" s="181">
        <f t="shared" si="49"/>
        <v>0.97501235481217319</v>
      </c>
      <c r="T85" s="181">
        <f t="shared" si="49"/>
        <v>1.0265678026145704</v>
      </c>
      <c r="U85" s="181">
        <f t="shared" si="49"/>
        <v>1.0778961927452988</v>
      </c>
      <c r="V85" s="181">
        <f t="shared" si="49"/>
        <v>1.1317910023825639</v>
      </c>
      <c r="W85" s="181">
        <f t="shared" si="49"/>
        <v>1.1851336111014144</v>
      </c>
      <c r="X85" s="181">
        <f t="shared" si="49"/>
        <v>1.2477995801267767</v>
      </c>
      <c r="Y85" s="181">
        <f t="shared" si="49"/>
        <v>1.3101895591331156</v>
      </c>
      <c r="Z85" s="181">
        <f t="shared" si="49"/>
        <v>1.3756990370897715</v>
      </c>
      <c r="AA85" s="181">
        <f t="shared" si="49"/>
        <v>1.4405373113788387</v>
      </c>
      <c r="AB85" s="181">
        <f t="shared" si="49"/>
        <v>1.5167081883914733</v>
      </c>
      <c r="AC85" s="181">
        <f t="shared" ref="AC85" si="50">AB87</f>
        <v>1.5925435978110469</v>
      </c>
      <c r="AD85" s="181">
        <f t="shared" ref="AD85" si="51">AC87</f>
        <v>1.6721707777015993</v>
      </c>
    </row>
    <row r="86" spans="1:30" s="5" customFormat="1" ht="11.4" x14ac:dyDescent="0.2">
      <c r="A86" s="180" t="s">
        <v>43</v>
      </c>
      <c r="B86" s="65" t="s">
        <v>58</v>
      </c>
      <c r="C86" s="65"/>
      <c r="D86" s="8"/>
      <c r="E86" s="8"/>
      <c r="F86" s="8"/>
      <c r="G86" s="8"/>
      <c r="H86" s="8"/>
      <c r="I86" s="8"/>
      <c r="J86" s="181"/>
      <c r="K86" s="181"/>
      <c r="L86" s="181"/>
      <c r="M86" s="181">
        <f t="shared" ref="M86:AD86" si="52">M24</f>
        <v>0.48636000000000007</v>
      </c>
      <c r="N86" s="181">
        <f t="shared" si="52"/>
        <v>0.51067800000000008</v>
      </c>
      <c r="O86" s="181">
        <f t="shared" si="52"/>
        <v>0.53621190000000007</v>
      </c>
      <c r="P86" s="181">
        <f t="shared" si="52"/>
        <v>0.56302249500000012</v>
      </c>
      <c r="Q86" s="181">
        <f t="shared" si="52"/>
        <v>0.59117361975000016</v>
      </c>
      <c r="R86" s="181">
        <f t="shared" si="52"/>
        <v>0.62073230073750019</v>
      </c>
      <c r="S86" s="181">
        <f t="shared" si="52"/>
        <v>0.65176891577437523</v>
      </c>
      <c r="T86" s="181">
        <f t="shared" si="52"/>
        <v>0.68435736156309401</v>
      </c>
      <c r="U86" s="181">
        <f t="shared" si="52"/>
        <v>0.71857522964124876</v>
      </c>
      <c r="V86" s="181">
        <f t="shared" si="52"/>
        <v>0.75450399112331124</v>
      </c>
      <c r="W86" s="181">
        <f t="shared" si="52"/>
        <v>0.79222919067947684</v>
      </c>
      <c r="X86" s="181">
        <f t="shared" si="52"/>
        <v>0.83184065021345066</v>
      </c>
      <c r="Y86" s="181">
        <f t="shared" si="52"/>
        <v>0.87343268272412322</v>
      </c>
      <c r="Z86" s="181">
        <f t="shared" si="52"/>
        <v>0.91710431686032945</v>
      </c>
      <c r="AA86" s="181">
        <f t="shared" si="52"/>
        <v>0.962959532703346</v>
      </c>
      <c r="AB86" s="181">
        <f t="shared" si="52"/>
        <v>1.0111075093385133</v>
      </c>
      <c r="AC86" s="181">
        <f t="shared" si="52"/>
        <v>1.061662884805439</v>
      </c>
      <c r="AD86" s="181">
        <f t="shared" si="52"/>
        <v>1.114746029045711</v>
      </c>
    </row>
    <row r="87" spans="1:30" s="5" customFormat="1" ht="12" x14ac:dyDescent="0.25">
      <c r="A87" s="182" t="s">
        <v>103</v>
      </c>
      <c r="B87" s="183" t="s">
        <v>58</v>
      </c>
      <c r="C87" s="65"/>
      <c r="D87" s="8"/>
      <c r="E87" s="8"/>
      <c r="F87" s="8"/>
      <c r="G87" s="8"/>
      <c r="H87" s="8"/>
      <c r="I87" s="7">
        <f>Assumptions!I68</f>
        <v>0.19059999999999999</v>
      </c>
      <c r="J87" s="184"/>
      <c r="K87" s="184"/>
      <c r="L87" s="184"/>
      <c r="M87" s="184">
        <f>M86*(Assumptions!$M$70/'RKA P&amp;L'!M3)</f>
        <v>0.76604070000242275</v>
      </c>
      <c r="N87" s="184">
        <f>N86*(Assumptions!$M$70/'RKA P&amp;L'!N3)</f>
        <v>0.80214507725663531</v>
      </c>
      <c r="O87" s="184">
        <f>O86*(Assumptions!$M$70/'RKA P&amp;L'!O3)</f>
        <v>0.844559871752671</v>
      </c>
      <c r="P87" s="184">
        <f>P86*(Assumptions!$M$70/'RKA P&amp;L'!P3)</f>
        <v>0.88678786534030463</v>
      </c>
      <c r="Q87" s="184">
        <f>Q86*(Assumptions!$M$70/'RKA P&amp;L'!Q3)</f>
        <v>0.93112725860731993</v>
      </c>
      <c r="R87" s="184">
        <f>R86*(Assumptions!$M$70/'RKA P&amp;L'!R3)</f>
        <v>0.97501235481217319</v>
      </c>
      <c r="S87" s="184">
        <f>S86*(Assumptions!$M$70/'RKA P&amp;L'!S3)</f>
        <v>1.0265678026145704</v>
      </c>
      <c r="T87" s="184">
        <f>T86*(Assumptions!$M$70/'RKA P&amp;L'!T3)</f>
        <v>1.0778961927452988</v>
      </c>
      <c r="U87" s="184">
        <f>U86*(Assumptions!$M$70/'RKA P&amp;L'!U3)</f>
        <v>1.1317910023825639</v>
      </c>
      <c r="V87" s="184">
        <f>V86*(Assumptions!$M$70/'RKA P&amp;L'!V3)</f>
        <v>1.1851336111014144</v>
      </c>
      <c r="W87" s="184">
        <f>W86*(Assumptions!$M$70/'RKA P&amp;L'!W3)</f>
        <v>1.2477995801267767</v>
      </c>
      <c r="X87" s="184">
        <f>X86*(Assumptions!$M$70/'RKA P&amp;L'!X3)</f>
        <v>1.3101895591331156</v>
      </c>
      <c r="Y87" s="184">
        <f>Y86*(Assumptions!$M$70/'RKA P&amp;L'!Y3)</f>
        <v>1.3756990370897715</v>
      </c>
      <c r="Z87" s="184">
        <f>Z86*(Assumptions!$M$70/'RKA P&amp;L'!Z3)</f>
        <v>1.4405373113788387</v>
      </c>
      <c r="AA87" s="184">
        <f>AA86*(Assumptions!$M$70/'RKA P&amp;L'!AA3)</f>
        <v>1.5167081883914733</v>
      </c>
      <c r="AB87" s="184">
        <f>AB86*(Assumptions!$M$70/'RKA P&amp;L'!AB3)</f>
        <v>1.5925435978110469</v>
      </c>
      <c r="AC87" s="184">
        <f>AC86*(Assumptions!$M$70/'RKA P&amp;L'!AC3)</f>
        <v>1.6721707777015993</v>
      </c>
      <c r="AD87" s="184">
        <f>AD86*(Assumptions!$M$70/'RKA P&amp;L'!AD3)</f>
        <v>1.7509821053391748</v>
      </c>
    </row>
    <row r="88" spans="1:30" s="5" customFormat="1" ht="11.4" x14ac:dyDescent="0.2">
      <c r="A88" s="8" t="s">
        <v>212</v>
      </c>
      <c r="B88" s="65" t="s">
        <v>58</v>
      </c>
      <c r="C88" s="65"/>
      <c r="D88" s="8"/>
      <c r="E88" s="8"/>
      <c r="F88" s="8"/>
      <c r="G88" s="8"/>
      <c r="H88" s="8"/>
      <c r="I88" s="8"/>
      <c r="J88" s="181"/>
      <c r="K88" s="181"/>
      <c r="L88" s="181"/>
      <c r="M88" s="181">
        <f t="shared" ref="M88:AB88" si="53">+M85+M86-M87</f>
        <v>-0.27968070000242268</v>
      </c>
      <c r="N88" s="181">
        <f t="shared" si="53"/>
        <v>0.47457362274578763</v>
      </c>
      <c r="O88" s="181">
        <f t="shared" si="53"/>
        <v>0.49379710550396427</v>
      </c>
      <c r="P88" s="181">
        <f t="shared" si="53"/>
        <v>0.52079450141236638</v>
      </c>
      <c r="Q88" s="181">
        <f t="shared" si="53"/>
        <v>0.54683422648298496</v>
      </c>
      <c r="R88" s="181">
        <f t="shared" si="53"/>
        <v>0.57684720453264693</v>
      </c>
      <c r="S88" s="181">
        <f t="shared" si="53"/>
        <v>0.60021346797197817</v>
      </c>
      <c r="T88" s="181">
        <f t="shared" si="53"/>
        <v>0.63302897143236558</v>
      </c>
      <c r="U88" s="181">
        <f t="shared" si="53"/>
        <v>0.66468042000398353</v>
      </c>
      <c r="V88" s="181">
        <f t="shared" si="53"/>
        <v>0.70116138240446091</v>
      </c>
      <c r="W88" s="181">
        <f t="shared" si="53"/>
        <v>0.72956322165411458</v>
      </c>
      <c r="X88" s="181">
        <f t="shared" si="53"/>
        <v>0.76945067120711164</v>
      </c>
      <c r="Y88" s="181">
        <f t="shared" si="53"/>
        <v>0.80792320476746737</v>
      </c>
      <c r="Z88" s="181">
        <f t="shared" si="53"/>
        <v>0.85226604257126226</v>
      </c>
      <c r="AA88" s="181">
        <f t="shared" si="53"/>
        <v>0.88678865569071141</v>
      </c>
      <c r="AB88" s="181">
        <f t="shared" si="53"/>
        <v>0.93527209991893967</v>
      </c>
      <c r="AC88" s="181">
        <f t="shared" ref="AC88:AD88" si="54">+AC85+AC86-AC87</f>
        <v>0.98203570491488645</v>
      </c>
      <c r="AD88" s="181">
        <f t="shared" si="54"/>
        <v>1.0359347014081357</v>
      </c>
    </row>
    <row r="89" spans="1:30" s="5" customFormat="1" ht="11.4" x14ac:dyDescent="0.2">
      <c r="B89" s="121"/>
      <c r="C89" s="121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</row>
    <row r="90" spans="1:30" s="5" customFormat="1" ht="12" x14ac:dyDescent="0.25">
      <c r="A90" s="8" t="s">
        <v>229</v>
      </c>
      <c r="B90" s="65" t="s">
        <v>58</v>
      </c>
      <c r="C90" s="65"/>
      <c r="D90" s="8"/>
      <c r="E90" s="8"/>
      <c r="F90" s="8"/>
      <c r="G90" s="8"/>
      <c r="H90" s="8"/>
      <c r="I90" s="7">
        <v>5.8937999999999997</v>
      </c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</row>
    <row r="91" spans="1:30" s="5" customFormat="1" ht="11.4" x14ac:dyDescent="0.2">
      <c r="B91" s="121"/>
      <c r="C91" s="121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</row>
    <row r="92" spans="1:30" s="5" customFormat="1" ht="12" x14ac:dyDescent="0.25">
      <c r="A92" s="32" t="s">
        <v>213</v>
      </c>
      <c r="B92" s="183" t="s">
        <v>58</v>
      </c>
      <c r="C92" s="65"/>
      <c r="D92" s="8"/>
      <c r="E92" s="8"/>
      <c r="F92" s="8"/>
      <c r="G92" s="8"/>
      <c r="H92" s="8"/>
      <c r="I92" s="195">
        <f>I75+I78+I82-I87-I90+I80</f>
        <v>-2.5332999999999997</v>
      </c>
      <c r="J92" s="53"/>
      <c r="K92" s="53"/>
      <c r="L92" s="53"/>
      <c r="M92" s="53">
        <f t="shared" ref="M92:AD92" si="55">M75-M87</f>
        <v>3.6622947188593802</v>
      </c>
      <c r="N92" s="53">
        <f t="shared" si="55"/>
        <v>3.6261903416051675</v>
      </c>
      <c r="O92" s="53">
        <f t="shared" si="55"/>
        <v>3.5837755471091315</v>
      </c>
      <c r="P92" s="53">
        <f t="shared" si="55"/>
        <v>3.1844237294197399</v>
      </c>
      <c r="Q92" s="53">
        <f t="shared" si="55"/>
        <v>3.1400843361527246</v>
      </c>
      <c r="R92" s="53">
        <f t="shared" si="55"/>
        <v>-0.97501235481217319</v>
      </c>
      <c r="S92" s="53">
        <f t="shared" si="55"/>
        <v>-1.0265678026145704</v>
      </c>
      <c r="T92" s="53">
        <f t="shared" si="55"/>
        <v>-1.0778961927452988</v>
      </c>
      <c r="U92" s="53">
        <f t="shared" si="55"/>
        <v>-1.1317910023825639</v>
      </c>
      <c r="V92" s="53">
        <f t="shared" si="55"/>
        <v>1.1361712455600146</v>
      </c>
      <c r="W92" s="53">
        <f t="shared" si="55"/>
        <v>1.0735052765346522</v>
      </c>
      <c r="X92" s="53">
        <f t="shared" si="55"/>
        <v>1.0111152975283133</v>
      </c>
      <c r="Y92" s="53">
        <f t="shared" si="55"/>
        <v>0.58848199546989899</v>
      </c>
      <c r="Z92" s="53">
        <f t="shared" si="55"/>
        <v>0.5236437211808318</v>
      </c>
      <c r="AA92" s="53">
        <f t="shared" si="55"/>
        <v>0.44747284416819721</v>
      </c>
      <c r="AB92" s="53">
        <f t="shared" si="55"/>
        <v>0.37163743474862354</v>
      </c>
      <c r="AC92" s="53">
        <f t="shared" si="55"/>
        <v>0.29201025485807119</v>
      </c>
      <c r="AD92" s="53">
        <f t="shared" si="55"/>
        <v>0.21319892722049572</v>
      </c>
    </row>
    <row r="93" spans="1:30" s="5" customFormat="1" ht="11.4" x14ac:dyDescent="0.2">
      <c r="B93" s="121"/>
      <c r="C93" s="121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</row>
    <row r="94" spans="1:30" s="5" customFormat="1" ht="12" x14ac:dyDescent="0.25">
      <c r="A94" s="32" t="s">
        <v>214</v>
      </c>
      <c r="B94" s="183" t="s">
        <v>58</v>
      </c>
      <c r="C94" s="65"/>
      <c r="D94" s="8"/>
      <c r="E94" s="8"/>
      <c r="F94" s="8"/>
      <c r="G94" s="8"/>
      <c r="H94" s="8"/>
      <c r="I94" s="8"/>
      <c r="J94" s="184"/>
      <c r="K94" s="184"/>
      <c r="L94" s="184"/>
      <c r="M94" s="184">
        <f t="shared" ref="M94:AD94" si="56">+M92-L92</f>
        <v>3.6622947188593802</v>
      </c>
      <c r="N94" s="184">
        <f t="shared" si="56"/>
        <v>-3.6104377254212672E-2</v>
      </c>
      <c r="O94" s="184">
        <f t="shared" si="56"/>
        <v>-4.2414794496036023E-2</v>
      </c>
      <c r="P94" s="184">
        <f t="shared" si="56"/>
        <v>-0.39935181768939154</v>
      </c>
      <c r="Q94" s="184">
        <f t="shared" si="56"/>
        <v>-4.4339393267015303E-2</v>
      </c>
      <c r="R94" s="184">
        <f t="shared" si="56"/>
        <v>-4.1150966909648981</v>
      </c>
      <c r="S94" s="184">
        <f t="shared" si="56"/>
        <v>-5.1555447802397181E-2</v>
      </c>
      <c r="T94" s="184">
        <f t="shared" si="56"/>
        <v>-5.132839013072843E-2</v>
      </c>
      <c r="U94" s="184">
        <f t="shared" si="56"/>
        <v>-5.3894809637265118E-2</v>
      </c>
      <c r="V94" s="184">
        <f t="shared" si="56"/>
        <v>2.2679622479425783</v>
      </c>
      <c r="W94" s="184">
        <f t="shared" si="56"/>
        <v>-6.2665969025362367E-2</v>
      </c>
      <c r="X94" s="184">
        <f t="shared" si="56"/>
        <v>-6.2389979006338914E-2</v>
      </c>
      <c r="Y94" s="184">
        <f t="shared" si="56"/>
        <v>-0.42263330205841432</v>
      </c>
      <c r="Z94" s="184">
        <f t="shared" si="56"/>
        <v>-6.4838274289067188E-2</v>
      </c>
      <c r="AA94" s="184">
        <f t="shared" si="56"/>
        <v>-7.6170877012634586E-2</v>
      </c>
      <c r="AB94" s="184">
        <f t="shared" si="56"/>
        <v>-7.5835409419573674E-2</v>
      </c>
      <c r="AC94" s="184">
        <f t="shared" si="56"/>
        <v>-7.9627179890552346E-2</v>
      </c>
      <c r="AD94" s="184">
        <f t="shared" si="56"/>
        <v>-7.8811327637575479E-2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"/>
  <sheetViews>
    <sheetView workbookViewId="0">
      <selection activeCell="N49" sqref="N49"/>
    </sheetView>
  </sheetViews>
  <sheetFormatPr defaultRowHeight="14.4" x14ac:dyDescent="0.3"/>
  <cols>
    <col min="1" max="1" width="54.6640625" bestFit="1" customWidth="1"/>
    <col min="2" max="2" width="9.44140625" bestFit="1" customWidth="1"/>
    <col min="3" max="3" width="11.33203125" bestFit="1" customWidth="1"/>
    <col min="4" max="4" width="11.6640625" bestFit="1" customWidth="1"/>
    <col min="5" max="5" width="9.6640625" bestFit="1" customWidth="1"/>
    <col min="6" max="7" width="8.44140625" bestFit="1" customWidth="1"/>
    <col min="8" max="8" width="9.33203125" bestFit="1" customWidth="1"/>
    <col min="9" max="13" width="8.44140625" bestFit="1" customWidth="1"/>
  </cols>
  <sheetData>
    <row r="1" spans="1:26" x14ac:dyDescent="0.3">
      <c r="A1" s="101" t="s">
        <v>244</v>
      </c>
    </row>
    <row r="3" spans="1:26" ht="28.8" x14ac:dyDescent="0.3">
      <c r="A3" s="97" t="s">
        <v>93</v>
      </c>
      <c r="B3" s="97" t="s">
        <v>94</v>
      </c>
      <c r="C3" s="97" t="s">
        <v>95</v>
      </c>
      <c r="D3" s="97" t="s">
        <v>96</v>
      </c>
      <c r="E3" s="97" t="s">
        <v>97</v>
      </c>
      <c r="F3" s="97" t="s">
        <v>98</v>
      </c>
    </row>
    <row r="4" spans="1:26" x14ac:dyDescent="0.3">
      <c r="A4" s="92" t="s">
        <v>220</v>
      </c>
      <c r="B4" s="92" t="s">
        <v>58</v>
      </c>
      <c r="C4" s="92">
        <v>20.845600000000001</v>
      </c>
      <c r="D4" s="93">
        <f>Assumptions!$C$31</f>
        <v>0.12</v>
      </c>
      <c r="E4" s="94">
        <f>F4*4</f>
        <v>20</v>
      </c>
      <c r="F4" s="95">
        <v>5</v>
      </c>
    </row>
    <row r="5" spans="1:26" x14ac:dyDescent="0.3">
      <c r="A5" s="92" t="s">
        <v>221</v>
      </c>
      <c r="B5" s="92" t="s">
        <v>58</v>
      </c>
      <c r="C5" s="92">
        <v>0</v>
      </c>
      <c r="D5" s="93">
        <f>Assumptions!$C$31</f>
        <v>0.12</v>
      </c>
      <c r="E5" s="94">
        <f>F5*4</f>
        <v>20</v>
      </c>
      <c r="F5" s="95">
        <v>5</v>
      </c>
    </row>
    <row r="6" spans="1:26" x14ac:dyDescent="0.3">
      <c r="A6" s="126" t="s">
        <v>99</v>
      </c>
      <c r="B6" s="176" t="s">
        <v>58</v>
      </c>
      <c r="C6" s="177">
        <f>SUM(C4:C5)</f>
        <v>20.845600000000001</v>
      </c>
      <c r="D6" s="178">
        <f>SUMPRODUCT(C4:C5,D4:D5)/C6</f>
        <v>0.12</v>
      </c>
      <c r="E6" s="179"/>
      <c r="F6" s="179">
        <f>F5</f>
        <v>5</v>
      </c>
    </row>
    <row r="8" spans="1:26" x14ac:dyDescent="0.3">
      <c r="A8" s="97" t="s">
        <v>93</v>
      </c>
      <c r="B8" s="98">
        <f>Assumptions!J$4</f>
        <v>43921</v>
      </c>
      <c r="C8" s="98">
        <f>Assumptions!K$4</f>
        <v>44286</v>
      </c>
      <c r="D8" s="98">
        <f>Assumptions!L$4</f>
        <v>44651</v>
      </c>
      <c r="E8" s="98">
        <f>Assumptions!M$4</f>
        <v>45016</v>
      </c>
      <c r="F8" s="98">
        <f>Assumptions!N$4</f>
        <v>45382</v>
      </c>
      <c r="G8" s="98">
        <f>Assumptions!O$4</f>
        <v>45747</v>
      </c>
      <c r="H8" s="98">
        <f>Assumptions!P$4</f>
        <v>46112</v>
      </c>
      <c r="I8" s="98">
        <f>Assumptions!Q$4</f>
        <v>46477</v>
      </c>
      <c r="J8" s="98">
        <f>Assumptions!R$4</f>
        <v>46843</v>
      </c>
      <c r="K8" s="98">
        <f>Assumptions!S$4</f>
        <v>47208</v>
      </c>
      <c r="L8" s="98">
        <f>Assumptions!T$4</f>
        <v>47573</v>
      </c>
      <c r="M8" s="98">
        <f>Assumptions!U$4</f>
        <v>47938</v>
      </c>
      <c r="N8" s="98">
        <f>Assumptions!V$4</f>
        <v>48304</v>
      </c>
      <c r="O8" s="98">
        <f>Assumptions!W$4</f>
        <v>48669</v>
      </c>
      <c r="P8" s="98">
        <f>Assumptions!X$4</f>
        <v>49034</v>
      </c>
      <c r="Q8" s="98">
        <f>Assumptions!Y$4</f>
        <v>49399</v>
      </c>
      <c r="R8" s="98">
        <f>Assumptions!Z$4</f>
        <v>49765</v>
      </c>
      <c r="S8" s="98">
        <f>Assumptions!AA$4</f>
        <v>50130</v>
      </c>
      <c r="T8" s="98">
        <f>Assumptions!AB$4</f>
        <v>50495</v>
      </c>
      <c r="U8" s="98">
        <f>Assumptions!AC$4</f>
        <v>50860</v>
      </c>
      <c r="V8" s="98">
        <f>Assumptions!AD$4</f>
        <v>51226</v>
      </c>
      <c r="W8" s="98">
        <f>Assumptions!AE$4</f>
        <v>0</v>
      </c>
      <c r="X8" s="98">
        <f>Assumptions!AF$4</f>
        <v>0</v>
      </c>
      <c r="Y8" s="98">
        <f>Assumptions!AG$4</f>
        <v>0</v>
      </c>
      <c r="Z8" s="98">
        <f>Assumptions!AH$4</f>
        <v>0</v>
      </c>
    </row>
    <row r="9" spans="1:26" x14ac:dyDescent="0.3">
      <c r="A9" s="2" t="s">
        <v>100</v>
      </c>
      <c r="B9" s="96"/>
      <c r="C9" s="96"/>
      <c r="D9" s="96">
        <f>C6</f>
        <v>20.845600000000001</v>
      </c>
      <c r="E9" s="96">
        <f t="shared" ref="E9" si="0">D12</f>
        <v>16.676480000000002</v>
      </c>
      <c r="F9" s="96">
        <f t="shared" ref="F9" si="1">E12</f>
        <v>12.507360000000002</v>
      </c>
      <c r="G9" s="96">
        <f t="shared" ref="G9" si="2">F12</f>
        <v>8.3382400000000025</v>
      </c>
      <c r="H9" s="96">
        <f t="shared" ref="H9" si="3">G12</f>
        <v>4.1691200000000022</v>
      </c>
      <c r="I9" s="96">
        <f t="shared" ref="I9" si="4">H12</f>
        <v>0</v>
      </c>
      <c r="J9" s="96">
        <f t="shared" ref="J9" si="5">I12</f>
        <v>0</v>
      </c>
      <c r="K9" s="96">
        <f t="shared" ref="K9" si="6">J12</f>
        <v>0</v>
      </c>
      <c r="L9" s="96">
        <f t="shared" ref="L9" si="7">K12</f>
        <v>0</v>
      </c>
      <c r="M9" s="96">
        <f t="shared" ref="M9" si="8">L12</f>
        <v>0</v>
      </c>
      <c r="N9" s="96">
        <f t="shared" ref="N9" si="9">M12</f>
        <v>0</v>
      </c>
      <c r="O9" s="96">
        <f t="shared" ref="O9" si="10">N12</f>
        <v>0</v>
      </c>
      <c r="P9" s="96">
        <f t="shared" ref="P9" si="11">O12</f>
        <v>0</v>
      </c>
      <c r="Q9" s="96">
        <f t="shared" ref="Q9" si="12">P12</f>
        <v>0</v>
      </c>
      <c r="R9" s="96">
        <f t="shared" ref="R9" si="13">Q12</f>
        <v>0</v>
      </c>
      <c r="S9" s="96">
        <f t="shared" ref="S9" si="14">R12</f>
        <v>0</v>
      </c>
      <c r="T9" s="96">
        <f t="shared" ref="T9" si="15">S12</f>
        <v>0</v>
      </c>
      <c r="U9" s="96">
        <f t="shared" ref="U9" si="16">T12</f>
        <v>0</v>
      </c>
      <c r="V9" s="96">
        <f t="shared" ref="V9" si="17">U12</f>
        <v>0</v>
      </c>
      <c r="W9" s="96">
        <f t="shared" ref="W9" si="18">V12</f>
        <v>0</v>
      </c>
      <c r="X9" s="96">
        <f t="shared" ref="X9" si="19">W12</f>
        <v>0</v>
      </c>
      <c r="Y9" s="96">
        <f t="shared" ref="Y9" si="20">X12</f>
        <v>0</v>
      </c>
      <c r="Z9" s="96">
        <f t="shared" ref="Z9" si="21">Y12</f>
        <v>0</v>
      </c>
    </row>
    <row r="10" spans="1:26" x14ac:dyDescent="0.3">
      <c r="A10" s="2" t="s">
        <v>101</v>
      </c>
      <c r="B10" s="96"/>
      <c r="C10" s="96"/>
      <c r="D10" s="96">
        <f t="shared" ref="D10:H10" si="22">$C$6/$F$6</f>
        <v>4.1691200000000004</v>
      </c>
      <c r="E10" s="96">
        <f t="shared" si="22"/>
        <v>4.1691200000000004</v>
      </c>
      <c r="F10" s="96">
        <f t="shared" si="22"/>
        <v>4.1691200000000004</v>
      </c>
      <c r="G10" s="96">
        <f t="shared" si="22"/>
        <v>4.1691200000000004</v>
      </c>
      <c r="H10" s="96">
        <f t="shared" si="22"/>
        <v>4.1691200000000004</v>
      </c>
      <c r="I10" s="96">
        <v>0</v>
      </c>
      <c r="J10" s="96">
        <v>0</v>
      </c>
      <c r="K10" s="96">
        <v>0</v>
      </c>
      <c r="L10" s="96">
        <v>0</v>
      </c>
      <c r="M10" s="96">
        <f>M9</f>
        <v>0</v>
      </c>
      <c r="N10" s="96">
        <f t="shared" ref="N10:Q10" si="23">N9</f>
        <v>0</v>
      </c>
      <c r="O10" s="96">
        <f t="shared" si="23"/>
        <v>0</v>
      </c>
      <c r="P10" s="96">
        <f t="shared" si="23"/>
        <v>0</v>
      </c>
      <c r="Q10" s="96">
        <f t="shared" si="23"/>
        <v>0</v>
      </c>
      <c r="R10" s="96">
        <v>0</v>
      </c>
      <c r="S10" s="96">
        <v>0</v>
      </c>
      <c r="T10" s="96">
        <v>0</v>
      </c>
      <c r="U10" s="96">
        <v>0</v>
      </c>
      <c r="V10" s="96">
        <f>V9</f>
        <v>0</v>
      </c>
      <c r="W10" s="96">
        <f t="shared" ref="W10:Z10" si="24">W9</f>
        <v>0</v>
      </c>
      <c r="X10" s="96">
        <f t="shared" si="24"/>
        <v>0</v>
      </c>
      <c r="Y10" s="96">
        <f t="shared" si="24"/>
        <v>0</v>
      </c>
      <c r="Z10" s="96">
        <f t="shared" si="24"/>
        <v>0</v>
      </c>
    </row>
    <row r="11" spans="1:26" x14ac:dyDescent="0.3">
      <c r="A11" s="2" t="s">
        <v>102</v>
      </c>
      <c r="B11" s="96"/>
      <c r="C11" s="96"/>
      <c r="D11" s="96">
        <f t="shared" ref="D11:Q11" si="25">D9*$D$6</f>
        <v>2.5014720000000001</v>
      </c>
      <c r="E11" s="96">
        <f t="shared" si="25"/>
        <v>2.0011776000000001</v>
      </c>
      <c r="F11" s="96">
        <f t="shared" si="25"/>
        <v>1.5008832000000001</v>
      </c>
      <c r="G11" s="96">
        <f t="shared" si="25"/>
        <v>1.0005888000000003</v>
      </c>
      <c r="H11" s="96">
        <f t="shared" si="25"/>
        <v>0.50029440000000025</v>
      </c>
      <c r="I11" s="96">
        <f t="shared" si="25"/>
        <v>0</v>
      </c>
      <c r="J11" s="96">
        <f t="shared" si="25"/>
        <v>0</v>
      </c>
      <c r="K11" s="96">
        <f t="shared" si="25"/>
        <v>0</v>
      </c>
      <c r="L11" s="96">
        <f t="shared" si="25"/>
        <v>0</v>
      </c>
      <c r="M11" s="96">
        <f t="shared" si="25"/>
        <v>0</v>
      </c>
      <c r="N11" s="96">
        <f t="shared" si="25"/>
        <v>0</v>
      </c>
      <c r="O11" s="96">
        <f t="shared" si="25"/>
        <v>0</v>
      </c>
      <c r="P11" s="96">
        <f t="shared" si="25"/>
        <v>0</v>
      </c>
      <c r="Q11" s="96">
        <f t="shared" si="25"/>
        <v>0</v>
      </c>
      <c r="R11" s="96">
        <f t="shared" ref="R11:Z11" si="26">R9*$D$6</f>
        <v>0</v>
      </c>
      <c r="S11" s="96">
        <f t="shared" si="26"/>
        <v>0</v>
      </c>
      <c r="T11" s="96">
        <f t="shared" si="26"/>
        <v>0</v>
      </c>
      <c r="U11" s="96">
        <f t="shared" si="26"/>
        <v>0</v>
      </c>
      <c r="V11" s="96">
        <f t="shared" si="26"/>
        <v>0</v>
      </c>
      <c r="W11" s="96">
        <f t="shared" si="26"/>
        <v>0</v>
      </c>
      <c r="X11" s="96">
        <f t="shared" si="26"/>
        <v>0</v>
      </c>
      <c r="Y11" s="96">
        <f t="shared" si="26"/>
        <v>0</v>
      </c>
      <c r="Z11" s="96">
        <f t="shared" si="26"/>
        <v>0</v>
      </c>
    </row>
    <row r="12" spans="1:26" x14ac:dyDescent="0.3">
      <c r="A12" s="2" t="s">
        <v>103</v>
      </c>
      <c r="B12" s="96"/>
      <c r="C12" s="96"/>
      <c r="D12" s="96">
        <f t="shared" ref="D12:H12" si="27">D9-D10</f>
        <v>16.676480000000002</v>
      </c>
      <c r="E12" s="96">
        <f t="shared" si="27"/>
        <v>12.507360000000002</v>
      </c>
      <c r="F12" s="96">
        <f t="shared" si="27"/>
        <v>8.3382400000000025</v>
      </c>
      <c r="G12" s="96">
        <f t="shared" si="27"/>
        <v>4.1691200000000022</v>
      </c>
      <c r="H12" s="96">
        <f t="shared" si="27"/>
        <v>0</v>
      </c>
      <c r="I12" s="96">
        <f t="shared" ref="I12:M12" si="28">I9-I10</f>
        <v>0</v>
      </c>
      <c r="J12" s="96">
        <f t="shared" si="28"/>
        <v>0</v>
      </c>
      <c r="K12" s="96">
        <f t="shared" si="28"/>
        <v>0</v>
      </c>
      <c r="L12" s="96">
        <f t="shared" si="28"/>
        <v>0</v>
      </c>
      <c r="M12" s="96">
        <f t="shared" si="28"/>
        <v>0</v>
      </c>
      <c r="N12" s="96">
        <f t="shared" ref="N12:V12" si="29">N9-N10</f>
        <v>0</v>
      </c>
      <c r="O12" s="96">
        <f t="shared" si="29"/>
        <v>0</v>
      </c>
      <c r="P12" s="96">
        <f t="shared" si="29"/>
        <v>0</v>
      </c>
      <c r="Q12" s="96">
        <f t="shared" si="29"/>
        <v>0</v>
      </c>
      <c r="R12" s="96">
        <f t="shared" si="29"/>
        <v>0</v>
      </c>
      <c r="S12" s="96">
        <f t="shared" si="29"/>
        <v>0</v>
      </c>
      <c r="T12" s="96">
        <f t="shared" si="29"/>
        <v>0</v>
      </c>
      <c r="U12" s="96">
        <f t="shared" si="29"/>
        <v>0</v>
      </c>
      <c r="V12" s="96">
        <f t="shared" si="29"/>
        <v>0</v>
      </c>
      <c r="W12" s="96">
        <f t="shared" ref="W12:Z12" si="30">W9-W10</f>
        <v>0</v>
      </c>
      <c r="X12" s="96">
        <f t="shared" si="30"/>
        <v>0</v>
      </c>
      <c r="Y12" s="96">
        <f t="shared" si="30"/>
        <v>0</v>
      </c>
      <c r="Z12" s="96">
        <f t="shared" si="30"/>
        <v>0</v>
      </c>
    </row>
    <row r="14" spans="1:26" x14ac:dyDescent="0.3">
      <c r="A14" s="101" t="s">
        <v>104</v>
      </c>
      <c r="B14" s="95"/>
      <c r="C14" s="95"/>
      <c r="D14" s="95">
        <f t="shared" ref="D14:M14" si="31">SUMIF($A$1:$A$13,"Interest Expense",D1:D13)</f>
        <v>2.5014720000000001</v>
      </c>
      <c r="E14" s="95">
        <f t="shared" si="31"/>
        <v>2.0011776000000001</v>
      </c>
      <c r="F14" s="95">
        <f t="shared" si="31"/>
        <v>1.5008832000000001</v>
      </c>
      <c r="G14" s="95">
        <f t="shared" si="31"/>
        <v>1.0005888000000003</v>
      </c>
      <c r="H14" s="95">
        <f t="shared" si="31"/>
        <v>0.50029440000000025</v>
      </c>
      <c r="I14" s="95">
        <f t="shared" si="31"/>
        <v>0</v>
      </c>
      <c r="J14" s="95">
        <f t="shared" si="31"/>
        <v>0</v>
      </c>
      <c r="K14" s="95">
        <f t="shared" si="31"/>
        <v>0</v>
      </c>
      <c r="L14" s="95">
        <f t="shared" si="31"/>
        <v>0</v>
      </c>
      <c r="M14" s="95">
        <f t="shared" si="31"/>
        <v>0</v>
      </c>
      <c r="R14" s="95">
        <f t="shared" ref="R14:V14" si="32">SUMIF($A$1:$A$13,"Interest Expense",R1:R13)</f>
        <v>0</v>
      </c>
      <c r="S14" s="95">
        <f t="shared" si="32"/>
        <v>0</v>
      </c>
      <c r="T14" s="95">
        <f t="shared" si="32"/>
        <v>0</v>
      </c>
      <c r="U14" s="95">
        <f t="shared" si="32"/>
        <v>0</v>
      </c>
      <c r="V14" s="95">
        <f t="shared" si="32"/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workbookViewId="0">
      <pane ySplit="2" topLeftCell="A21" activePane="bottomLeft" state="frozen"/>
      <selection pane="bottomLeft" activeCell="C32" sqref="C32"/>
    </sheetView>
  </sheetViews>
  <sheetFormatPr defaultColWidth="9.109375" defaultRowHeight="13.2" x14ac:dyDescent="0.25"/>
  <cols>
    <col min="1" max="1" width="6.109375" style="67" customWidth="1"/>
    <col min="2" max="2" width="35" style="67" bestFit="1" customWidth="1"/>
    <col min="3" max="3" width="15.109375" style="67" customWidth="1"/>
    <col min="4" max="4" width="9" style="67" bestFit="1" customWidth="1"/>
    <col min="5" max="5" width="10.6640625" style="67" customWidth="1"/>
    <col min="6" max="6" width="12.88671875" style="67" bestFit="1" customWidth="1"/>
    <col min="7" max="7" width="9.88671875" style="67" bestFit="1" customWidth="1"/>
    <col min="8" max="8" width="14.33203125" style="67" customWidth="1"/>
    <col min="9" max="9" width="12" style="67" bestFit="1" customWidth="1"/>
    <col min="10" max="10" width="13.33203125" style="67" bestFit="1" customWidth="1"/>
    <col min="11" max="11" width="15.109375" style="67" bestFit="1" customWidth="1"/>
    <col min="12" max="13" width="9.109375" style="67"/>
    <col min="14" max="14" width="13.6640625" style="67" bestFit="1" customWidth="1"/>
    <col min="15" max="16384" width="9.109375" style="67"/>
  </cols>
  <sheetData>
    <row r="1" spans="1:17" ht="14.4" x14ac:dyDescent="0.3">
      <c r="A1" s="67" t="s">
        <v>86</v>
      </c>
      <c r="N1"/>
      <c r="O1"/>
      <c r="P1"/>
      <c r="Q1"/>
    </row>
    <row r="2" spans="1:17" ht="26.4" x14ac:dyDescent="0.25">
      <c r="A2" s="68" t="s">
        <v>66</v>
      </c>
      <c r="B2" s="68" t="s">
        <v>67</v>
      </c>
      <c r="C2" s="68" t="s">
        <v>90</v>
      </c>
      <c r="D2" s="68" t="s">
        <v>68</v>
      </c>
      <c r="E2" s="68" t="s">
        <v>69</v>
      </c>
      <c r="F2" s="68" t="s">
        <v>89</v>
      </c>
      <c r="G2" s="68" t="s">
        <v>70</v>
      </c>
      <c r="H2" s="68" t="s">
        <v>71</v>
      </c>
      <c r="I2" s="68" t="s">
        <v>72</v>
      </c>
      <c r="J2" s="68" t="s">
        <v>73</v>
      </c>
      <c r="K2" s="68" t="s">
        <v>74</v>
      </c>
    </row>
    <row r="3" spans="1:17" ht="14.4" x14ac:dyDescent="0.3">
      <c r="A3" s="69">
        <v>1</v>
      </c>
      <c r="B3" s="2" t="s">
        <v>85</v>
      </c>
      <c r="C3" s="88">
        <v>17.66</v>
      </c>
      <c r="D3" s="70">
        <v>0.1333</v>
      </c>
      <c r="E3" s="88">
        <v>287.31</v>
      </c>
      <c r="F3" s="71">
        <v>56.05</v>
      </c>
      <c r="G3" s="71">
        <v>230.26</v>
      </c>
      <c r="H3" s="72">
        <f>N3/$N$6</f>
        <v>0.74445603280934236</v>
      </c>
      <c r="I3" s="71">
        <f>F3/G3</f>
        <v>0.24342048119517068</v>
      </c>
      <c r="J3" s="88">
        <v>1.2</v>
      </c>
      <c r="K3" s="71">
        <f>J3/(1+(1-D3)*I3)</f>
        <v>0.99093907518915914</v>
      </c>
      <c r="L3" s="67">
        <f>K3/AVERAGE($K$3:$K$5)</f>
        <v>1.1002197414322255</v>
      </c>
      <c r="N3" s="73">
        <f>IFERROR(1/IF(L3=0,,ABS(E3-$N$1)),0)</f>
        <v>3.4805610664439108E-3</v>
      </c>
      <c r="O3" s="74">
        <f>IFERROR(1/IF(L3=0,,E3-$N$1),0)</f>
        <v>3.4805610664439108E-3</v>
      </c>
      <c r="P3"/>
    </row>
    <row r="4" spans="1:17" ht="14.4" x14ac:dyDescent="0.3">
      <c r="A4" s="69">
        <v>2</v>
      </c>
      <c r="B4" s="2" t="s">
        <v>87</v>
      </c>
      <c r="C4" s="88">
        <v>518.24</v>
      </c>
      <c r="D4" s="70">
        <v>0</v>
      </c>
      <c r="E4" s="88">
        <v>4465.88</v>
      </c>
      <c r="F4" s="71">
        <v>764.29</v>
      </c>
      <c r="G4" s="71">
        <v>1315.53</v>
      </c>
      <c r="H4" s="72">
        <f>N4/$N$6</f>
        <v>4.7894180494427112E-2</v>
      </c>
      <c r="I4" s="71">
        <f>F4/G4</f>
        <v>0.58097496826374162</v>
      </c>
      <c r="J4" s="88">
        <v>1.22</v>
      </c>
      <c r="K4" s="71">
        <f>J4/(1+(1-D4)*I4)</f>
        <v>0.77167572193747536</v>
      </c>
      <c r="L4" s="67">
        <f t="shared" ref="L4:L5" si="0">K4/AVERAGE($K$3:$K$5)</f>
        <v>0.85677604659752471</v>
      </c>
      <c r="N4" s="73">
        <f>IFERROR(1/IF(L4=0,,ABS(E4-$N$1)),0)</f>
        <v>2.2392003367757306E-4</v>
      </c>
      <c r="O4" s="74"/>
      <c r="P4"/>
    </row>
    <row r="5" spans="1:17" ht="14.4" x14ac:dyDescent="0.3">
      <c r="A5" s="69">
        <v>3</v>
      </c>
      <c r="B5" s="2" t="s">
        <v>88</v>
      </c>
      <c r="C5" s="90">
        <v>29.78</v>
      </c>
      <c r="D5" s="70">
        <v>0</v>
      </c>
      <c r="E5" s="88">
        <v>1030.05</v>
      </c>
      <c r="F5" s="71">
        <v>289.64</v>
      </c>
      <c r="G5" s="71">
        <v>734.2</v>
      </c>
      <c r="H5" s="72">
        <f>N5/$N$6</f>
        <v>0.20764978669623047</v>
      </c>
      <c r="I5" s="71">
        <f>F5/G5</f>
        <v>0.39449741214927808</v>
      </c>
      <c r="J5" s="88">
        <v>1.31</v>
      </c>
      <c r="K5" s="71">
        <f>J5/(1+(1-D5)*I5)</f>
        <v>0.93940654789810907</v>
      </c>
      <c r="L5" s="67">
        <f t="shared" si="0"/>
        <v>1.0430042119702498</v>
      </c>
      <c r="N5" s="73">
        <f>IFERROR(1/IF(L5=0,,ABS(E5-$N$1)),0)</f>
        <v>9.7082665890005349E-4</v>
      </c>
      <c r="O5" s="74"/>
      <c r="P5"/>
    </row>
    <row r="6" spans="1:17" x14ac:dyDescent="0.25">
      <c r="A6" s="75"/>
      <c r="B6" s="75" t="s">
        <v>75</v>
      </c>
      <c r="C6" s="89"/>
      <c r="D6" s="76">
        <f>0.3*1.12*1.04</f>
        <v>0.34944000000000003</v>
      </c>
      <c r="E6" s="75"/>
      <c r="F6" s="75"/>
      <c r="G6" s="75"/>
      <c r="H6" s="76">
        <f>SUM(H3:H5)</f>
        <v>0.99999999999999989</v>
      </c>
      <c r="I6" s="77">
        <f>AVERAGE(I3:I5)</f>
        <v>0.4062976205360635</v>
      </c>
      <c r="J6" s="77">
        <f>AVERAGE(J3:J5)</f>
        <v>1.2433333333333334</v>
      </c>
      <c r="K6" s="77">
        <f>SUMPRODUCT(H3:H5,K3:K5)</f>
        <v>0.96973691827280539</v>
      </c>
      <c r="N6" s="73">
        <f>SUM(N3:N5)</f>
        <v>4.6753077590215375E-3</v>
      </c>
      <c r="P6" s="78"/>
    </row>
    <row r="7" spans="1:17" x14ac:dyDescent="0.25">
      <c r="D7" s="79"/>
    </row>
    <row r="8" spans="1:17" x14ac:dyDescent="0.25">
      <c r="D8" s="79"/>
    </row>
    <row r="9" spans="1:17" x14ac:dyDescent="0.25">
      <c r="B9" s="109" t="s">
        <v>91</v>
      </c>
      <c r="C9" s="110" t="s">
        <v>119</v>
      </c>
      <c r="D9" s="79"/>
    </row>
    <row r="10" spans="1:17" x14ac:dyDescent="0.25">
      <c r="B10" s="108" t="s">
        <v>89</v>
      </c>
      <c r="C10" s="189">
        <f>SUM(Assumptions!D31:D31)</f>
        <v>20.845600000000001</v>
      </c>
      <c r="D10" s="79"/>
    </row>
    <row r="11" spans="1:17" x14ac:dyDescent="0.25">
      <c r="B11" s="108" t="s">
        <v>70</v>
      </c>
      <c r="C11" s="189">
        <v>8.5693000000000001</v>
      </c>
      <c r="D11" s="79"/>
    </row>
    <row r="12" spans="1:17" x14ac:dyDescent="0.25">
      <c r="B12" s="75" t="s">
        <v>92</v>
      </c>
      <c r="C12" s="89">
        <f>C10/C11</f>
        <v>2.4325907600387429</v>
      </c>
      <c r="D12" s="79"/>
    </row>
    <row r="13" spans="1:17" x14ac:dyDescent="0.25">
      <c r="D13" s="79"/>
    </row>
    <row r="14" spans="1:17" x14ac:dyDescent="0.25">
      <c r="D14" s="79"/>
      <c r="F14" s="79"/>
      <c r="H14" s="79"/>
    </row>
    <row r="15" spans="1:17" x14ac:dyDescent="0.25">
      <c r="D15" s="79"/>
    </row>
    <row r="16" spans="1:17" x14ac:dyDescent="0.25">
      <c r="D16" s="79"/>
      <c r="F16" s="79"/>
    </row>
    <row r="17" spans="2:10" ht="14.4" x14ac:dyDescent="0.3">
      <c r="B17" s="80" t="s">
        <v>76</v>
      </c>
      <c r="C17"/>
      <c r="E17" s="79"/>
    </row>
    <row r="18" spans="2:10" ht="14.4" x14ac:dyDescent="0.3">
      <c r="B18"/>
      <c r="C18"/>
      <c r="J18" s="79"/>
    </row>
    <row r="19" spans="2:10" ht="14.4" x14ac:dyDescent="0.3">
      <c r="B19" s="81" t="s">
        <v>77</v>
      </c>
      <c r="C19" s="82">
        <f>K6</f>
        <v>0.96973691827280539</v>
      </c>
    </row>
    <row r="20" spans="2:10" ht="14.4" x14ac:dyDescent="0.3">
      <c r="B20"/>
      <c r="C20"/>
    </row>
    <row r="21" spans="2:10" ht="14.4" x14ac:dyDescent="0.3">
      <c r="B21" t="s">
        <v>78</v>
      </c>
      <c r="C21" s="83">
        <f>C12</f>
        <v>2.4325907600387429</v>
      </c>
      <c r="E21" s="115"/>
    </row>
    <row r="22" spans="2:10" ht="14.4" x14ac:dyDescent="0.3">
      <c r="B22" t="s">
        <v>79</v>
      </c>
      <c r="C22" s="84">
        <v>0.25169999999999998</v>
      </c>
    </row>
    <row r="23" spans="2:10" ht="14.4" x14ac:dyDescent="0.3">
      <c r="B23"/>
      <c r="C23"/>
      <c r="H23" s="91"/>
    </row>
    <row r="24" spans="2:10" ht="14.4" x14ac:dyDescent="0.3">
      <c r="B24" s="81" t="s">
        <v>80</v>
      </c>
      <c r="C24" s="85">
        <f>C19*(1+((1-C22)*C21))</f>
        <v>2.7349564643529596</v>
      </c>
    </row>
    <row r="25" spans="2:10" ht="14.4" x14ac:dyDescent="0.3">
      <c r="B25"/>
      <c r="C25"/>
    </row>
    <row r="26" spans="2:10" ht="14.4" x14ac:dyDescent="0.3">
      <c r="B26"/>
      <c r="C26"/>
    </row>
    <row r="27" spans="2:10" ht="14.4" x14ac:dyDescent="0.3">
      <c r="B27" s="80" t="s">
        <v>81</v>
      </c>
      <c r="C27" s="188"/>
      <c r="G27"/>
      <c r="H27" s="237" t="s">
        <v>84</v>
      </c>
      <c r="I27" s="237"/>
    </row>
    <row r="28" spans="2:10" ht="14.4" x14ac:dyDescent="0.3">
      <c r="B28"/>
      <c r="C28"/>
      <c r="G28" s="207" t="s">
        <v>258</v>
      </c>
      <c r="H28" s="208" t="s">
        <v>259</v>
      </c>
      <c r="I28" s="209">
        <v>7.0999999999999994E-2</v>
      </c>
    </row>
    <row r="29" spans="2:10" ht="72" x14ac:dyDescent="0.3">
      <c r="B29" t="s">
        <v>82</v>
      </c>
      <c r="C29" s="84">
        <f>I28</f>
        <v>7.0999999999999994E-2</v>
      </c>
      <c r="G29" s="210" t="s">
        <v>260</v>
      </c>
      <c r="H29" s="211" t="s">
        <v>261</v>
      </c>
      <c r="I29" s="212">
        <v>0.11</v>
      </c>
    </row>
    <row r="30" spans="2:10" ht="14.4" x14ac:dyDescent="0.3">
      <c r="B30" t="s">
        <v>83</v>
      </c>
      <c r="C30" s="84">
        <f>I29-I28</f>
        <v>3.9000000000000007E-2</v>
      </c>
      <c r="G30"/>
      <c r="H30" s="208" t="s">
        <v>262</v>
      </c>
      <c r="I30" s="213">
        <f>C24</f>
        <v>2.7349564643529596</v>
      </c>
    </row>
    <row r="31" spans="2:10" ht="14.4" x14ac:dyDescent="0.3">
      <c r="B31"/>
      <c r="C31"/>
      <c r="G31"/>
      <c r="H31" s="208" t="s">
        <v>263</v>
      </c>
      <c r="I31" s="209">
        <f>I28+(I29-I28)*I30</f>
        <v>0.17766330210976544</v>
      </c>
    </row>
    <row r="32" spans="2:10" ht="14.4" x14ac:dyDescent="0.3">
      <c r="B32" s="86" t="s">
        <v>84</v>
      </c>
      <c r="C32" s="87">
        <f>C29+C24*C30</f>
        <v>0.17766330210976544</v>
      </c>
    </row>
    <row r="33" spans="2:3" ht="14.4" x14ac:dyDescent="0.3">
      <c r="C33"/>
    </row>
    <row r="36" spans="2:3" ht="14.4" x14ac:dyDescent="0.3">
      <c r="B36"/>
    </row>
  </sheetData>
  <mergeCells count="1">
    <mergeCell ref="H27:I27"/>
  </mergeCells>
  <hyperlinks>
    <hyperlink ref="G28" r:id="rId1" xr:uid="{F6403D90-D06B-4E84-8A42-524AD511A8B3}"/>
  </hyperlinks>
  <pageMargins left="0.7" right="0.7" top="0.75" bottom="0.75" header="0.3" footer="0.3"/>
  <pageSetup paperSize="9" orientation="portrait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4"/>
  <sheetViews>
    <sheetView topLeftCell="A50" zoomScaleNormal="100" workbookViewId="0">
      <pane ySplit="4" topLeftCell="A54" activePane="bottomLeft" state="frozen"/>
      <selection activeCell="N49" sqref="N49"/>
      <selection pane="bottomLeft" activeCell="N49" sqref="N49"/>
    </sheetView>
  </sheetViews>
  <sheetFormatPr defaultColWidth="9.109375" defaultRowHeight="11.4" outlineLevelRow="1" x14ac:dyDescent="0.2"/>
  <cols>
    <col min="1" max="1" width="26" style="5" bestFit="1" customWidth="1"/>
    <col min="2" max="2" width="16.88671875" style="5" bestFit="1" customWidth="1"/>
    <col min="3" max="3" width="33.109375" style="5" bestFit="1" customWidth="1"/>
    <col min="4" max="4" width="16.109375" style="5" bestFit="1" customWidth="1"/>
    <col min="5" max="5" width="16.109375" style="5" customWidth="1"/>
    <col min="6" max="6" width="12.5546875" style="5" bestFit="1" customWidth="1"/>
    <col min="7" max="8" width="17.6640625" style="5" bestFit="1" customWidth="1"/>
    <col min="9" max="10" width="14.44140625" style="5" bestFit="1" customWidth="1"/>
    <col min="11" max="11" width="14" style="5" bestFit="1" customWidth="1"/>
    <col min="12" max="12" width="14.6640625" style="5" bestFit="1" customWidth="1"/>
    <col min="13" max="25" width="19.44140625" style="5" bestFit="1" customWidth="1"/>
    <col min="26" max="29" width="8.109375" style="5" bestFit="1" customWidth="1"/>
    <col min="30" max="37" width="8.109375" style="5" customWidth="1"/>
    <col min="38" max="16384" width="9.109375" style="5"/>
  </cols>
  <sheetData>
    <row r="1" spans="1:24" customFormat="1" ht="14.4" hidden="1" outlineLevel="1" x14ac:dyDescent="0.3">
      <c r="A1" s="5"/>
      <c r="B1" s="5"/>
      <c r="C1" s="5"/>
      <c r="D1" s="33"/>
      <c r="E1" s="5"/>
      <c r="F1" s="5"/>
      <c r="G1" s="5"/>
      <c r="H1" s="5"/>
      <c r="I1" s="5"/>
      <c r="J1" s="5"/>
      <c r="K1" s="5"/>
      <c r="L1" s="5"/>
      <c r="M1" s="5"/>
    </row>
    <row r="2" spans="1:24" customFormat="1" ht="14.4" hidden="1" outlineLevel="1" x14ac:dyDescent="0.3">
      <c r="A2" s="5"/>
      <c r="B2" s="5"/>
      <c r="C2" s="6" t="s">
        <v>3</v>
      </c>
      <c r="D2" s="33"/>
      <c r="E2" s="5"/>
      <c r="F2" s="5"/>
      <c r="G2" s="5"/>
      <c r="H2" s="5"/>
      <c r="I2" s="5"/>
      <c r="J2" s="5"/>
      <c r="K2" s="5"/>
      <c r="L2" s="5"/>
      <c r="M2" s="5"/>
    </row>
    <row r="3" spans="1:24" ht="14.4" hidden="1" outlineLevel="1" x14ac:dyDescent="0.3">
      <c r="C3" t="s">
        <v>4</v>
      </c>
      <c r="D3" s="34" t="s">
        <v>5</v>
      </c>
      <c r="E3"/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2</v>
      </c>
      <c r="L3" t="s">
        <v>11</v>
      </c>
      <c r="M3" t="s">
        <v>12</v>
      </c>
      <c r="N3" t="s">
        <v>13</v>
      </c>
      <c r="O3" t="s">
        <v>14</v>
      </c>
    </row>
    <row r="4" spans="1:24" ht="12" hidden="1" outlineLevel="1" x14ac:dyDescent="0.25">
      <c r="C4" s="7" t="s">
        <v>15</v>
      </c>
      <c r="D4" s="35"/>
      <c r="E4" s="8"/>
      <c r="F4" s="8"/>
      <c r="G4" s="8"/>
      <c r="H4" s="8"/>
      <c r="I4" s="8"/>
      <c r="J4" s="8" t="s">
        <v>16</v>
      </c>
      <c r="K4" s="8"/>
      <c r="L4" s="8"/>
      <c r="M4" s="8"/>
      <c r="N4" s="8"/>
      <c r="O4" s="8"/>
    </row>
    <row r="5" spans="1:24" ht="14.25" hidden="1" customHeight="1" outlineLevel="1" x14ac:dyDescent="0.2">
      <c r="C5" s="8" t="s">
        <v>17</v>
      </c>
      <c r="D5" s="36">
        <v>7216.69</v>
      </c>
      <c r="E5" s="9"/>
      <c r="F5" s="10">
        <v>35785.82</v>
      </c>
      <c r="G5" s="9">
        <v>8840.35</v>
      </c>
      <c r="H5" s="9">
        <v>452268.38</v>
      </c>
      <c r="I5" s="9"/>
      <c r="J5" s="9">
        <v>8180.53</v>
      </c>
      <c r="K5" s="9">
        <v>36.409999999999997</v>
      </c>
      <c r="L5" s="9">
        <v>51.51</v>
      </c>
      <c r="M5" s="9">
        <v>176.81</v>
      </c>
      <c r="N5" s="9">
        <v>75.33</v>
      </c>
      <c r="O5" s="9">
        <f>SUM(D5:N5)</f>
        <v>512631.83</v>
      </c>
      <c r="R5" s="9"/>
      <c r="S5" s="9">
        <v>8180.53</v>
      </c>
      <c r="T5" s="9">
        <v>36.409999999999997</v>
      </c>
      <c r="U5" s="9">
        <v>51.51</v>
      </c>
      <c r="V5" s="9">
        <v>176.81</v>
      </c>
      <c r="W5" s="9">
        <v>75.33</v>
      </c>
      <c r="X5" s="9">
        <f>SUM(M5:W5)</f>
        <v>521404.56000000006</v>
      </c>
    </row>
    <row r="6" spans="1:24" hidden="1" outlineLevel="1" x14ac:dyDescent="0.2">
      <c r="C6" s="11" t="s">
        <v>18</v>
      </c>
      <c r="D6" s="35">
        <v>131.44</v>
      </c>
      <c r="E6" s="8"/>
      <c r="F6" s="9">
        <v>6825.14</v>
      </c>
      <c r="G6" s="8"/>
      <c r="H6" s="8">
        <v>148.41999999999999</v>
      </c>
      <c r="I6" s="8"/>
      <c r="J6" s="9">
        <v>7771.89</v>
      </c>
      <c r="K6" s="8">
        <v>1.82</v>
      </c>
      <c r="L6" s="8">
        <v>0.42</v>
      </c>
      <c r="M6" s="8">
        <v>1.22</v>
      </c>
      <c r="N6" s="8"/>
      <c r="O6" s="9">
        <f>SUM(D6:N6)</f>
        <v>14880.349999999999</v>
      </c>
      <c r="R6" s="8"/>
      <c r="S6" s="9">
        <v>7771.89</v>
      </c>
      <c r="T6" s="8">
        <v>1.82</v>
      </c>
      <c r="U6" s="8">
        <v>0.42</v>
      </c>
      <c r="V6" s="8">
        <v>1.22</v>
      </c>
      <c r="W6" s="8"/>
      <c r="X6" s="9">
        <f>SUM(M6:W6)</f>
        <v>22656.92</v>
      </c>
    </row>
    <row r="7" spans="1:24" hidden="1" outlineLevel="1" x14ac:dyDescent="0.2">
      <c r="C7" s="12" t="s">
        <v>19</v>
      </c>
      <c r="D7" s="35"/>
      <c r="E7" s="8"/>
      <c r="F7" s="8">
        <v>22.02</v>
      </c>
      <c r="G7" s="8"/>
      <c r="H7" s="9">
        <v>2116.39</v>
      </c>
      <c r="I7" s="9"/>
      <c r="J7" s="8"/>
      <c r="K7" s="8"/>
      <c r="L7" s="8"/>
      <c r="M7" s="8"/>
      <c r="N7" s="8"/>
      <c r="O7" s="9">
        <f>SUM(D7:N7)</f>
        <v>2138.41</v>
      </c>
      <c r="R7" s="9"/>
      <c r="S7" s="8"/>
      <c r="T7" s="8"/>
      <c r="U7" s="8"/>
      <c r="V7" s="8"/>
      <c r="W7" s="8"/>
      <c r="X7" s="9">
        <f>SUM(M7:W7)</f>
        <v>2138.41</v>
      </c>
    </row>
    <row r="8" spans="1:24" hidden="1" outlineLevel="1" x14ac:dyDescent="0.2">
      <c r="C8" s="13" t="s">
        <v>20</v>
      </c>
      <c r="D8" s="35"/>
      <c r="E8" s="8"/>
      <c r="F8" s="8"/>
      <c r="G8" s="8"/>
      <c r="H8" s="9">
        <v>1299.96</v>
      </c>
      <c r="I8" s="9"/>
      <c r="J8" s="8">
        <v>744.38</v>
      </c>
      <c r="K8" s="8"/>
      <c r="L8" s="8"/>
      <c r="M8" s="8"/>
      <c r="N8" s="8"/>
      <c r="O8" s="9">
        <f>SUM(D8:N8)</f>
        <v>2044.3400000000001</v>
      </c>
      <c r="R8" s="9"/>
      <c r="S8" s="8">
        <v>744.38</v>
      </c>
      <c r="T8" s="8"/>
      <c r="U8" s="8"/>
      <c r="V8" s="8"/>
      <c r="W8" s="8"/>
      <c r="X8" s="9">
        <f>SUM(M8:W8)</f>
        <v>2788.7200000000003</v>
      </c>
    </row>
    <row r="9" spans="1:24" hidden="1" outlineLevel="1" x14ac:dyDescent="0.2">
      <c r="C9" s="8" t="s">
        <v>21</v>
      </c>
      <c r="D9" s="36">
        <f>SUM(D5:D6)-D7-D8</f>
        <v>7348.1299999999992</v>
      </c>
      <c r="E9" s="9"/>
      <c r="F9" s="9">
        <f t="shared" ref="F9:O9" si="0">SUM(F5:F6)-F7-F8</f>
        <v>42588.94</v>
      </c>
      <c r="G9" s="9">
        <f t="shared" si="0"/>
        <v>8840.35</v>
      </c>
      <c r="H9" s="9">
        <f t="shared" si="0"/>
        <v>449000.44999999995</v>
      </c>
      <c r="I9" s="9"/>
      <c r="J9" s="9">
        <f t="shared" si="0"/>
        <v>15208.04</v>
      </c>
      <c r="K9" s="9">
        <f t="shared" si="0"/>
        <v>38.229999999999997</v>
      </c>
      <c r="L9" s="9">
        <f t="shared" si="0"/>
        <v>51.93</v>
      </c>
      <c r="M9" s="9">
        <f t="shared" si="0"/>
        <v>178.03</v>
      </c>
      <c r="N9" s="9">
        <f t="shared" si="0"/>
        <v>75.33</v>
      </c>
      <c r="O9" s="9">
        <f t="shared" si="0"/>
        <v>523329.43</v>
      </c>
      <c r="R9" s="9"/>
      <c r="S9" s="9">
        <f t="shared" ref="S9:X9" si="1">SUM(S5:S6)-S7-S8</f>
        <v>15208.04</v>
      </c>
      <c r="T9" s="9">
        <f t="shared" si="1"/>
        <v>38.229999999999997</v>
      </c>
      <c r="U9" s="9">
        <f t="shared" si="1"/>
        <v>51.93</v>
      </c>
      <c r="V9" s="9">
        <f t="shared" si="1"/>
        <v>178.03</v>
      </c>
      <c r="W9" s="9">
        <f t="shared" si="1"/>
        <v>75.33</v>
      </c>
      <c r="X9" s="9">
        <f t="shared" si="1"/>
        <v>539134.35000000009</v>
      </c>
    </row>
    <row r="10" spans="1:24" hidden="1" outlineLevel="1" x14ac:dyDescent="0.2">
      <c r="C10" s="14" t="s">
        <v>18</v>
      </c>
      <c r="D10" s="35">
        <v>893.49</v>
      </c>
      <c r="E10" s="8"/>
      <c r="F10" s="9">
        <v>20771.2</v>
      </c>
      <c r="G10" s="8">
        <v>378.99</v>
      </c>
      <c r="H10" s="9">
        <v>269627.37</v>
      </c>
      <c r="I10" s="9"/>
      <c r="J10" s="8"/>
      <c r="K10" s="9">
        <v>1.05</v>
      </c>
      <c r="L10" s="8">
        <v>1.1200000000000001</v>
      </c>
      <c r="M10" s="9">
        <v>12.05</v>
      </c>
      <c r="N10" s="8">
        <v>6.51</v>
      </c>
      <c r="O10" s="9">
        <f>SUM(D10:N10)</f>
        <v>291691.77999999997</v>
      </c>
      <c r="R10" s="9"/>
      <c r="S10" s="8"/>
      <c r="T10" s="9">
        <v>1.05</v>
      </c>
      <c r="U10" s="8">
        <v>1.1200000000000001</v>
      </c>
      <c r="V10" s="9">
        <v>12.05</v>
      </c>
      <c r="W10" s="8">
        <v>6.51</v>
      </c>
      <c r="X10" s="9">
        <f>SUM(M10:W10)</f>
        <v>291731.06999999995</v>
      </c>
    </row>
    <row r="11" spans="1:24" hidden="1" outlineLevel="1" x14ac:dyDescent="0.2">
      <c r="C11" s="12"/>
      <c r="D11" s="35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R11" s="8"/>
      <c r="S11" s="8"/>
      <c r="T11" s="8"/>
      <c r="U11" s="8"/>
      <c r="V11" s="8"/>
      <c r="W11" s="8"/>
      <c r="X11" s="9"/>
    </row>
    <row r="12" spans="1:24" hidden="1" outlineLevel="1" x14ac:dyDescent="0.2">
      <c r="C12" s="13" t="s">
        <v>20</v>
      </c>
      <c r="D12" s="35"/>
      <c r="E12" s="8"/>
      <c r="F12" s="8"/>
      <c r="G12" s="8"/>
      <c r="H12" s="9">
        <v>706.15</v>
      </c>
      <c r="I12" s="9"/>
      <c r="J12" s="8"/>
      <c r="K12" s="8"/>
      <c r="L12" s="8"/>
      <c r="M12" s="8"/>
      <c r="N12" s="8">
        <v>3.47</v>
      </c>
      <c r="O12" s="9">
        <f>SUM(D12:N12)</f>
        <v>709.62</v>
      </c>
      <c r="R12" s="9"/>
      <c r="S12" s="8"/>
      <c r="T12" s="8"/>
      <c r="U12" s="8"/>
      <c r="V12" s="8"/>
      <c r="W12" s="8">
        <v>3.47</v>
      </c>
      <c r="X12" s="9">
        <f>SUM(M12:W12)</f>
        <v>716.56000000000006</v>
      </c>
    </row>
    <row r="13" spans="1:24" hidden="1" outlineLevel="1" x14ac:dyDescent="0.2">
      <c r="C13" s="8" t="s">
        <v>22</v>
      </c>
      <c r="D13" s="36">
        <f>SUM(D9:D10)-D11-D12</f>
        <v>8241.619999999999</v>
      </c>
      <c r="E13" s="9"/>
      <c r="F13" s="9">
        <f t="shared" ref="F13:O13" si="2">SUM(F9:F10)-F11-F12</f>
        <v>63360.14</v>
      </c>
      <c r="G13" s="9">
        <f t="shared" si="2"/>
        <v>9219.34</v>
      </c>
      <c r="H13" s="9">
        <f t="shared" si="2"/>
        <v>717921.66999999993</v>
      </c>
      <c r="I13" s="9"/>
      <c r="J13" s="9">
        <f t="shared" si="2"/>
        <v>15208.04</v>
      </c>
      <c r="K13" s="9">
        <f t="shared" si="2"/>
        <v>39.279999999999994</v>
      </c>
      <c r="L13" s="9">
        <f t="shared" si="2"/>
        <v>53.05</v>
      </c>
      <c r="M13" s="9">
        <f t="shared" si="2"/>
        <v>190.08</v>
      </c>
      <c r="N13" s="9">
        <f t="shared" si="2"/>
        <v>78.37</v>
      </c>
      <c r="O13" s="9">
        <f t="shared" si="2"/>
        <v>814311.59</v>
      </c>
      <c r="R13" s="9"/>
      <c r="S13" s="9">
        <f t="shared" ref="S13:X13" si="3">SUM(S9:S10)-S11-S12</f>
        <v>15208.04</v>
      </c>
      <c r="T13" s="9">
        <f t="shared" si="3"/>
        <v>39.279999999999994</v>
      </c>
      <c r="U13" s="9">
        <f t="shared" si="3"/>
        <v>53.05</v>
      </c>
      <c r="V13" s="9">
        <f t="shared" si="3"/>
        <v>190.08</v>
      </c>
      <c r="W13" s="9">
        <f t="shared" si="3"/>
        <v>78.37</v>
      </c>
      <c r="X13" s="9">
        <f t="shared" si="3"/>
        <v>830148.86</v>
      </c>
    </row>
    <row r="14" spans="1:24" hidden="1" outlineLevel="1" x14ac:dyDescent="0.2">
      <c r="C14" s="14" t="s">
        <v>18</v>
      </c>
      <c r="D14" s="37">
        <v>43.27</v>
      </c>
      <c r="E14" s="15"/>
      <c r="F14" s="9">
        <v>59088.59</v>
      </c>
      <c r="G14" s="8">
        <v>378.99</v>
      </c>
      <c r="H14" s="9">
        <v>373366.79</v>
      </c>
      <c r="I14" s="9">
        <v>2418.4499999999998</v>
      </c>
      <c r="J14" s="8"/>
      <c r="K14" s="9">
        <v>0.6</v>
      </c>
      <c r="L14" s="8">
        <v>6.02</v>
      </c>
      <c r="M14" s="9">
        <v>0.28000000000000003</v>
      </c>
      <c r="N14" s="8"/>
      <c r="O14" s="9">
        <f>SUM(D14:N14)</f>
        <v>435302.99</v>
      </c>
      <c r="R14" s="9">
        <v>2418.4499999999998</v>
      </c>
      <c r="S14" s="8"/>
      <c r="T14" s="9">
        <v>0.6</v>
      </c>
      <c r="U14" s="8">
        <v>6.02</v>
      </c>
      <c r="V14" s="9">
        <v>0.28000000000000003</v>
      </c>
      <c r="W14" s="8"/>
      <c r="X14" s="9">
        <f>SUM(M14:W14)</f>
        <v>437728.62000000005</v>
      </c>
    </row>
    <row r="15" spans="1:24" hidden="1" outlineLevel="1" x14ac:dyDescent="0.2">
      <c r="C15" s="12" t="s">
        <v>19</v>
      </c>
      <c r="D15" s="35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R15" s="8"/>
      <c r="S15" s="8"/>
      <c r="T15" s="8"/>
      <c r="U15" s="8"/>
      <c r="V15" s="8"/>
      <c r="W15" s="8"/>
      <c r="X15" s="9"/>
    </row>
    <row r="16" spans="1:24" hidden="1" outlineLevel="1" x14ac:dyDescent="0.2">
      <c r="C16" s="13" t="s">
        <v>20</v>
      </c>
      <c r="D16" s="35"/>
      <c r="E16" s="8"/>
      <c r="F16" s="8"/>
      <c r="G16" s="8"/>
      <c r="H16" s="9"/>
      <c r="I16" s="9"/>
      <c r="J16" s="8"/>
      <c r="K16" s="8"/>
      <c r="L16" s="8"/>
      <c r="M16" s="8"/>
      <c r="N16" s="8">
        <v>9.09</v>
      </c>
      <c r="O16" s="9">
        <f>SUM(D16:N16)</f>
        <v>9.09</v>
      </c>
      <c r="R16" s="9"/>
      <c r="S16" s="8"/>
      <c r="T16" s="8"/>
      <c r="U16" s="8"/>
      <c r="V16" s="8"/>
      <c r="W16" s="8">
        <v>9.09</v>
      </c>
      <c r="X16" s="9">
        <f>SUM(M16:W16)</f>
        <v>27.27</v>
      </c>
    </row>
    <row r="17" spans="3:24" hidden="1" outlineLevel="1" x14ac:dyDescent="0.2">
      <c r="C17" s="8" t="s">
        <v>23</v>
      </c>
      <c r="D17" s="36">
        <f t="shared" ref="D17:N17" si="4">SUM(D13:D14)-D15-D16</f>
        <v>8284.89</v>
      </c>
      <c r="E17" s="9"/>
      <c r="F17" s="9">
        <f t="shared" si="4"/>
        <v>122448.73</v>
      </c>
      <c r="G17" s="9">
        <f t="shared" si="4"/>
        <v>9598.33</v>
      </c>
      <c r="H17" s="9">
        <f t="shared" si="4"/>
        <v>1091288.46</v>
      </c>
      <c r="I17" s="9">
        <f t="shared" si="4"/>
        <v>2418.4499999999998</v>
      </c>
      <c r="J17" s="9">
        <f t="shared" si="4"/>
        <v>15208.04</v>
      </c>
      <c r="K17" s="9">
        <f t="shared" si="4"/>
        <v>39.879999999999995</v>
      </c>
      <c r="L17" s="9">
        <f t="shared" si="4"/>
        <v>59.069999999999993</v>
      </c>
      <c r="M17" s="9">
        <f t="shared" si="4"/>
        <v>190.36</v>
      </c>
      <c r="N17" s="9">
        <f t="shared" si="4"/>
        <v>69.28</v>
      </c>
      <c r="O17" s="9">
        <f>SUM(D17:N17)</f>
        <v>1249605.49</v>
      </c>
      <c r="R17" s="9">
        <f t="shared" ref="R17:W17" si="5">SUM(R13:R14)-R15-R16</f>
        <v>2418.4499999999998</v>
      </c>
      <c r="S17" s="9">
        <f t="shared" si="5"/>
        <v>15208.04</v>
      </c>
      <c r="T17" s="9">
        <f t="shared" si="5"/>
        <v>39.879999999999995</v>
      </c>
      <c r="U17" s="9">
        <f t="shared" si="5"/>
        <v>59.069999999999993</v>
      </c>
      <c r="V17" s="9">
        <f t="shared" si="5"/>
        <v>190.36</v>
      </c>
      <c r="W17" s="9">
        <f t="shared" si="5"/>
        <v>69.28</v>
      </c>
      <c r="X17" s="9">
        <f>SUM(M17:W17)</f>
        <v>1267850.21</v>
      </c>
    </row>
    <row r="18" spans="3:24" hidden="1" outlineLevel="1" x14ac:dyDescent="0.2">
      <c r="C18" s="8"/>
      <c r="D18" s="35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R18" s="8"/>
      <c r="S18" s="8"/>
      <c r="T18" s="8"/>
      <c r="U18" s="8"/>
      <c r="V18" s="8"/>
      <c r="W18" s="8"/>
      <c r="X18" s="9"/>
    </row>
    <row r="19" spans="3:24" ht="12" hidden="1" outlineLevel="1" x14ac:dyDescent="0.25">
      <c r="C19" s="7" t="s">
        <v>24</v>
      </c>
      <c r="D19" s="35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R19" s="8"/>
      <c r="S19" s="8"/>
      <c r="T19" s="8"/>
      <c r="U19" s="8"/>
      <c r="V19" s="8"/>
      <c r="W19" s="8"/>
      <c r="X19" s="9"/>
    </row>
    <row r="20" spans="3:24" hidden="1" outlineLevel="1" x14ac:dyDescent="0.2">
      <c r="C20" s="8" t="s">
        <v>25</v>
      </c>
      <c r="D20" s="35"/>
      <c r="E20" s="8"/>
      <c r="F20" s="8">
        <v>891.28</v>
      </c>
      <c r="G20" s="8">
        <v>274.19</v>
      </c>
      <c r="H20" s="9">
        <v>2484.2600000000002</v>
      </c>
      <c r="I20" s="9"/>
      <c r="J20" s="8">
        <v>530.86</v>
      </c>
      <c r="K20" s="8">
        <v>12.24</v>
      </c>
      <c r="L20" s="8">
        <v>6.01</v>
      </c>
      <c r="M20" s="8">
        <v>40.17</v>
      </c>
      <c r="N20" s="8">
        <v>9.9600000000000009</v>
      </c>
      <c r="O20" s="9">
        <f t="shared" ref="O20:O29" si="6">SUM(D20:N20)</f>
        <v>4248.97</v>
      </c>
      <c r="R20" s="9"/>
      <c r="S20" s="8">
        <v>530.86</v>
      </c>
      <c r="T20" s="8">
        <v>12.24</v>
      </c>
      <c r="U20" s="8">
        <v>6.01</v>
      </c>
      <c r="V20" s="8">
        <v>40.17</v>
      </c>
      <c r="W20" s="8">
        <v>9.9600000000000009</v>
      </c>
      <c r="X20" s="9">
        <f t="shared" ref="X20:X21" si="7">SUM(M20:W20)</f>
        <v>4898.34</v>
      </c>
    </row>
    <row r="21" spans="3:24" hidden="1" outlineLevel="1" x14ac:dyDescent="0.2">
      <c r="C21" s="14" t="s">
        <v>26</v>
      </c>
      <c r="D21" s="35"/>
      <c r="E21" s="8"/>
      <c r="F21" s="8">
        <v>1252.18</v>
      </c>
      <c r="G21" s="8">
        <v>280.74</v>
      </c>
      <c r="H21" s="16">
        <v>10725.99</v>
      </c>
      <c r="I21" s="16"/>
      <c r="J21" s="8">
        <v>530.86</v>
      </c>
      <c r="K21" s="8">
        <v>11.78</v>
      </c>
      <c r="L21" s="8">
        <v>6.15</v>
      </c>
      <c r="M21" s="8">
        <v>35.200000000000003</v>
      </c>
      <c r="N21" s="8">
        <v>12.39</v>
      </c>
      <c r="O21" s="9">
        <f t="shared" si="6"/>
        <v>12855.29</v>
      </c>
      <c r="R21" s="16"/>
      <c r="S21" s="8">
        <v>530.86</v>
      </c>
      <c r="T21" s="8">
        <v>11.78</v>
      </c>
      <c r="U21" s="8">
        <v>6.15</v>
      </c>
      <c r="V21" s="8">
        <v>35.200000000000003</v>
      </c>
      <c r="W21" s="8">
        <v>12.39</v>
      </c>
      <c r="X21" s="9">
        <f t="shared" si="7"/>
        <v>13499.260000000002</v>
      </c>
    </row>
    <row r="22" spans="3:24" hidden="1" outlineLevel="1" x14ac:dyDescent="0.2">
      <c r="C22" s="13" t="s">
        <v>27</v>
      </c>
      <c r="D22" s="35"/>
      <c r="E22" s="8"/>
      <c r="F22" s="8"/>
      <c r="G22" s="8"/>
      <c r="H22" s="8">
        <v>22.75</v>
      </c>
      <c r="I22" s="8"/>
      <c r="J22" s="8">
        <v>630.03</v>
      </c>
      <c r="K22" s="8"/>
      <c r="L22" s="8"/>
      <c r="M22" s="8"/>
      <c r="N22" s="8"/>
      <c r="O22" s="9">
        <f t="shared" si="6"/>
        <v>652.78</v>
      </c>
    </row>
    <row r="23" spans="3:24" hidden="1" outlineLevel="1" x14ac:dyDescent="0.2">
      <c r="C23" s="8" t="s">
        <v>21</v>
      </c>
      <c r="D23" s="35"/>
      <c r="E23" s="8"/>
      <c r="F23" s="9">
        <f>SUM(F20:F21)-F22</f>
        <v>2143.46</v>
      </c>
      <c r="G23" s="9">
        <f t="shared" ref="G23:N23" si="8">SUM(G20:G21)-G22</f>
        <v>554.93000000000006</v>
      </c>
      <c r="H23" s="9">
        <f t="shared" si="8"/>
        <v>13187.5</v>
      </c>
      <c r="I23" s="9"/>
      <c r="J23" s="9">
        <f t="shared" si="8"/>
        <v>431.69000000000005</v>
      </c>
      <c r="K23" s="9">
        <f t="shared" si="8"/>
        <v>24.02</v>
      </c>
      <c r="L23" s="9">
        <f t="shared" si="8"/>
        <v>12.16</v>
      </c>
      <c r="M23" s="9">
        <f t="shared" si="8"/>
        <v>75.37</v>
      </c>
      <c r="N23" s="9">
        <f t="shared" si="8"/>
        <v>22.35</v>
      </c>
      <c r="O23" s="9">
        <f t="shared" si="6"/>
        <v>16451.48</v>
      </c>
    </row>
    <row r="24" spans="3:24" hidden="1" outlineLevel="1" x14ac:dyDescent="0.2">
      <c r="C24" s="14" t="s">
        <v>26</v>
      </c>
      <c r="D24" s="35"/>
      <c r="E24" s="8"/>
      <c r="F24" s="9">
        <v>1379.83</v>
      </c>
      <c r="G24" s="8">
        <v>285.27999999999997</v>
      </c>
      <c r="H24" s="9">
        <v>13087.89</v>
      </c>
      <c r="I24" s="9"/>
      <c r="J24" s="8">
        <v>361.19</v>
      </c>
      <c r="K24" s="9">
        <v>9.02</v>
      </c>
      <c r="L24" s="8">
        <v>6.06</v>
      </c>
      <c r="M24" s="9">
        <v>39.130000000000003</v>
      </c>
      <c r="N24" s="8">
        <v>10.58</v>
      </c>
      <c r="O24" s="9">
        <f t="shared" si="6"/>
        <v>15178.98</v>
      </c>
    </row>
    <row r="25" spans="3:24" hidden="1" outlineLevel="1" x14ac:dyDescent="0.2">
      <c r="C25" s="13" t="s">
        <v>27</v>
      </c>
      <c r="D25" s="35"/>
      <c r="E25" s="8"/>
      <c r="F25" s="9"/>
      <c r="G25" s="8"/>
      <c r="H25" s="9">
        <v>24</v>
      </c>
      <c r="I25" s="9"/>
      <c r="J25" s="8"/>
      <c r="K25" s="8"/>
      <c r="L25" s="8"/>
      <c r="M25" s="8"/>
      <c r="N25" s="8">
        <v>0.95</v>
      </c>
      <c r="O25" s="9">
        <f t="shared" si="6"/>
        <v>24.95</v>
      </c>
    </row>
    <row r="26" spans="3:24" hidden="1" outlineLevel="1" x14ac:dyDescent="0.2">
      <c r="C26" s="8" t="s">
        <v>28</v>
      </c>
      <c r="D26" s="35"/>
      <c r="E26" s="8"/>
      <c r="F26" s="9">
        <f t="shared" ref="F26:N26" si="9">SUM(F23:F24)-F25</f>
        <v>3523.29</v>
      </c>
      <c r="G26" s="9">
        <f t="shared" si="9"/>
        <v>840.21</v>
      </c>
      <c r="H26" s="9">
        <f t="shared" si="9"/>
        <v>26251.39</v>
      </c>
      <c r="I26" s="9"/>
      <c r="J26" s="9">
        <f t="shared" si="9"/>
        <v>792.88000000000011</v>
      </c>
      <c r="K26" s="9">
        <f t="shared" si="9"/>
        <v>33.04</v>
      </c>
      <c r="L26" s="9">
        <f t="shared" si="9"/>
        <v>18.22</v>
      </c>
      <c r="M26" s="9">
        <f t="shared" si="9"/>
        <v>114.5</v>
      </c>
      <c r="N26" s="9">
        <f t="shared" si="9"/>
        <v>31.98</v>
      </c>
      <c r="O26" s="9">
        <f t="shared" si="6"/>
        <v>31605.510000000002</v>
      </c>
    </row>
    <row r="27" spans="3:24" hidden="1" outlineLevel="1" x14ac:dyDescent="0.2">
      <c r="C27" s="14" t="s">
        <v>26</v>
      </c>
      <c r="D27" s="35"/>
      <c r="E27" s="8"/>
      <c r="F27" s="9">
        <v>4835.26</v>
      </c>
      <c r="G27" s="8">
        <v>293.14</v>
      </c>
      <c r="H27" s="9">
        <v>17342.169999999998</v>
      </c>
      <c r="I27" s="9">
        <v>483.69</v>
      </c>
      <c r="J27" s="8">
        <v>361.19</v>
      </c>
      <c r="K27" s="9">
        <v>2.44</v>
      </c>
      <c r="L27" s="8">
        <v>6.06</v>
      </c>
      <c r="M27" s="9">
        <v>38.43</v>
      </c>
      <c r="N27" s="8">
        <v>8.85</v>
      </c>
      <c r="O27" s="9">
        <f t="shared" si="6"/>
        <v>23371.229999999996</v>
      </c>
    </row>
    <row r="28" spans="3:24" hidden="1" outlineLevel="1" x14ac:dyDescent="0.2">
      <c r="C28" s="13" t="s">
        <v>27</v>
      </c>
      <c r="D28" s="35"/>
      <c r="E28" s="8"/>
      <c r="F28" s="9"/>
      <c r="G28" s="8"/>
      <c r="H28" s="9"/>
      <c r="I28" s="9"/>
      <c r="J28" s="8"/>
      <c r="K28" s="8"/>
      <c r="L28" s="8"/>
      <c r="M28" s="8"/>
      <c r="N28" s="8">
        <v>4.57</v>
      </c>
      <c r="O28" s="9">
        <f t="shared" si="6"/>
        <v>4.57</v>
      </c>
    </row>
    <row r="29" spans="3:24" hidden="1" outlineLevel="1" x14ac:dyDescent="0.2">
      <c r="C29" s="8" t="s">
        <v>29</v>
      </c>
      <c r="D29" s="35"/>
      <c r="E29" s="8"/>
      <c r="F29" s="9">
        <f t="shared" ref="F29:N29" si="10">SUM(F26:F27)-F28</f>
        <v>8358.5499999999993</v>
      </c>
      <c r="G29" s="9">
        <f t="shared" si="10"/>
        <v>1133.3499999999999</v>
      </c>
      <c r="H29" s="9">
        <f t="shared" si="10"/>
        <v>43593.56</v>
      </c>
      <c r="I29" s="9">
        <f t="shared" si="10"/>
        <v>483.69</v>
      </c>
      <c r="J29" s="9">
        <f t="shared" si="10"/>
        <v>1154.0700000000002</v>
      </c>
      <c r="K29" s="9">
        <f t="shared" si="10"/>
        <v>35.479999999999997</v>
      </c>
      <c r="L29" s="9">
        <f t="shared" si="10"/>
        <v>24.279999999999998</v>
      </c>
      <c r="M29" s="9">
        <f t="shared" si="10"/>
        <v>152.93</v>
      </c>
      <c r="N29" s="9">
        <f t="shared" si="10"/>
        <v>36.26</v>
      </c>
      <c r="O29" s="9">
        <f t="shared" si="6"/>
        <v>54972.170000000006</v>
      </c>
    </row>
    <row r="30" spans="3:24" hidden="1" outlineLevel="1" x14ac:dyDescent="0.2">
      <c r="C30" s="8"/>
      <c r="D30" s="35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3:24" hidden="1" outlineLevel="1" x14ac:dyDescent="0.2">
      <c r="C31" s="8" t="s">
        <v>30</v>
      </c>
      <c r="D31" s="35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3:24" hidden="1" outlineLevel="1" x14ac:dyDescent="0.2">
      <c r="C32" s="14" t="s">
        <v>31</v>
      </c>
      <c r="D32" s="36">
        <f>D9-D23</f>
        <v>7348.1299999999992</v>
      </c>
      <c r="E32" s="9"/>
      <c r="F32" s="9">
        <f t="shared" ref="F32:N32" si="11">F9-F23</f>
        <v>40445.480000000003</v>
      </c>
      <c r="G32" s="9">
        <f t="shared" si="11"/>
        <v>8285.42</v>
      </c>
      <c r="H32" s="9">
        <f t="shared" si="11"/>
        <v>435812.94999999995</v>
      </c>
      <c r="I32" s="9">
        <f t="shared" si="11"/>
        <v>0</v>
      </c>
      <c r="J32" s="9">
        <f t="shared" si="11"/>
        <v>14776.35</v>
      </c>
      <c r="K32" s="9">
        <f t="shared" si="11"/>
        <v>14.209999999999997</v>
      </c>
      <c r="L32" s="9">
        <f t="shared" si="11"/>
        <v>39.769999999999996</v>
      </c>
      <c r="M32" s="9">
        <f t="shared" si="11"/>
        <v>102.66</v>
      </c>
      <c r="N32" s="9">
        <f t="shared" si="11"/>
        <v>52.98</v>
      </c>
      <c r="O32" s="9">
        <f>SUM(D32:N32)</f>
        <v>506877.94999999995</v>
      </c>
    </row>
    <row r="33" spans="3:15" hidden="1" outlineLevel="1" x14ac:dyDescent="0.2">
      <c r="C33" s="13" t="s">
        <v>32</v>
      </c>
      <c r="D33" s="36">
        <f>D13-D26</f>
        <v>8241.619999999999</v>
      </c>
      <c r="E33" s="9"/>
      <c r="F33" s="9">
        <f t="shared" ref="F33:N33" si="12">F13-F26</f>
        <v>59836.85</v>
      </c>
      <c r="G33" s="9">
        <f t="shared" si="12"/>
        <v>8379.130000000001</v>
      </c>
      <c r="H33" s="9">
        <f t="shared" si="12"/>
        <v>691670.27999999991</v>
      </c>
      <c r="I33" s="9">
        <f t="shared" si="12"/>
        <v>0</v>
      </c>
      <c r="J33" s="9">
        <f t="shared" si="12"/>
        <v>14415.16</v>
      </c>
      <c r="K33" s="9">
        <f t="shared" si="12"/>
        <v>6.2399999999999949</v>
      </c>
      <c r="L33" s="9">
        <f t="shared" si="12"/>
        <v>34.83</v>
      </c>
      <c r="M33" s="9">
        <f t="shared" si="12"/>
        <v>75.580000000000013</v>
      </c>
      <c r="N33" s="9">
        <f t="shared" si="12"/>
        <v>46.39</v>
      </c>
      <c r="O33" s="9">
        <f>SUM(D33:N33)</f>
        <v>782706.07999999984</v>
      </c>
    </row>
    <row r="34" spans="3:15" hidden="1" outlineLevel="1" x14ac:dyDescent="0.2">
      <c r="C34" s="13" t="s">
        <v>33</v>
      </c>
      <c r="D34" s="36">
        <f>D17-D29</f>
        <v>8284.89</v>
      </c>
      <c r="E34" s="9"/>
      <c r="F34" s="9">
        <f t="shared" ref="F34:N34" si="13">F17-F29</f>
        <v>114090.18</v>
      </c>
      <c r="G34" s="9">
        <f t="shared" si="13"/>
        <v>8464.98</v>
      </c>
      <c r="H34" s="9">
        <f t="shared" si="13"/>
        <v>1047694.8999999999</v>
      </c>
      <c r="I34" s="9">
        <f t="shared" si="13"/>
        <v>1934.7599999999998</v>
      </c>
      <c r="J34" s="9">
        <f t="shared" si="13"/>
        <v>14053.970000000001</v>
      </c>
      <c r="K34" s="9">
        <f t="shared" si="13"/>
        <v>4.3999999999999986</v>
      </c>
      <c r="L34" s="9">
        <f t="shared" si="13"/>
        <v>34.789999999999992</v>
      </c>
      <c r="M34" s="9">
        <f t="shared" si="13"/>
        <v>37.430000000000007</v>
      </c>
      <c r="N34" s="9">
        <f t="shared" si="13"/>
        <v>33.020000000000003</v>
      </c>
      <c r="O34" s="9">
        <f>SUM(D34:N34)</f>
        <v>1194633.3199999998</v>
      </c>
    </row>
    <row r="35" spans="3:15" hidden="1" outlineLevel="1" x14ac:dyDescent="0.2">
      <c r="D35" s="33"/>
    </row>
    <row r="36" spans="3:15" hidden="1" outlineLevel="1" x14ac:dyDescent="0.2">
      <c r="C36" s="5" t="s">
        <v>34</v>
      </c>
      <c r="D36" s="38" t="e">
        <f>D21/D9/(1-100%)</f>
        <v>#DIV/0!</v>
      </c>
      <c r="E36" s="17"/>
      <c r="F36" s="17">
        <f t="shared" ref="F36:O36" si="14">F21/F9/(1-5%)</f>
        <v>3.094897901958386E-2</v>
      </c>
      <c r="G36" s="17">
        <f t="shared" si="14"/>
        <v>3.3428064440173093E-2</v>
      </c>
      <c r="H36" s="17">
        <f t="shared" si="14"/>
        <v>2.5145889696711183E-2</v>
      </c>
      <c r="I36" s="17" t="e">
        <f t="shared" si="14"/>
        <v>#DIV/0!</v>
      </c>
      <c r="J36" s="17">
        <f t="shared" si="14"/>
        <v>3.6743722399467646E-2</v>
      </c>
      <c r="K36" s="17">
        <f t="shared" si="14"/>
        <v>0.32435260266806176</v>
      </c>
      <c r="L36" s="17">
        <f t="shared" si="14"/>
        <v>0.12466174100763174</v>
      </c>
      <c r="M36" s="17">
        <f t="shared" si="14"/>
        <v>0.20812577418944769</v>
      </c>
      <c r="N36" s="17">
        <f t="shared" si="14"/>
        <v>0.17313295185394792</v>
      </c>
      <c r="O36" s="17">
        <f t="shared" si="14"/>
        <v>2.5857296446191298E-2</v>
      </c>
    </row>
    <row r="37" spans="3:15" hidden="1" outlineLevel="1" x14ac:dyDescent="0.2">
      <c r="D37" s="38" t="e">
        <f>D24/D9/(1-100%)</f>
        <v>#DIV/0!</v>
      </c>
      <c r="E37" s="17"/>
      <c r="F37" s="17">
        <f t="shared" ref="F37:O37" si="15">F24/F9/(1-5%)</f>
        <v>3.4103986424150197E-2</v>
      </c>
      <c r="G37" s="17">
        <f t="shared" si="15"/>
        <v>3.3968647942910088E-2</v>
      </c>
      <c r="H37" s="17">
        <f t="shared" si="15"/>
        <v>3.0683101354997473E-2</v>
      </c>
      <c r="I37" s="17" t="e">
        <f t="shared" si="15"/>
        <v>#DIV/0!</v>
      </c>
      <c r="J37" s="17">
        <f t="shared" si="15"/>
        <v>2.4999934245307085E-2</v>
      </c>
      <c r="K37" s="17">
        <f t="shared" si="15"/>
        <v>0.24835827470848193</v>
      </c>
      <c r="L37" s="17">
        <f t="shared" si="15"/>
        <v>0.12283742284654443</v>
      </c>
      <c r="M37" s="17">
        <f t="shared" si="15"/>
        <v>0.23136254386457636</v>
      </c>
      <c r="N37" s="17">
        <f t="shared" si="15"/>
        <v>0.14784072886317748</v>
      </c>
      <c r="O37" s="17">
        <f t="shared" si="15"/>
        <v>3.0531196543275862E-2</v>
      </c>
    </row>
    <row r="38" spans="3:15" hidden="1" outlineLevel="1" x14ac:dyDescent="0.2">
      <c r="D38" s="38" t="e">
        <f>D27/D13/(1-100%)</f>
        <v>#DIV/0!</v>
      </c>
      <c r="E38" s="17"/>
      <c r="F38" s="17">
        <f t="shared" ref="F38:O38" si="16">F27/F13/(1-5%)</f>
        <v>8.0330431220970361E-2</v>
      </c>
      <c r="G38" s="17">
        <f t="shared" si="16"/>
        <v>3.346968666440673E-2</v>
      </c>
      <c r="H38" s="17">
        <f t="shared" si="16"/>
        <v>2.542744780147629E-2</v>
      </c>
      <c r="I38" s="17" t="e">
        <f t="shared" si="16"/>
        <v>#DIV/0!</v>
      </c>
      <c r="J38" s="17">
        <f t="shared" si="16"/>
        <v>2.4999934245307085E-2</v>
      </c>
      <c r="K38" s="17">
        <f t="shared" si="16"/>
        <v>6.5387501339907825E-2</v>
      </c>
      <c r="L38" s="17">
        <f t="shared" si="16"/>
        <v>0.12024405972518479</v>
      </c>
      <c r="M38" s="17">
        <f t="shared" si="16"/>
        <v>0.21281897926634766</v>
      </c>
      <c r="N38" s="17">
        <f t="shared" si="16"/>
        <v>0.11886933104101327</v>
      </c>
      <c r="O38" s="17">
        <f t="shared" si="16"/>
        <v>3.021115631774577E-2</v>
      </c>
    </row>
    <row r="39" spans="3:15" hidden="1" outlineLevel="1" x14ac:dyDescent="0.2">
      <c r="D39" s="33"/>
    </row>
    <row r="40" spans="3:15" hidden="1" outlineLevel="1" x14ac:dyDescent="0.2">
      <c r="C40" s="5" t="s">
        <v>35</v>
      </c>
      <c r="D40" s="39" t="e">
        <f>1/D36</f>
        <v>#DIV/0!</v>
      </c>
      <c r="E40" s="18"/>
      <c r="F40" s="18">
        <f t="shared" ref="F40:O40" si="17">1/F36</f>
        <v>32.311243591176989</v>
      </c>
      <c r="G40" s="18">
        <f t="shared" si="17"/>
        <v>29.914983614732492</v>
      </c>
      <c r="H40" s="18">
        <f t="shared" si="17"/>
        <v>39.767930745786636</v>
      </c>
      <c r="I40" s="18" t="e">
        <f t="shared" si="17"/>
        <v>#DIV/0!</v>
      </c>
      <c r="J40" s="18">
        <f t="shared" si="17"/>
        <v>27.215533285612029</v>
      </c>
      <c r="K40" s="18">
        <f t="shared" si="17"/>
        <v>3.0830645161290318</v>
      </c>
      <c r="L40" s="18">
        <f t="shared" si="17"/>
        <v>8.0217073170731705</v>
      </c>
      <c r="M40" s="18">
        <f t="shared" si="17"/>
        <v>4.8047869318181808</v>
      </c>
      <c r="N40" s="18">
        <f t="shared" si="17"/>
        <v>5.775907990314769</v>
      </c>
      <c r="O40" s="18">
        <f t="shared" si="17"/>
        <v>38.673803430338786</v>
      </c>
    </row>
    <row r="41" spans="3:15" hidden="1" outlineLevel="1" x14ac:dyDescent="0.2">
      <c r="D41" s="39" t="e">
        <f t="shared" ref="D41:O42" si="18">1/D37</f>
        <v>#DIV/0!</v>
      </c>
      <c r="E41" s="18"/>
      <c r="F41" s="18">
        <f t="shared" si="18"/>
        <v>29.32208532935217</v>
      </c>
      <c r="G41" s="18">
        <f t="shared" si="18"/>
        <v>29.438910894559736</v>
      </c>
      <c r="H41" s="18">
        <f t="shared" si="18"/>
        <v>32.591229564123779</v>
      </c>
      <c r="I41" s="18" t="e">
        <f t="shared" si="18"/>
        <v>#DIV/0!</v>
      </c>
      <c r="J41" s="18">
        <f t="shared" si="18"/>
        <v>40.000105207785381</v>
      </c>
      <c r="K41" s="18">
        <f t="shared" si="18"/>
        <v>4.0264412416851441</v>
      </c>
      <c r="L41" s="18">
        <f t="shared" si="18"/>
        <v>8.1408415841584159</v>
      </c>
      <c r="M41" s="18">
        <f t="shared" si="18"/>
        <v>4.3222208024533604</v>
      </c>
      <c r="N41" s="18">
        <f t="shared" si="18"/>
        <v>6.7640359168241959</v>
      </c>
      <c r="O41" s="18">
        <f t="shared" si="18"/>
        <v>32.753383857149821</v>
      </c>
    </row>
    <row r="42" spans="3:15" hidden="1" outlineLevel="1" x14ac:dyDescent="0.2">
      <c r="D42" s="39" t="e">
        <f t="shared" si="18"/>
        <v>#DIV/0!</v>
      </c>
      <c r="E42" s="18"/>
      <c r="F42" s="18">
        <f t="shared" si="18"/>
        <v>12.448582496080872</v>
      </c>
      <c r="G42" s="18">
        <f t="shared" si="18"/>
        <v>29.877781947192471</v>
      </c>
      <c r="H42" s="18">
        <f t="shared" si="18"/>
        <v>39.32758048733232</v>
      </c>
      <c r="I42" s="18" t="e">
        <f t="shared" si="18"/>
        <v>#DIV/0!</v>
      </c>
      <c r="J42" s="18">
        <f t="shared" si="18"/>
        <v>40.000105207785381</v>
      </c>
      <c r="K42" s="18">
        <f t="shared" si="18"/>
        <v>15.293442622950817</v>
      </c>
      <c r="L42" s="18">
        <f t="shared" si="18"/>
        <v>8.3164191419141904</v>
      </c>
      <c r="M42" s="18">
        <f t="shared" si="18"/>
        <v>4.6988290398126473</v>
      </c>
      <c r="N42" s="18">
        <f t="shared" si="18"/>
        <v>8.4125988700564971</v>
      </c>
      <c r="O42" s="18">
        <f t="shared" si="18"/>
        <v>33.100355030522572</v>
      </c>
    </row>
    <row r="43" spans="3:15" hidden="1" outlineLevel="1" x14ac:dyDescent="0.2">
      <c r="D43" s="33"/>
    </row>
    <row r="44" spans="3:15" hidden="1" outlineLevel="1" x14ac:dyDescent="0.2">
      <c r="C44" s="5" t="s">
        <v>36</v>
      </c>
      <c r="D44" s="39">
        <f>D32/D9</f>
        <v>1</v>
      </c>
      <c r="E44" s="18"/>
      <c r="F44" s="18">
        <f t="shared" ref="F44:O44" si="19">F32/F9</f>
        <v>0.94967097091404484</v>
      </c>
      <c r="G44" s="18">
        <f t="shared" si="19"/>
        <v>0.93722759845481229</v>
      </c>
      <c r="H44" s="18">
        <f t="shared" si="19"/>
        <v>0.97062920538275632</v>
      </c>
      <c r="I44" s="18" t="e">
        <f t="shared" si="19"/>
        <v>#DIV/0!</v>
      </c>
      <c r="J44" s="18">
        <f t="shared" si="19"/>
        <v>0.97161435661663165</v>
      </c>
      <c r="K44" s="18">
        <f t="shared" si="19"/>
        <v>0.37169761967041587</v>
      </c>
      <c r="L44" s="18">
        <f t="shared" si="19"/>
        <v>0.76583862892355081</v>
      </c>
      <c r="M44" s="18">
        <f t="shared" si="19"/>
        <v>0.57664438577767785</v>
      </c>
      <c r="N44" s="18">
        <f t="shared" si="19"/>
        <v>0.70330545599362804</v>
      </c>
      <c r="O44" s="18">
        <f t="shared" si="19"/>
        <v>0.96856381648553558</v>
      </c>
    </row>
    <row r="45" spans="3:15" hidden="1" outlineLevel="1" x14ac:dyDescent="0.2">
      <c r="D45" s="39">
        <f>D33/D13</f>
        <v>1</v>
      </c>
      <c r="E45" s="18"/>
      <c r="F45" s="18">
        <f t="shared" ref="F45:O45" si="20">F33/F13</f>
        <v>0.94439264180918792</v>
      </c>
      <c r="G45" s="18">
        <f t="shared" si="20"/>
        <v>0.90886440894901377</v>
      </c>
      <c r="H45" s="18">
        <f t="shared" si="20"/>
        <v>0.96343418635071987</v>
      </c>
      <c r="I45" s="18" t="e">
        <f t="shared" si="20"/>
        <v>#DIV/0!</v>
      </c>
      <c r="J45" s="18">
        <f t="shared" si="20"/>
        <v>0.94786441908358998</v>
      </c>
      <c r="K45" s="18">
        <f t="shared" si="20"/>
        <v>0.15885947046843166</v>
      </c>
      <c r="L45" s="18">
        <f t="shared" si="20"/>
        <v>0.65655042412818099</v>
      </c>
      <c r="M45" s="18">
        <f t="shared" si="20"/>
        <v>0.3976220538720539</v>
      </c>
      <c r="N45" s="18">
        <f t="shared" si="20"/>
        <v>0.59193568967717236</v>
      </c>
      <c r="O45" s="18">
        <f t="shared" si="20"/>
        <v>0.96118744914339227</v>
      </c>
    </row>
    <row r="46" spans="3:15" hidden="1" outlineLevel="1" x14ac:dyDescent="0.2">
      <c r="D46" s="39">
        <f>D34/D17</f>
        <v>1</v>
      </c>
      <c r="E46" s="18"/>
      <c r="F46" s="18">
        <f t="shared" ref="F46:O46" si="21">F34/F17</f>
        <v>0.93173836919337583</v>
      </c>
      <c r="G46" s="18">
        <f t="shared" si="21"/>
        <v>0.88192216771042464</v>
      </c>
      <c r="H46" s="18">
        <f t="shared" si="21"/>
        <v>0.96005312839100299</v>
      </c>
      <c r="I46" s="18">
        <f t="shared" si="21"/>
        <v>0.79999999999999993</v>
      </c>
      <c r="J46" s="18">
        <f t="shared" si="21"/>
        <v>0.92411448155054832</v>
      </c>
      <c r="K46" s="18">
        <f t="shared" si="21"/>
        <v>0.11033099297893678</v>
      </c>
      <c r="L46" s="18">
        <f t="shared" si="21"/>
        <v>0.58896224818012521</v>
      </c>
      <c r="M46" s="18">
        <f t="shared" si="21"/>
        <v>0.19662744274007146</v>
      </c>
      <c r="N46" s="18">
        <f t="shared" si="21"/>
        <v>0.47661662817551964</v>
      </c>
      <c r="O46" s="18">
        <f t="shared" si="21"/>
        <v>0.95600837989276111</v>
      </c>
    </row>
    <row r="47" spans="3:15" hidden="1" outlineLevel="1" x14ac:dyDescent="0.2">
      <c r="D47" s="33"/>
    </row>
    <row r="48" spans="3:15" hidden="1" outlineLevel="1" x14ac:dyDescent="0.2">
      <c r="D48" s="33"/>
    </row>
    <row r="49" spans="1:25" hidden="1" outlineLevel="1" x14ac:dyDescent="0.2">
      <c r="D49" s="33"/>
    </row>
    <row r="50" spans="1:25" outlineLevel="1" x14ac:dyDescent="0.2">
      <c r="A50" s="5" t="str">
        <f>Assumptions!A1</f>
        <v>Plant Year</v>
      </c>
      <c r="D50" s="33">
        <f>Assumptions!I1</f>
        <v>4</v>
      </c>
      <c r="E50" s="5">
        <f>Assumptions!J1</f>
        <v>5</v>
      </c>
      <c r="F50" s="5">
        <f>Assumptions!K1</f>
        <v>6</v>
      </c>
      <c r="G50" s="5">
        <f>Assumptions!L1</f>
        <v>7</v>
      </c>
      <c r="H50" s="5">
        <f>Assumptions!M1</f>
        <v>8</v>
      </c>
      <c r="I50" s="5">
        <f>Assumptions!N1</f>
        <v>9</v>
      </c>
      <c r="J50" s="5">
        <f>Assumptions!O1</f>
        <v>10</v>
      </c>
      <c r="K50" s="5">
        <f>Assumptions!P1</f>
        <v>11</v>
      </c>
      <c r="L50" s="5">
        <f>Assumptions!Q1</f>
        <v>12</v>
      </c>
      <c r="M50" s="5">
        <f>Assumptions!R1</f>
        <v>13</v>
      </c>
      <c r="N50" s="5">
        <f>Assumptions!S1</f>
        <v>14</v>
      </c>
      <c r="O50" s="5">
        <f>Assumptions!T1</f>
        <v>15</v>
      </c>
      <c r="P50" s="5">
        <f>Assumptions!U1</f>
        <v>16</v>
      </c>
      <c r="Q50" s="5">
        <f>Assumptions!V1</f>
        <v>17</v>
      </c>
      <c r="R50" s="5">
        <f>Assumptions!W1</f>
        <v>18</v>
      </c>
      <c r="S50" s="5">
        <f>Assumptions!X1</f>
        <v>19</v>
      </c>
      <c r="T50" s="5">
        <f>Assumptions!Y1</f>
        <v>20</v>
      </c>
      <c r="U50" s="5">
        <f>Assumptions!Z1</f>
        <v>21</v>
      </c>
      <c r="V50" s="5">
        <f>Assumptions!AA1</f>
        <v>22</v>
      </c>
      <c r="W50" s="5">
        <f>Assumptions!AB1</f>
        <v>23</v>
      </c>
      <c r="X50" s="5">
        <f>Assumptions!AC1</f>
        <v>24</v>
      </c>
      <c r="Y50" s="5">
        <f>Assumptions!AD1</f>
        <v>25</v>
      </c>
    </row>
    <row r="51" spans="1:25" outlineLevel="1" x14ac:dyDescent="0.2">
      <c r="A51" s="5" t="s">
        <v>37</v>
      </c>
      <c r="D51" s="33">
        <f>Assumptions!I3</f>
        <v>365</v>
      </c>
      <c r="E51" s="5">
        <f>Assumptions!J3</f>
        <v>366</v>
      </c>
      <c r="F51" s="5">
        <f>Assumptions!K3</f>
        <v>365</v>
      </c>
      <c r="G51" s="5">
        <f>Assumptions!L3</f>
        <v>365</v>
      </c>
      <c r="H51" s="5">
        <f>Assumptions!M3</f>
        <v>365</v>
      </c>
      <c r="I51" s="5">
        <f>Assumptions!N3</f>
        <v>366</v>
      </c>
      <c r="J51" s="5">
        <f>Assumptions!O3</f>
        <v>365</v>
      </c>
      <c r="K51" s="5">
        <f>Assumptions!P3</f>
        <v>365</v>
      </c>
      <c r="L51" s="5">
        <f>Assumptions!Q3</f>
        <v>365</v>
      </c>
      <c r="M51" s="5">
        <f>Assumptions!R3</f>
        <v>366</v>
      </c>
      <c r="N51" s="5">
        <f>Assumptions!S3</f>
        <v>365</v>
      </c>
      <c r="O51" s="5">
        <f>Assumptions!T3</f>
        <v>365</v>
      </c>
      <c r="P51" s="5">
        <f>Assumptions!U3</f>
        <v>365</v>
      </c>
      <c r="Q51" s="5">
        <f>Assumptions!V3</f>
        <v>366</v>
      </c>
      <c r="R51" s="5">
        <f>Assumptions!W3</f>
        <v>365</v>
      </c>
      <c r="S51" s="5">
        <f>Assumptions!X3</f>
        <v>365</v>
      </c>
      <c r="T51" s="5">
        <f>Assumptions!Y3</f>
        <v>365</v>
      </c>
      <c r="U51" s="5">
        <f>Assumptions!Z3</f>
        <v>366</v>
      </c>
      <c r="V51" s="5">
        <f>Assumptions!AA3</f>
        <v>365</v>
      </c>
      <c r="W51" s="5">
        <f>Assumptions!AB3</f>
        <v>365</v>
      </c>
      <c r="X51" s="5">
        <f>Assumptions!AC3</f>
        <v>365</v>
      </c>
      <c r="Y51" s="5">
        <f>Assumptions!AD3</f>
        <v>366</v>
      </c>
    </row>
    <row r="52" spans="1:25" outlineLevel="1" x14ac:dyDescent="0.2">
      <c r="A52" s="5" t="s">
        <v>38</v>
      </c>
      <c r="B52" s="5">
        <f>SUM(D51:V51)</f>
        <v>6940</v>
      </c>
      <c r="D52" s="33"/>
    </row>
    <row r="53" spans="1:25" ht="12" x14ac:dyDescent="0.25">
      <c r="A53" s="19" t="s">
        <v>39</v>
      </c>
      <c r="B53" s="19" t="s">
        <v>40</v>
      </c>
      <c r="D53" s="48">
        <f>Assumptions!I4</f>
        <v>43555</v>
      </c>
      <c r="E53" s="27">
        <f>Assumptions!J4</f>
        <v>43921</v>
      </c>
      <c r="F53" s="27">
        <f>Assumptions!K4</f>
        <v>44286</v>
      </c>
      <c r="G53" s="27">
        <f>Assumptions!L4</f>
        <v>44651</v>
      </c>
      <c r="H53" s="27">
        <f>Assumptions!M4</f>
        <v>45016</v>
      </c>
      <c r="I53" s="27">
        <f>Assumptions!N4</f>
        <v>45382</v>
      </c>
      <c r="J53" s="27">
        <f>Assumptions!O4</f>
        <v>45747</v>
      </c>
      <c r="K53" s="27">
        <f>Assumptions!P4</f>
        <v>46112</v>
      </c>
      <c r="L53" s="27">
        <f>Assumptions!Q4</f>
        <v>46477</v>
      </c>
      <c r="M53" s="27">
        <f>Assumptions!R4</f>
        <v>46843</v>
      </c>
      <c r="N53" s="27">
        <f>Assumptions!S4</f>
        <v>47208</v>
      </c>
      <c r="O53" s="27">
        <f>Assumptions!T4</f>
        <v>47573</v>
      </c>
      <c r="P53" s="27">
        <f>Assumptions!U4</f>
        <v>47938</v>
      </c>
      <c r="Q53" s="27">
        <f>Assumptions!V4</f>
        <v>48304</v>
      </c>
      <c r="R53" s="27">
        <f>Assumptions!W4</f>
        <v>48669</v>
      </c>
      <c r="S53" s="27">
        <f>Assumptions!X4</f>
        <v>49034</v>
      </c>
      <c r="T53" s="27">
        <f>Assumptions!Y4</f>
        <v>49399</v>
      </c>
      <c r="U53" s="27">
        <f>Assumptions!Z4</f>
        <v>49765</v>
      </c>
      <c r="V53" s="27">
        <f>Assumptions!AA4</f>
        <v>50130</v>
      </c>
      <c r="W53" s="27">
        <f>Assumptions!AB4</f>
        <v>50495</v>
      </c>
      <c r="X53" s="27">
        <f>Assumptions!AC4</f>
        <v>50860</v>
      </c>
      <c r="Y53" s="27">
        <f>Assumptions!AD4</f>
        <v>51226</v>
      </c>
    </row>
    <row r="54" spans="1:25" ht="12" x14ac:dyDescent="0.25">
      <c r="A54" s="19" t="s">
        <v>53</v>
      </c>
      <c r="C54" s="31" t="s">
        <v>41</v>
      </c>
      <c r="D54" s="33"/>
    </row>
    <row r="55" spans="1:25" ht="12" x14ac:dyDescent="0.25">
      <c r="C55" s="5" t="s">
        <v>42</v>
      </c>
      <c r="D55" s="40">
        <v>510.85</v>
      </c>
      <c r="E55" s="40">
        <v>510.85</v>
      </c>
      <c r="F55" s="40">
        <v>510.85</v>
      </c>
      <c r="G55" s="40">
        <v>510.85</v>
      </c>
      <c r="H55" s="28">
        <f t="shared" ref="H55:V55" si="22">G55+G56-G57</f>
        <v>510.85</v>
      </c>
      <c r="I55" s="28">
        <f t="shared" si="22"/>
        <v>510.85</v>
      </c>
      <c r="J55" s="28">
        <f t="shared" si="22"/>
        <v>510.85</v>
      </c>
      <c r="K55" s="28">
        <f t="shared" si="22"/>
        <v>510.85</v>
      </c>
      <c r="L55" s="28">
        <f t="shared" si="22"/>
        <v>510.85</v>
      </c>
      <c r="M55" s="28">
        <f t="shared" si="22"/>
        <v>510.85</v>
      </c>
      <c r="N55" s="28">
        <f t="shared" si="22"/>
        <v>510.85</v>
      </c>
      <c r="O55" s="28">
        <f t="shared" si="22"/>
        <v>510.85</v>
      </c>
      <c r="P55" s="28">
        <f t="shared" si="22"/>
        <v>510.85</v>
      </c>
      <c r="Q55" s="28">
        <f t="shared" si="22"/>
        <v>510.85</v>
      </c>
      <c r="R55" s="28">
        <f t="shared" si="22"/>
        <v>510.85</v>
      </c>
      <c r="S55" s="28">
        <f t="shared" si="22"/>
        <v>510.85</v>
      </c>
      <c r="T55" s="28">
        <f t="shared" si="22"/>
        <v>510.85</v>
      </c>
      <c r="U55" s="28">
        <f t="shared" si="22"/>
        <v>510.85</v>
      </c>
      <c r="V55" s="28">
        <f t="shared" si="22"/>
        <v>510.85</v>
      </c>
      <c r="W55" s="28">
        <f t="shared" ref="W55" si="23">V55+V56-V57</f>
        <v>510.85</v>
      </c>
      <c r="X55" s="28">
        <f t="shared" ref="X55:Y55" si="24">W55+W56-W57</f>
        <v>510.85</v>
      </c>
      <c r="Y55" s="28">
        <f t="shared" si="24"/>
        <v>510.85</v>
      </c>
    </row>
    <row r="56" spans="1:25" x14ac:dyDescent="0.2">
      <c r="C56" s="5" t="s">
        <v>43</v>
      </c>
      <c r="D56" s="3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x14ac:dyDescent="0.2">
      <c r="C57" s="5" t="s">
        <v>44</v>
      </c>
      <c r="D57" s="3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x14ac:dyDescent="0.2">
      <c r="C58" s="5" t="s">
        <v>34</v>
      </c>
      <c r="D58" s="3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x14ac:dyDescent="0.2">
      <c r="C59" s="5" t="s">
        <v>45</v>
      </c>
      <c r="D59" s="3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>
        <f t="shared" ref="Y59" si="25">Y55</f>
        <v>510.85</v>
      </c>
    </row>
    <row r="60" spans="1:25" x14ac:dyDescent="0.2">
      <c r="C60" s="5" t="s">
        <v>46</v>
      </c>
      <c r="D60" s="41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>
        <f t="shared" ref="Y60" si="26">Y58+X60+Y59-Y57</f>
        <v>510.85</v>
      </c>
    </row>
    <row r="61" spans="1:25" ht="12" x14ac:dyDescent="0.25">
      <c r="C61" s="5" t="s">
        <v>47</v>
      </c>
      <c r="D61" s="42">
        <f>D55</f>
        <v>510.85</v>
      </c>
      <c r="E61" s="30">
        <f>E55</f>
        <v>510.85</v>
      </c>
      <c r="F61" s="30">
        <f t="shared" ref="F61:U61" si="27">F55</f>
        <v>510.85</v>
      </c>
      <c r="G61" s="30">
        <f t="shared" si="27"/>
        <v>510.85</v>
      </c>
      <c r="H61" s="30">
        <f t="shared" si="27"/>
        <v>510.85</v>
      </c>
      <c r="I61" s="30">
        <f t="shared" si="27"/>
        <v>510.85</v>
      </c>
      <c r="J61" s="30">
        <f t="shared" si="27"/>
        <v>510.85</v>
      </c>
      <c r="K61" s="30">
        <f t="shared" si="27"/>
        <v>510.85</v>
      </c>
      <c r="L61" s="30">
        <f t="shared" si="27"/>
        <v>510.85</v>
      </c>
      <c r="M61" s="30">
        <f t="shared" si="27"/>
        <v>510.85</v>
      </c>
      <c r="N61" s="30">
        <f t="shared" si="27"/>
        <v>510.85</v>
      </c>
      <c r="O61" s="30">
        <f t="shared" si="27"/>
        <v>510.85</v>
      </c>
      <c r="P61" s="30">
        <f t="shared" si="27"/>
        <v>510.85</v>
      </c>
      <c r="Q61" s="30">
        <f t="shared" si="27"/>
        <v>510.85</v>
      </c>
      <c r="R61" s="30">
        <f t="shared" si="27"/>
        <v>510.85</v>
      </c>
      <c r="S61" s="30">
        <f t="shared" si="27"/>
        <v>510.85</v>
      </c>
      <c r="T61" s="30">
        <f t="shared" si="27"/>
        <v>510.85</v>
      </c>
      <c r="U61" s="30">
        <f t="shared" si="27"/>
        <v>510.85</v>
      </c>
      <c r="V61" s="30">
        <f>V55+V56-V60-V57</f>
        <v>510.85</v>
      </c>
      <c r="W61" s="30">
        <f t="shared" ref="W61:X61" si="28">W55+W56-W60-W57</f>
        <v>510.85</v>
      </c>
      <c r="X61" s="30">
        <f t="shared" si="28"/>
        <v>510.85</v>
      </c>
      <c r="Y61" s="30">
        <f t="shared" ref="Y61" si="29">Y55+Y56-Y60-Y57</f>
        <v>0</v>
      </c>
    </row>
    <row r="62" spans="1:25" x14ac:dyDescent="0.2">
      <c r="D62" s="43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12" x14ac:dyDescent="0.25">
      <c r="C63" s="31" t="s">
        <v>6</v>
      </c>
      <c r="D63" s="33"/>
    </row>
    <row r="64" spans="1:25" ht="12" x14ac:dyDescent="0.25">
      <c r="A64" s="21">
        <v>0.05</v>
      </c>
      <c r="C64" s="5" t="s">
        <v>42</v>
      </c>
      <c r="D64" s="40">
        <v>35.42</v>
      </c>
      <c r="E64" s="40">
        <v>35.42</v>
      </c>
      <c r="F64" s="40">
        <v>35.42</v>
      </c>
      <c r="G64" s="40">
        <v>35.42</v>
      </c>
      <c r="H64" s="28">
        <f t="shared" ref="H64:V64" si="30">G64+G65-G66</f>
        <v>35.42</v>
      </c>
      <c r="I64" s="28">
        <f t="shared" si="30"/>
        <v>35.42</v>
      </c>
      <c r="J64" s="28">
        <f t="shared" si="30"/>
        <v>35.42</v>
      </c>
      <c r="K64" s="28">
        <f t="shared" si="30"/>
        <v>35.42</v>
      </c>
      <c r="L64" s="28">
        <f t="shared" si="30"/>
        <v>35.42</v>
      </c>
      <c r="M64" s="28">
        <f t="shared" si="30"/>
        <v>35.42</v>
      </c>
      <c r="N64" s="28">
        <f t="shared" si="30"/>
        <v>35.42</v>
      </c>
      <c r="O64" s="28">
        <f t="shared" si="30"/>
        <v>35.42</v>
      </c>
      <c r="P64" s="28">
        <f t="shared" si="30"/>
        <v>35.42</v>
      </c>
      <c r="Q64" s="28">
        <f t="shared" si="30"/>
        <v>35.42</v>
      </c>
      <c r="R64" s="28">
        <f t="shared" si="30"/>
        <v>35.42</v>
      </c>
      <c r="S64" s="28">
        <f t="shared" si="30"/>
        <v>35.42</v>
      </c>
      <c r="T64" s="28">
        <f t="shared" si="30"/>
        <v>35.42</v>
      </c>
      <c r="U64" s="28">
        <f t="shared" si="30"/>
        <v>35.42</v>
      </c>
      <c r="V64" s="28">
        <f t="shared" si="30"/>
        <v>35.42</v>
      </c>
      <c r="W64" s="28">
        <f t="shared" ref="W64:Y64" si="31">V64+V65-V66</f>
        <v>35.42</v>
      </c>
      <c r="X64" s="28">
        <f t="shared" si="31"/>
        <v>35.42</v>
      </c>
      <c r="Y64" s="28">
        <f t="shared" si="31"/>
        <v>35.42</v>
      </c>
    </row>
    <row r="65" spans="1:25" x14ac:dyDescent="0.2">
      <c r="A65" s="21"/>
      <c r="B65" s="18">
        <v>30</v>
      </c>
      <c r="C65" s="5" t="s">
        <v>43</v>
      </c>
      <c r="D65" s="3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x14ac:dyDescent="0.2">
      <c r="B66" s="17">
        <f>1/B65</f>
        <v>3.3333333333333333E-2</v>
      </c>
      <c r="C66" s="5" t="s">
        <v>44</v>
      </c>
      <c r="D66" s="3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x14ac:dyDescent="0.2">
      <c r="C67" s="5" t="s">
        <v>34</v>
      </c>
      <c r="D67" s="39">
        <v>1.53</v>
      </c>
      <c r="E67" s="39">
        <v>1.53</v>
      </c>
      <c r="F67" s="39">
        <v>1.53</v>
      </c>
      <c r="G67" s="39">
        <v>1.53</v>
      </c>
      <c r="H67" s="18">
        <f t="shared" ref="H67:U67" si="32">(H64*(1-$A$64))*$B$66</f>
        <v>1.1216333333333333</v>
      </c>
      <c r="I67" s="18">
        <f t="shared" si="32"/>
        <v>1.1216333333333333</v>
      </c>
      <c r="J67" s="18">
        <f t="shared" si="32"/>
        <v>1.1216333333333333</v>
      </c>
      <c r="K67" s="18">
        <f t="shared" si="32"/>
        <v>1.1216333333333333</v>
      </c>
      <c r="L67" s="18">
        <f t="shared" si="32"/>
        <v>1.1216333333333333</v>
      </c>
      <c r="M67" s="18">
        <f t="shared" si="32"/>
        <v>1.1216333333333333</v>
      </c>
      <c r="N67" s="18">
        <f t="shared" si="32"/>
        <v>1.1216333333333333</v>
      </c>
      <c r="O67" s="18">
        <f t="shared" si="32"/>
        <v>1.1216333333333333</v>
      </c>
      <c r="P67" s="18">
        <f t="shared" si="32"/>
        <v>1.1216333333333333</v>
      </c>
      <c r="Q67" s="18">
        <f t="shared" si="32"/>
        <v>1.1216333333333333</v>
      </c>
      <c r="R67" s="18">
        <f t="shared" si="32"/>
        <v>1.1216333333333333</v>
      </c>
      <c r="S67" s="18">
        <f t="shared" si="32"/>
        <v>1.1216333333333333</v>
      </c>
      <c r="T67" s="18">
        <f t="shared" si="32"/>
        <v>1.1216333333333333</v>
      </c>
      <c r="U67" s="18">
        <f t="shared" si="32"/>
        <v>1.1216333333333333</v>
      </c>
      <c r="V67" s="18">
        <f t="shared" ref="V67:X67" si="33">(V64*(1-$A$64))*$B$66</f>
        <v>1.1216333333333333</v>
      </c>
      <c r="W67" s="18">
        <f t="shared" si="33"/>
        <v>1.1216333333333333</v>
      </c>
      <c r="X67" s="18">
        <f t="shared" si="33"/>
        <v>1.1216333333333333</v>
      </c>
      <c r="Y67" s="18">
        <f t="shared" ref="Y67" si="34">(Y64*(1-$A$64))*$B$66</f>
        <v>1.1216333333333333</v>
      </c>
    </row>
    <row r="68" spans="1:25" x14ac:dyDescent="0.2">
      <c r="C68" s="5" t="s">
        <v>45</v>
      </c>
      <c r="D68" s="3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>
        <f t="shared" ref="Y68" si="35">Y64-(X69+Y67)</f>
        <v>4.5306000000000246</v>
      </c>
    </row>
    <row r="69" spans="1:25" x14ac:dyDescent="0.2">
      <c r="C69" s="5" t="s">
        <v>46</v>
      </c>
      <c r="D69" s="39">
        <v>6.12</v>
      </c>
      <c r="E69" s="39">
        <v>7.65</v>
      </c>
      <c r="F69" s="39">
        <v>9.18</v>
      </c>
      <c r="G69" s="39">
        <v>10.7</v>
      </c>
      <c r="H69" s="29">
        <f t="shared" ref="H69:U69" si="36">H67+G69+H68-H66</f>
        <v>11.821633333333333</v>
      </c>
      <c r="I69" s="29">
        <f t="shared" si="36"/>
        <v>12.943266666666666</v>
      </c>
      <c r="J69" s="29">
        <f t="shared" si="36"/>
        <v>14.0649</v>
      </c>
      <c r="K69" s="29">
        <f t="shared" si="36"/>
        <v>15.186533333333333</v>
      </c>
      <c r="L69" s="29">
        <f t="shared" si="36"/>
        <v>16.308166666666665</v>
      </c>
      <c r="M69" s="29">
        <f t="shared" si="36"/>
        <v>17.429799999999997</v>
      </c>
      <c r="N69" s="29">
        <f t="shared" si="36"/>
        <v>18.551433333333328</v>
      </c>
      <c r="O69" s="29">
        <f t="shared" si="36"/>
        <v>19.67306666666666</v>
      </c>
      <c r="P69" s="29">
        <f t="shared" si="36"/>
        <v>20.794699999999992</v>
      </c>
      <c r="Q69" s="29">
        <f t="shared" si="36"/>
        <v>21.916333333333323</v>
      </c>
      <c r="R69" s="29">
        <f t="shared" si="36"/>
        <v>23.037966666666655</v>
      </c>
      <c r="S69" s="29">
        <f t="shared" si="36"/>
        <v>24.159599999999987</v>
      </c>
      <c r="T69" s="29">
        <f t="shared" si="36"/>
        <v>25.281233333333319</v>
      </c>
      <c r="U69" s="29">
        <f t="shared" si="36"/>
        <v>26.40286666666665</v>
      </c>
      <c r="V69" s="29">
        <f t="shared" ref="V69" si="37">V67+U69+V68-V66</f>
        <v>27.524499999999982</v>
      </c>
      <c r="W69" s="29">
        <f t="shared" ref="W69" si="38">W67+V69+W68-W66</f>
        <v>28.646133333333314</v>
      </c>
      <c r="X69" s="29">
        <f t="shared" ref="X69" si="39">X67+W69+X68-X66</f>
        <v>29.767766666666645</v>
      </c>
      <c r="Y69" s="29">
        <f t="shared" ref="Y69" si="40">Y67+X69+Y68-Y66</f>
        <v>35.42</v>
      </c>
    </row>
    <row r="70" spans="1:25" ht="12" x14ac:dyDescent="0.25">
      <c r="C70" s="5" t="s">
        <v>47</v>
      </c>
      <c r="D70" s="42">
        <f>D64+D65-D69-D66</f>
        <v>29.3</v>
      </c>
      <c r="E70" s="30">
        <f>E64+E65-E69-E66</f>
        <v>27.770000000000003</v>
      </c>
      <c r="F70" s="30">
        <f t="shared" ref="F70:V70" si="41">F64+F65-F69+F66</f>
        <v>26.240000000000002</v>
      </c>
      <c r="G70" s="30">
        <f t="shared" si="41"/>
        <v>24.720000000000002</v>
      </c>
      <c r="H70" s="30">
        <f t="shared" si="41"/>
        <v>23.598366666666671</v>
      </c>
      <c r="I70" s="30">
        <f t="shared" si="41"/>
        <v>22.476733333333335</v>
      </c>
      <c r="J70" s="30">
        <f t="shared" si="41"/>
        <v>21.3551</v>
      </c>
      <c r="K70" s="30">
        <f t="shared" si="41"/>
        <v>20.233466666666668</v>
      </c>
      <c r="L70" s="30">
        <f t="shared" si="41"/>
        <v>19.111833333333337</v>
      </c>
      <c r="M70" s="30">
        <f t="shared" si="41"/>
        <v>17.990200000000005</v>
      </c>
      <c r="N70" s="30">
        <f t="shared" si="41"/>
        <v>16.868566666666673</v>
      </c>
      <c r="O70" s="30">
        <f t="shared" si="41"/>
        <v>15.746933333333342</v>
      </c>
      <c r="P70" s="30">
        <f t="shared" si="41"/>
        <v>14.62530000000001</v>
      </c>
      <c r="Q70" s="30">
        <f t="shared" si="41"/>
        <v>13.503666666666678</v>
      </c>
      <c r="R70" s="30">
        <f t="shared" si="41"/>
        <v>12.382033333333347</v>
      </c>
      <c r="S70" s="30">
        <f t="shared" si="41"/>
        <v>11.260400000000015</v>
      </c>
      <c r="T70" s="30">
        <f t="shared" si="41"/>
        <v>10.138766666666683</v>
      </c>
      <c r="U70" s="30">
        <f t="shared" si="41"/>
        <v>9.0171333333333514</v>
      </c>
      <c r="V70" s="30">
        <f t="shared" si="41"/>
        <v>7.8955000000000197</v>
      </c>
      <c r="W70" s="30">
        <f t="shared" ref="W70:Y70" si="42">W64+W65-W69+W66</f>
        <v>6.773866666666688</v>
      </c>
      <c r="X70" s="30">
        <f t="shared" si="42"/>
        <v>5.6522333333333563</v>
      </c>
      <c r="Y70" s="30">
        <f t="shared" si="42"/>
        <v>0</v>
      </c>
    </row>
    <row r="71" spans="1:25" x14ac:dyDescent="0.2">
      <c r="D71" s="43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2" x14ac:dyDescent="0.25">
      <c r="C72" s="31" t="s">
        <v>237</v>
      </c>
      <c r="D72" s="33"/>
    </row>
    <row r="73" spans="1:25" ht="12" x14ac:dyDescent="0.25">
      <c r="A73" s="21">
        <v>0.05</v>
      </c>
      <c r="C73" s="5" t="s">
        <v>42</v>
      </c>
      <c r="D73" s="44">
        <v>3624.75</v>
      </c>
      <c r="E73" s="44">
        <v>3624.75</v>
      </c>
      <c r="F73" s="44">
        <v>3624.75</v>
      </c>
      <c r="G73" s="44">
        <v>3604.89</v>
      </c>
      <c r="H73" s="23">
        <f t="shared" ref="H73:V73" si="43">G73+G74-G75</f>
        <v>3604.89</v>
      </c>
      <c r="I73" s="23">
        <f t="shared" si="43"/>
        <v>3604.89</v>
      </c>
      <c r="J73" s="23">
        <f t="shared" si="43"/>
        <v>3604.89</v>
      </c>
      <c r="K73" s="23">
        <f t="shared" si="43"/>
        <v>3604.89</v>
      </c>
      <c r="L73" s="23">
        <f t="shared" si="43"/>
        <v>3604.89</v>
      </c>
      <c r="M73" s="23">
        <f t="shared" si="43"/>
        <v>3604.89</v>
      </c>
      <c r="N73" s="23">
        <f t="shared" si="43"/>
        <v>3604.89</v>
      </c>
      <c r="O73" s="23">
        <f t="shared" si="43"/>
        <v>3604.89</v>
      </c>
      <c r="P73" s="23">
        <f t="shared" si="43"/>
        <v>3604.89</v>
      </c>
      <c r="Q73" s="23">
        <f t="shared" si="43"/>
        <v>3604.89</v>
      </c>
      <c r="R73" s="23">
        <f t="shared" si="43"/>
        <v>3604.89</v>
      </c>
      <c r="S73" s="23">
        <f t="shared" si="43"/>
        <v>3604.89</v>
      </c>
      <c r="T73" s="23">
        <f t="shared" si="43"/>
        <v>3604.89</v>
      </c>
      <c r="U73" s="23">
        <f t="shared" si="43"/>
        <v>3604.89</v>
      </c>
      <c r="V73" s="23">
        <f t="shared" si="43"/>
        <v>3604.89</v>
      </c>
      <c r="W73" s="23">
        <f t="shared" ref="W73" si="44">V73+V74-V75</f>
        <v>3604.89</v>
      </c>
      <c r="X73" s="23">
        <f t="shared" ref="X73:Y73" si="45">W73+W74-W75</f>
        <v>0</v>
      </c>
      <c r="Y73" s="23">
        <f t="shared" si="45"/>
        <v>0</v>
      </c>
    </row>
    <row r="74" spans="1:25" x14ac:dyDescent="0.2">
      <c r="B74" s="5">
        <v>22</v>
      </c>
      <c r="C74" s="5" t="s">
        <v>43</v>
      </c>
      <c r="D74" s="45"/>
      <c r="E74" s="24"/>
      <c r="F74" s="24"/>
      <c r="G74" s="24"/>
      <c r="H74" s="24"/>
      <c r="I74" s="24"/>
      <c r="J74" s="24"/>
      <c r="K74" s="24"/>
      <c r="L74" s="18"/>
      <c r="M74" s="24"/>
      <c r="N74" s="24"/>
      <c r="O74" s="24"/>
      <c r="P74" s="24"/>
      <c r="Q74" s="24"/>
      <c r="R74" s="24"/>
      <c r="S74" s="24"/>
      <c r="T74" s="24"/>
      <c r="U74" s="24"/>
      <c r="V74" s="18"/>
      <c r="X74" s="18"/>
      <c r="Y74" s="18"/>
    </row>
    <row r="75" spans="1:25" x14ac:dyDescent="0.2">
      <c r="A75" s="21"/>
      <c r="B75" s="17">
        <f>1/B74</f>
        <v>4.5454545454545456E-2</v>
      </c>
      <c r="C75" s="5" t="s">
        <v>44</v>
      </c>
      <c r="D75" s="45"/>
      <c r="E75" s="24"/>
      <c r="F75" s="24"/>
      <c r="G75" s="24"/>
      <c r="H75" s="24"/>
      <c r="I75" s="24"/>
      <c r="J75" s="24"/>
      <c r="K75" s="24"/>
      <c r="L75" s="18"/>
      <c r="M75" s="24"/>
      <c r="N75" s="24"/>
      <c r="O75" s="24"/>
      <c r="P75" s="24"/>
      <c r="Q75" s="24"/>
      <c r="R75" s="24"/>
      <c r="S75" s="24"/>
      <c r="T75" s="24"/>
      <c r="U75" s="24"/>
      <c r="V75" s="18"/>
      <c r="W75" s="18">
        <f>W73</f>
        <v>3604.89</v>
      </c>
      <c r="X75" s="18">
        <f>X73</f>
        <v>0</v>
      </c>
      <c r="Y75" s="18">
        <f>Y73</f>
        <v>0</v>
      </c>
    </row>
    <row r="76" spans="1:25" x14ac:dyDescent="0.2">
      <c r="B76" s="22"/>
      <c r="C76" s="5" t="s">
        <v>34</v>
      </c>
      <c r="D76" s="45">
        <v>156.31</v>
      </c>
      <c r="E76" s="45">
        <v>156.55000000000001</v>
      </c>
      <c r="F76" s="45">
        <v>156.55000000000001</v>
      </c>
      <c r="G76" s="45">
        <v>155.69</v>
      </c>
      <c r="H76" s="18">
        <f t="shared" ref="H76:I76" si="46">(H73*(1-$A$73))*$B$75</f>
        <v>155.66570454545453</v>
      </c>
      <c r="I76" s="18">
        <f t="shared" si="46"/>
        <v>155.66570454545453</v>
      </c>
      <c r="J76" s="24">
        <f>J73*(1-$A$73)/$B$74</f>
        <v>155.66570454545453</v>
      </c>
      <c r="K76" s="24">
        <f t="shared" ref="K76:V76" si="47">K73*(1-$A$73)/$B$74</f>
        <v>155.66570454545453</v>
      </c>
      <c r="L76" s="24">
        <f t="shared" si="47"/>
        <v>155.66570454545453</v>
      </c>
      <c r="M76" s="24">
        <f t="shared" si="47"/>
        <v>155.66570454545453</v>
      </c>
      <c r="N76" s="24">
        <f t="shared" si="47"/>
        <v>155.66570454545453</v>
      </c>
      <c r="O76" s="24">
        <f t="shared" si="47"/>
        <v>155.66570454545453</v>
      </c>
      <c r="P76" s="24">
        <f t="shared" si="47"/>
        <v>155.66570454545453</v>
      </c>
      <c r="Q76" s="24">
        <f t="shared" si="47"/>
        <v>155.66570454545453</v>
      </c>
      <c r="R76" s="24">
        <f t="shared" si="47"/>
        <v>155.66570454545453</v>
      </c>
      <c r="S76" s="24">
        <f t="shared" ref="S76" si="48">S73*(1-$A$73)/$B$74</f>
        <v>155.66570454545453</v>
      </c>
      <c r="T76" s="24">
        <f t="shared" si="47"/>
        <v>155.66570454545453</v>
      </c>
      <c r="U76" s="24">
        <f t="shared" si="47"/>
        <v>155.66570454545453</v>
      </c>
      <c r="V76" s="24">
        <f t="shared" si="47"/>
        <v>155.66570454545453</v>
      </c>
      <c r="W76" s="24">
        <f t="shared" ref="W76:X76" si="49">W73*(1-$A$73)/$B$74</f>
        <v>155.66570454545453</v>
      </c>
      <c r="X76" s="24">
        <f t="shared" si="49"/>
        <v>0</v>
      </c>
      <c r="Y76" s="24">
        <f t="shared" ref="Y76" si="50">Y73*(1-$A$73)/$B$74</f>
        <v>0</v>
      </c>
    </row>
    <row r="77" spans="1:25" x14ac:dyDescent="0.2">
      <c r="C77" s="5" t="s">
        <v>45</v>
      </c>
      <c r="D77" s="45"/>
      <c r="E77" s="24"/>
      <c r="F77" s="24"/>
      <c r="G77" s="24"/>
      <c r="H77" s="24"/>
      <c r="I77" s="24"/>
      <c r="J77" s="24"/>
      <c r="K77" s="24"/>
      <c r="L77" s="18"/>
      <c r="M77" s="24"/>
      <c r="N77" s="24"/>
      <c r="O77" s="24"/>
      <c r="P77" s="24"/>
      <c r="Q77" s="24"/>
      <c r="R77" s="24"/>
      <c r="S77" s="24"/>
      <c r="T77" s="24"/>
      <c r="U77" s="24"/>
      <c r="V77" s="18"/>
      <c r="W77" s="18">
        <f>V79-W76</f>
        <v>18.098727272728325</v>
      </c>
      <c r="X77" s="18">
        <f>W79-X76</f>
        <v>0</v>
      </c>
      <c r="Y77" s="18">
        <f>X79-Y76</f>
        <v>0</v>
      </c>
    </row>
    <row r="78" spans="1:25" x14ac:dyDescent="0.2">
      <c r="C78" s="5" t="s">
        <v>46</v>
      </c>
      <c r="D78" s="45">
        <v>627.35</v>
      </c>
      <c r="E78" s="45">
        <v>783.9</v>
      </c>
      <c r="F78" s="45">
        <v>940.45</v>
      </c>
      <c r="G78" s="45">
        <f t="shared" ref="G78:V78" si="51">F78+G76+G77-G75</f>
        <v>1096.1400000000001</v>
      </c>
      <c r="H78" s="24">
        <f t="shared" si="51"/>
        <v>1251.8057045454545</v>
      </c>
      <c r="I78" s="24">
        <f t="shared" si="51"/>
        <v>1407.471409090909</v>
      </c>
      <c r="J78" s="24">
        <f t="shared" si="51"/>
        <v>1563.1371136363634</v>
      </c>
      <c r="K78" s="24">
        <f t="shared" si="51"/>
        <v>1718.8028181818179</v>
      </c>
      <c r="L78" s="24">
        <f t="shared" si="51"/>
        <v>1874.4685227272723</v>
      </c>
      <c r="M78" s="24">
        <f t="shared" si="51"/>
        <v>2030.1342272727268</v>
      </c>
      <c r="N78" s="24">
        <f t="shared" si="51"/>
        <v>2185.7999318181814</v>
      </c>
      <c r="O78" s="24">
        <f t="shared" si="51"/>
        <v>2341.4656363636359</v>
      </c>
      <c r="P78" s="24">
        <f t="shared" si="51"/>
        <v>2497.1313409090903</v>
      </c>
      <c r="Q78" s="24">
        <f t="shared" si="51"/>
        <v>2652.7970454545448</v>
      </c>
      <c r="R78" s="24">
        <f t="shared" si="51"/>
        <v>2808.4627499999992</v>
      </c>
      <c r="S78" s="24">
        <f t="shared" si="51"/>
        <v>2964.1284545454537</v>
      </c>
      <c r="T78" s="24">
        <f t="shared" si="51"/>
        <v>3119.7941590909081</v>
      </c>
      <c r="U78" s="24">
        <f t="shared" si="51"/>
        <v>3275.4598636363626</v>
      </c>
      <c r="V78" s="24">
        <f t="shared" si="51"/>
        <v>3431.125568181817</v>
      </c>
      <c r="W78" s="24">
        <f t="shared" ref="W78:Y78" si="52">V78+W76+W77-W75</f>
        <v>0</v>
      </c>
      <c r="X78" s="24">
        <f t="shared" si="52"/>
        <v>0</v>
      </c>
      <c r="Y78" s="24">
        <f t="shared" si="52"/>
        <v>0</v>
      </c>
    </row>
    <row r="79" spans="1:25" ht="12" x14ac:dyDescent="0.25">
      <c r="C79" s="5" t="s">
        <v>47</v>
      </c>
      <c r="D79" s="46">
        <f>D73+D74-D78-D75</f>
        <v>2997.4</v>
      </c>
      <c r="E79" s="25">
        <f>E73+E74-E78-E75</f>
        <v>2840.85</v>
      </c>
      <c r="F79" s="25">
        <f t="shared" ref="F79:V79" si="53">F73+F74-F78-F75</f>
        <v>2684.3</v>
      </c>
      <c r="G79" s="25">
        <f t="shared" si="53"/>
        <v>2508.75</v>
      </c>
      <c r="H79" s="25">
        <f t="shared" si="53"/>
        <v>2353.0842954545451</v>
      </c>
      <c r="I79" s="25">
        <f t="shared" si="53"/>
        <v>2197.4185909090911</v>
      </c>
      <c r="J79" s="25">
        <f t="shared" si="53"/>
        <v>2041.7528863636364</v>
      </c>
      <c r="K79" s="25">
        <f t="shared" si="53"/>
        <v>1886.087181818182</v>
      </c>
      <c r="L79" s="25">
        <f t="shared" si="53"/>
        <v>1730.4214772727275</v>
      </c>
      <c r="M79" s="25">
        <f t="shared" si="53"/>
        <v>1574.7557727272731</v>
      </c>
      <c r="N79" s="25">
        <f t="shared" si="53"/>
        <v>1419.0900681818184</v>
      </c>
      <c r="O79" s="25">
        <f t="shared" si="53"/>
        <v>1263.424363636364</v>
      </c>
      <c r="P79" s="25">
        <f t="shared" si="53"/>
        <v>1107.7586590909095</v>
      </c>
      <c r="Q79" s="25">
        <f t="shared" si="53"/>
        <v>952.09295454545509</v>
      </c>
      <c r="R79" s="25">
        <f t="shared" si="53"/>
        <v>796.42725000000064</v>
      </c>
      <c r="S79" s="25">
        <f t="shared" si="53"/>
        <v>640.76154545454619</v>
      </c>
      <c r="T79" s="25">
        <f t="shared" si="53"/>
        <v>485.09584090909175</v>
      </c>
      <c r="U79" s="25">
        <f t="shared" si="53"/>
        <v>329.4301363636373</v>
      </c>
      <c r="V79" s="25">
        <f t="shared" si="53"/>
        <v>173.76443181818286</v>
      </c>
      <c r="W79" s="25">
        <f t="shared" ref="W79:X79" si="54">W73+W74-W78-W75</f>
        <v>0</v>
      </c>
      <c r="X79" s="25">
        <f t="shared" si="54"/>
        <v>0</v>
      </c>
      <c r="Y79" s="25">
        <f t="shared" ref="Y79" si="55">Y73+Y74-Y78-Y75</f>
        <v>0</v>
      </c>
    </row>
    <row r="80" spans="1:25" x14ac:dyDescent="0.2">
      <c r="D80" s="43">
        <f>IF(D78=0,(D77-D75)/D73,D79/D73)</f>
        <v>0.82692599489619978</v>
      </c>
      <c r="E80" s="20">
        <f>IF(E78=0,(E77-E75)/E73,E79/E73)</f>
        <v>0.78373680943513346</v>
      </c>
      <c r="F80" s="20">
        <f t="shared" ref="F80:V80" si="56">IF(F78=0,(F77-F75)/F73,F79/F73)</f>
        <v>0.74054762397406726</v>
      </c>
      <c r="G80" s="20">
        <f t="shared" si="56"/>
        <v>0.69592969549695005</v>
      </c>
      <c r="H80" s="20">
        <f t="shared" si="56"/>
        <v>0.65274787731513173</v>
      </c>
      <c r="I80" s="20">
        <f t="shared" si="56"/>
        <v>0.60956605913331374</v>
      </c>
      <c r="J80" s="20">
        <f t="shared" si="56"/>
        <v>0.56638424095149542</v>
      </c>
      <c r="K80" s="20">
        <f t="shared" si="56"/>
        <v>0.52320242276967732</v>
      </c>
      <c r="L80" s="20">
        <f t="shared" si="56"/>
        <v>0.48002060458785917</v>
      </c>
      <c r="M80" s="20">
        <f t="shared" si="56"/>
        <v>0.43683878640604101</v>
      </c>
      <c r="N80" s="20">
        <f t="shared" si="56"/>
        <v>0.3936569682242228</v>
      </c>
      <c r="O80" s="20">
        <f t="shared" si="56"/>
        <v>0.35047515004240465</v>
      </c>
      <c r="P80" s="20">
        <f t="shared" si="56"/>
        <v>0.30729333186058649</v>
      </c>
      <c r="Q80" s="20">
        <f t="shared" si="56"/>
        <v>0.26411151367876834</v>
      </c>
      <c r="R80" s="20">
        <f t="shared" si="56"/>
        <v>0.22092969549695016</v>
      </c>
      <c r="S80" s="20">
        <f t="shared" si="56"/>
        <v>0.177747877315132</v>
      </c>
      <c r="T80" s="20">
        <f t="shared" si="56"/>
        <v>0.13456605913331385</v>
      </c>
      <c r="U80" s="20">
        <f t="shared" si="56"/>
        <v>9.1384240951495693E-2</v>
      </c>
      <c r="V80" s="20">
        <f t="shared" si="56"/>
        <v>4.8202422769677539E-2</v>
      </c>
      <c r="W80" s="20">
        <f t="shared" ref="W80:X80" si="57">IF(W78=0,(W77-W75)/W73,W79/W73)</f>
        <v>-0.99497939541214064</v>
      </c>
      <c r="X80" s="20" t="e">
        <f t="shared" si="57"/>
        <v>#DIV/0!</v>
      </c>
      <c r="Y80" s="20" t="e">
        <f t="shared" ref="Y80" si="58">IF(Y78=0,(Y77-Y75)/Y73,Y79/Y73)</f>
        <v>#DIV/0!</v>
      </c>
    </row>
    <row r="81" spans="3:25" x14ac:dyDescent="0.2">
      <c r="C81" s="26" t="s">
        <v>54</v>
      </c>
      <c r="D81" s="33"/>
    </row>
    <row r="82" spans="3:25" ht="12" x14ac:dyDescent="0.25">
      <c r="C82" s="32" t="s">
        <v>48</v>
      </c>
      <c r="D82" s="47">
        <f>SUMIF($C54:$C80,"Addition",D54:D80)/(10^7)</f>
        <v>0</v>
      </c>
      <c r="E82" s="66">
        <f t="shared" ref="E82:Y82" si="59">SUMIF($C54:$C80,"Addition",E54:E80)/(10^2)</f>
        <v>0</v>
      </c>
      <c r="F82" s="66">
        <f t="shared" si="59"/>
        <v>0</v>
      </c>
      <c r="G82" s="66">
        <f t="shared" si="59"/>
        <v>0</v>
      </c>
      <c r="H82" s="66">
        <f t="shared" si="59"/>
        <v>0</v>
      </c>
      <c r="I82" s="66">
        <f t="shared" si="59"/>
        <v>0</v>
      </c>
      <c r="J82" s="66">
        <f t="shared" si="59"/>
        <v>0</v>
      </c>
      <c r="K82" s="66">
        <f t="shared" si="59"/>
        <v>0</v>
      </c>
      <c r="L82" s="66">
        <f t="shared" si="59"/>
        <v>0</v>
      </c>
      <c r="M82" s="66">
        <f t="shared" si="59"/>
        <v>0</v>
      </c>
      <c r="N82" s="66">
        <f t="shared" si="59"/>
        <v>0</v>
      </c>
      <c r="O82" s="66">
        <f t="shared" si="59"/>
        <v>0</v>
      </c>
      <c r="P82" s="66">
        <f t="shared" si="59"/>
        <v>0</v>
      </c>
      <c r="Q82" s="66">
        <f t="shared" si="59"/>
        <v>0</v>
      </c>
      <c r="R82" s="66">
        <f t="shared" si="59"/>
        <v>0</v>
      </c>
      <c r="S82" s="66">
        <f t="shared" si="59"/>
        <v>0</v>
      </c>
      <c r="T82" s="66">
        <f t="shared" si="59"/>
        <v>0</v>
      </c>
      <c r="U82" s="66">
        <f t="shared" si="59"/>
        <v>0</v>
      </c>
      <c r="V82" s="66">
        <f t="shared" si="59"/>
        <v>0</v>
      </c>
      <c r="W82" s="66">
        <f t="shared" si="59"/>
        <v>0</v>
      </c>
      <c r="X82" s="66">
        <f t="shared" si="59"/>
        <v>0</v>
      </c>
      <c r="Y82" s="66">
        <f t="shared" si="59"/>
        <v>0</v>
      </c>
    </row>
    <row r="83" spans="3:25" ht="12" x14ac:dyDescent="0.25">
      <c r="C83" s="32" t="s">
        <v>49</v>
      </c>
      <c r="D83" s="47">
        <f>SUMIF($C54:$C80,"Asset Write off (Net block)",D54:D80)/(10^7)</f>
        <v>0</v>
      </c>
      <c r="E83" s="66">
        <f t="shared" ref="E83:Y83" si="60">SUMIF($C54:$C80,"Asset Write off (Net block)",E54:E80)/(10^2)</f>
        <v>0</v>
      </c>
      <c r="F83" s="66">
        <f t="shared" si="60"/>
        <v>0</v>
      </c>
      <c r="G83" s="66">
        <f t="shared" si="60"/>
        <v>0</v>
      </c>
      <c r="H83" s="66">
        <f t="shared" si="60"/>
        <v>0</v>
      </c>
      <c r="I83" s="66">
        <f t="shared" si="60"/>
        <v>0</v>
      </c>
      <c r="J83" s="66">
        <f t="shared" si="60"/>
        <v>0</v>
      </c>
      <c r="K83" s="66">
        <f t="shared" si="60"/>
        <v>0</v>
      </c>
      <c r="L83" s="66">
        <f t="shared" si="60"/>
        <v>0</v>
      </c>
      <c r="M83" s="66">
        <f t="shared" si="60"/>
        <v>0</v>
      </c>
      <c r="N83" s="66">
        <f t="shared" si="60"/>
        <v>0</v>
      </c>
      <c r="O83" s="66">
        <f t="shared" si="60"/>
        <v>0</v>
      </c>
      <c r="P83" s="66">
        <f t="shared" si="60"/>
        <v>0</v>
      </c>
      <c r="Q83" s="66">
        <f t="shared" si="60"/>
        <v>0</v>
      </c>
      <c r="R83" s="66">
        <f t="shared" si="60"/>
        <v>0</v>
      </c>
      <c r="S83" s="66">
        <f t="shared" si="60"/>
        <v>0</v>
      </c>
      <c r="T83" s="66">
        <f t="shared" si="60"/>
        <v>0</v>
      </c>
      <c r="U83" s="66">
        <f t="shared" si="60"/>
        <v>0</v>
      </c>
      <c r="V83" s="66">
        <f t="shared" si="60"/>
        <v>0</v>
      </c>
      <c r="W83" s="66">
        <f t="shared" si="60"/>
        <v>0.18098727272728327</v>
      </c>
      <c r="X83" s="66">
        <f t="shared" si="60"/>
        <v>0</v>
      </c>
      <c r="Y83" s="66">
        <f t="shared" si="60"/>
        <v>5.1538060000000003</v>
      </c>
    </row>
    <row r="84" spans="3:25" ht="12" x14ac:dyDescent="0.25">
      <c r="C84" s="32" t="s">
        <v>50</v>
      </c>
      <c r="D84" s="47">
        <f>SUMIF($C54:$C81,"Depreciation",D54:D81)/(10^7)</f>
        <v>1.5784E-5</v>
      </c>
      <c r="E84" s="66">
        <f t="shared" ref="E84:Y84" si="61">SUMIF($C54:$C81,"Depreciation",E54:E81)/(10^2)</f>
        <v>1.5808000000000002</v>
      </c>
      <c r="F84" s="66">
        <f t="shared" si="61"/>
        <v>1.5808000000000002</v>
      </c>
      <c r="G84" s="66">
        <f t="shared" si="61"/>
        <v>1.5722</v>
      </c>
      <c r="H84" s="66">
        <f t="shared" si="61"/>
        <v>1.5678733787878787</v>
      </c>
      <c r="I84" s="66">
        <f t="shared" si="61"/>
        <v>1.5678733787878787</v>
      </c>
      <c r="J84" s="66">
        <f t="shared" si="61"/>
        <v>1.5678733787878787</v>
      </c>
      <c r="K84" s="66">
        <f t="shared" si="61"/>
        <v>1.5678733787878787</v>
      </c>
      <c r="L84" s="66">
        <f t="shared" si="61"/>
        <v>1.5678733787878787</v>
      </c>
      <c r="M84" s="66">
        <f t="shared" si="61"/>
        <v>1.5678733787878787</v>
      </c>
      <c r="N84" s="66">
        <f t="shared" si="61"/>
        <v>1.5678733787878787</v>
      </c>
      <c r="O84" s="66">
        <f t="shared" si="61"/>
        <v>1.5678733787878787</v>
      </c>
      <c r="P84" s="66">
        <f t="shared" si="61"/>
        <v>1.5678733787878787</v>
      </c>
      <c r="Q84" s="66">
        <f t="shared" si="61"/>
        <v>1.5678733787878787</v>
      </c>
      <c r="R84" s="66">
        <f t="shared" si="61"/>
        <v>1.5678733787878787</v>
      </c>
      <c r="S84" s="66">
        <f t="shared" si="61"/>
        <v>1.5678733787878787</v>
      </c>
      <c r="T84" s="66">
        <f t="shared" si="61"/>
        <v>1.5678733787878787</v>
      </c>
      <c r="U84" s="66">
        <f t="shared" si="61"/>
        <v>1.5678733787878787</v>
      </c>
      <c r="V84" s="66">
        <f t="shared" si="61"/>
        <v>1.5678733787878787</v>
      </c>
      <c r="W84" s="66">
        <f t="shared" si="61"/>
        <v>1.5678733787878787</v>
      </c>
      <c r="X84" s="66">
        <f t="shared" si="61"/>
        <v>1.1216333333333333E-2</v>
      </c>
      <c r="Y84" s="66">
        <f t="shared" si="61"/>
        <v>1.1216333333333333E-2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B0AC-1EFA-4794-8D9B-69CCA0D84F6D}">
  <dimension ref="A1:Z58"/>
  <sheetViews>
    <sheetView tabSelected="1" topLeftCell="C24" workbookViewId="0">
      <selection activeCell="L35" sqref="L35"/>
    </sheetView>
  </sheetViews>
  <sheetFormatPr defaultColWidth="15" defaultRowHeight="11.4" outlineLevelRow="1" outlineLevelCol="1" x14ac:dyDescent="0.2"/>
  <cols>
    <col min="1" max="1" width="29" style="5" bestFit="1" customWidth="1"/>
    <col min="2" max="2" width="11.88671875" style="5" bestFit="1" customWidth="1"/>
    <col min="3" max="3" width="24.33203125" style="5" bestFit="1" customWidth="1"/>
    <col min="4" max="4" width="24.6640625" style="5" bestFit="1" customWidth="1"/>
    <col min="5" max="5" width="14.44140625" style="5" hidden="1" customWidth="1" outlineLevel="1"/>
    <col min="6" max="6" width="7.6640625" style="5" hidden="1" customWidth="1" outlineLevel="1" collapsed="1"/>
    <col min="7" max="7" width="7.6640625" style="5" hidden="1" customWidth="1" outlineLevel="1"/>
    <col min="8" max="8" width="8.33203125" style="5" bestFit="1" customWidth="1" outlineLevel="1"/>
    <col min="9" max="14" width="7.88671875" style="5" bestFit="1" customWidth="1" outlineLevel="1"/>
    <col min="15" max="15" width="7.88671875" style="5" bestFit="1" customWidth="1"/>
    <col min="16" max="16" width="8.44140625" style="5" bestFit="1" customWidth="1"/>
    <col min="17" max="24" width="7.88671875" style="5" bestFit="1" customWidth="1"/>
    <col min="25" max="25" width="8.6640625" style="5" bestFit="1" customWidth="1"/>
    <col min="26" max="16384" width="15" style="5"/>
  </cols>
  <sheetData>
    <row r="1" spans="4:26" x14ac:dyDescent="0.2">
      <c r="E1" s="5">
        <f>Assumptions!J3</f>
        <v>366</v>
      </c>
      <c r="F1" s="5">
        <f>Assumptions!K3</f>
        <v>365</v>
      </c>
      <c r="G1" s="5">
        <f>Assumptions!L3</f>
        <v>365</v>
      </c>
      <c r="H1" s="5">
        <f>Assumptions!M3</f>
        <v>365</v>
      </c>
      <c r="I1" s="5">
        <f>Assumptions!N3</f>
        <v>366</v>
      </c>
      <c r="J1" s="5">
        <f>Assumptions!O3</f>
        <v>365</v>
      </c>
      <c r="K1" s="5">
        <f>Assumptions!P3</f>
        <v>365</v>
      </c>
      <c r="L1" s="5">
        <f>Assumptions!Q3</f>
        <v>365</v>
      </c>
      <c r="M1" s="5">
        <f>Assumptions!R3</f>
        <v>366</v>
      </c>
      <c r="N1" s="5">
        <f>Assumptions!S3</f>
        <v>365</v>
      </c>
      <c r="O1" s="5">
        <f>Assumptions!T3</f>
        <v>365</v>
      </c>
      <c r="P1" s="5">
        <f>Assumptions!U3</f>
        <v>365</v>
      </c>
      <c r="Q1" s="5">
        <f>Assumptions!V3</f>
        <v>366</v>
      </c>
      <c r="R1" s="5">
        <f>Assumptions!W3</f>
        <v>365</v>
      </c>
      <c r="S1" s="5">
        <f>Assumptions!X3</f>
        <v>365</v>
      </c>
      <c r="T1" s="5">
        <f>Assumptions!Y3</f>
        <v>365</v>
      </c>
      <c r="U1" s="5">
        <f>Assumptions!Z3</f>
        <v>366</v>
      </c>
      <c r="V1" s="5">
        <f>Assumptions!AA3</f>
        <v>365</v>
      </c>
      <c r="W1" s="5">
        <f>Assumptions!AB3</f>
        <v>365</v>
      </c>
      <c r="X1" s="5">
        <f>Assumptions!AC3</f>
        <v>365</v>
      </c>
      <c r="Y1" s="5">
        <f>Assumptions!AD3</f>
        <v>366</v>
      </c>
    </row>
    <row r="2" spans="4:26" x14ac:dyDescent="0.2">
      <c r="E2" s="5">
        <f>Assumptions!J1</f>
        <v>5</v>
      </c>
      <c r="F2" s="5">
        <f>Assumptions!K1</f>
        <v>6</v>
      </c>
      <c r="G2" s="5">
        <f>Assumptions!L1</f>
        <v>7</v>
      </c>
      <c r="H2" s="5">
        <f>Assumptions!M1</f>
        <v>8</v>
      </c>
      <c r="I2" s="5">
        <f>Assumptions!N1</f>
        <v>9</v>
      </c>
      <c r="J2" s="5">
        <f>Assumptions!O1</f>
        <v>10</v>
      </c>
      <c r="K2" s="5">
        <f>Assumptions!P1</f>
        <v>11</v>
      </c>
      <c r="L2" s="5">
        <f>Assumptions!Q1</f>
        <v>12</v>
      </c>
      <c r="M2" s="5">
        <f>Assumptions!R1</f>
        <v>13</v>
      </c>
      <c r="N2" s="5">
        <f>Assumptions!S1</f>
        <v>14</v>
      </c>
      <c r="O2" s="5">
        <f>Assumptions!T1</f>
        <v>15</v>
      </c>
      <c r="P2" s="5">
        <f>Assumptions!U1</f>
        <v>16</v>
      </c>
      <c r="Q2" s="5">
        <f>Assumptions!V1</f>
        <v>17</v>
      </c>
      <c r="R2" s="5">
        <f>Assumptions!W1</f>
        <v>18</v>
      </c>
      <c r="S2" s="5">
        <f>Assumptions!X1</f>
        <v>19</v>
      </c>
      <c r="T2" s="5">
        <f>Assumptions!Y1</f>
        <v>20</v>
      </c>
      <c r="U2" s="5">
        <f>Assumptions!Z1</f>
        <v>21</v>
      </c>
      <c r="V2" s="5">
        <f>Assumptions!AA1</f>
        <v>22</v>
      </c>
      <c r="W2" s="5">
        <f>Assumptions!AB1</f>
        <v>23</v>
      </c>
      <c r="X2" s="5">
        <f>Assumptions!AC1</f>
        <v>24</v>
      </c>
      <c r="Y2" s="5">
        <f>Assumptions!AD1</f>
        <v>25</v>
      </c>
    </row>
    <row r="3" spans="4:26" ht="12" x14ac:dyDescent="0.25">
      <c r="D3" s="238" t="s">
        <v>177</v>
      </c>
      <c r="E3" s="175">
        <f>Assumptions!J4</f>
        <v>43921</v>
      </c>
      <c r="F3" s="175">
        <f>Assumptions!K4</f>
        <v>44286</v>
      </c>
      <c r="G3" s="175">
        <f>Assumptions!L4</f>
        <v>44651</v>
      </c>
      <c r="H3" s="175">
        <f>Assumptions!M4</f>
        <v>45016</v>
      </c>
      <c r="I3" s="175">
        <f>Assumptions!N4</f>
        <v>45382</v>
      </c>
      <c r="J3" s="175">
        <f>Assumptions!O4</f>
        <v>45747</v>
      </c>
      <c r="K3" s="175">
        <f>Assumptions!P4</f>
        <v>46112</v>
      </c>
      <c r="L3" s="175">
        <f>Assumptions!Q4</f>
        <v>46477</v>
      </c>
      <c r="M3" s="175">
        <f>Assumptions!R4</f>
        <v>46843</v>
      </c>
      <c r="N3" s="175">
        <f>Assumptions!S4</f>
        <v>47208</v>
      </c>
      <c r="O3" s="175">
        <f>Assumptions!T4</f>
        <v>47573</v>
      </c>
      <c r="P3" s="175">
        <f>Assumptions!U4</f>
        <v>47938</v>
      </c>
      <c r="Q3" s="175">
        <f>Assumptions!V4</f>
        <v>48304</v>
      </c>
      <c r="R3" s="175">
        <f>Assumptions!W4</f>
        <v>48669</v>
      </c>
      <c r="S3" s="175">
        <f>Assumptions!X4</f>
        <v>49034</v>
      </c>
      <c r="T3" s="175">
        <f>Assumptions!Y4</f>
        <v>49399</v>
      </c>
      <c r="U3" s="175">
        <f>Assumptions!Z4</f>
        <v>49765</v>
      </c>
      <c r="V3" s="175">
        <f>Assumptions!AA4</f>
        <v>50130</v>
      </c>
      <c r="W3" s="175">
        <f>Assumptions!AB4</f>
        <v>50495</v>
      </c>
      <c r="X3" s="175">
        <f>Assumptions!AC4</f>
        <v>50860</v>
      </c>
      <c r="Y3" s="175">
        <f>Assumptions!AD4</f>
        <v>51226</v>
      </c>
    </row>
    <row r="4" spans="4:26" x14ac:dyDescent="0.2">
      <c r="D4" s="238"/>
      <c r="E4" s="194" t="s">
        <v>178</v>
      </c>
      <c r="F4" s="194" t="s">
        <v>178</v>
      </c>
      <c r="G4" s="194" t="s">
        <v>178</v>
      </c>
      <c r="H4" s="194" t="s">
        <v>178</v>
      </c>
      <c r="I4" s="194" t="s">
        <v>178</v>
      </c>
      <c r="J4" s="194" t="s">
        <v>178</v>
      </c>
      <c r="K4" s="194" t="s">
        <v>178</v>
      </c>
      <c r="L4" s="194" t="s">
        <v>178</v>
      </c>
      <c r="M4" s="194" t="s">
        <v>178</v>
      </c>
      <c r="N4" s="194" t="s">
        <v>178</v>
      </c>
      <c r="O4" s="194" t="s">
        <v>178</v>
      </c>
      <c r="P4" s="194" t="s">
        <v>178</v>
      </c>
      <c r="Q4" s="194" t="s">
        <v>178</v>
      </c>
      <c r="R4" s="194" t="s">
        <v>178</v>
      </c>
      <c r="S4" s="194" t="s">
        <v>178</v>
      </c>
      <c r="T4" s="194" t="s">
        <v>178</v>
      </c>
      <c r="U4" s="194" t="s">
        <v>178</v>
      </c>
      <c r="V4" s="194" t="s">
        <v>178</v>
      </c>
      <c r="W4" s="194" t="s">
        <v>178</v>
      </c>
      <c r="X4" s="194" t="s">
        <v>178</v>
      </c>
      <c r="Y4" s="194" t="s">
        <v>178</v>
      </c>
    </row>
    <row r="5" spans="4:26" ht="14.4" x14ac:dyDescent="0.25">
      <c r="D5" s="7" t="s">
        <v>179</v>
      </c>
      <c r="E5" s="153">
        <f>'RKA P&amp;L'!J22</f>
        <v>0</v>
      </c>
      <c r="F5" s="153">
        <f>'RKA P&amp;L'!K22</f>
        <v>0</v>
      </c>
      <c r="G5" s="153">
        <f>'RKA P&amp;L'!L22</f>
        <v>0</v>
      </c>
      <c r="H5" s="227">
        <f>'RKA P&amp;L'!M22</f>
        <v>7.1655994080000003</v>
      </c>
      <c r="I5" s="227">
        <f>'RKA P&amp;L'!N22</f>
        <v>7.1852311872000012</v>
      </c>
      <c r="J5" s="227">
        <f>'RKA P&amp;L'!O22</f>
        <v>7.1655994080000003</v>
      </c>
      <c r="K5" s="227">
        <f>'RKA P&amp;L'!P22</f>
        <v>6.5877284880000007</v>
      </c>
      <c r="L5" s="227">
        <f>'RKA P&amp;L'!Q22</f>
        <v>6.5877284880000007</v>
      </c>
      <c r="M5" s="227">
        <f>'RKA P&amp;L'!R22</f>
        <v>0</v>
      </c>
      <c r="N5" s="227">
        <f>'RKA P&amp;L'!S22</f>
        <v>0</v>
      </c>
      <c r="O5" s="227">
        <f>'RKA P&amp;L'!T22</f>
        <v>0</v>
      </c>
      <c r="P5" s="227">
        <f>'RKA P&amp;L'!U22</f>
        <v>0</v>
      </c>
      <c r="Q5" s="227">
        <f>'RKA P&amp;L'!V22</f>
        <v>3.7664518320000004</v>
      </c>
      <c r="R5" s="227">
        <f>'RKA P&amp;L'!W22</f>
        <v>3.7561609800000002</v>
      </c>
      <c r="S5" s="227">
        <f>'RKA P&amp;L'!X22</f>
        <v>3.7561609800000002</v>
      </c>
      <c r="T5" s="227">
        <f>'RKA P&amp;L'!Y22</f>
        <v>3.1782900600000001</v>
      </c>
      <c r="U5" s="227">
        <f>'RKA P&amp;L'!Z22</f>
        <v>3.1869977040000004</v>
      </c>
      <c r="V5" s="227">
        <f>'RKA P&amp;L'!AA22</f>
        <v>3.1782900600000001</v>
      </c>
      <c r="W5" s="227">
        <f>'RKA P&amp;L'!AB22</f>
        <v>3.1782900600000001</v>
      </c>
      <c r="X5" s="227">
        <f>'RKA P&amp;L'!AC22</f>
        <v>3.1782900600000001</v>
      </c>
      <c r="Y5" s="227">
        <f>'RKA P&amp;L'!AD22</f>
        <v>8.7745622576385518</v>
      </c>
      <c r="Z5" s="227">
        <f>'RKA P&amp;L'!AE22</f>
        <v>0</v>
      </c>
    </row>
    <row r="6" spans="4:26" ht="12" x14ac:dyDescent="0.2">
      <c r="D6" s="154" t="s">
        <v>180</v>
      </c>
      <c r="E6" s="154" t="e">
        <f>E5/D5-1</f>
        <v>#VALUE!</v>
      </c>
      <c r="F6" s="154" t="e">
        <f>F5/E5-1</f>
        <v>#DIV/0!</v>
      </c>
      <c r="G6" s="154" t="e">
        <f t="shared" ref="G6:Q6" si="0">G5/F5-1</f>
        <v>#DIV/0!</v>
      </c>
      <c r="H6" s="228" t="e">
        <f t="shared" si="0"/>
        <v>#DIV/0!</v>
      </c>
      <c r="I6" s="229">
        <f t="shared" si="0"/>
        <v>2.73972602739736E-3</v>
      </c>
      <c r="J6" s="229">
        <f t="shared" si="0"/>
        <v>-2.732240437158584E-3</v>
      </c>
      <c r="K6" s="229">
        <f t="shared" si="0"/>
        <v>-8.0645161290322509E-2</v>
      </c>
      <c r="L6" s="229">
        <f t="shared" si="0"/>
        <v>0</v>
      </c>
      <c r="M6" s="229">
        <f t="shared" si="0"/>
        <v>-1</v>
      </c>
      <c r="N6" s="229" t="e">
        <f t="shared" si="0"/>
        <v>#DIV/0!</v>
      </c>
      <c r="O6" s="229" t="e">
        <f t="shared" si="0"/>
        <v>#DIV/0!</v>
      </c>
      <c r="P6" s="229" t="e">
        <f t="shared" si="0"/>
        <v>#DIV/0!</v>
      </c>
      <c r="Q6" s="229" t="e">
        <f t="shared" si="0"/>
        <v>#DIV/0!</v>
      </c>
      <c r="R6" s="229">
        <f t="shared" ref="R6" si="1">R5/Q5-1</f>
        <v>-2.732240437158584E-3</v>
      </c>
      <c r="S6" s="229">
        <f t="shared" ref="S6" si="2">S5/R5-1</f>
        <v>0</v>
      </c>
      <c r="T6" s="229">
        <f t="shared" ref="T6" si="3">T5/S5-1</f>
        <v>-0.15384615384615385</v>
      </c>
      <c r="U6" s="229">
        <f t="shared" ref="U6" si="4">U5/T5-1</f>
        <v>2.73972602739736E-3</v>
      </c>
      <c r="V6" s="229">
        <f t="shared" ref="V6" si="5">V5/U5-1</f>
        <v>-2.732240437158584E-3</v>
      </c>
      <c r="W6" s="229">
        <f t="shared" ref="W6" si="6">W5/V5-1</f>
        <v>0</v>
      </c>
      <c r="X6" s="229">
        <f t="shared" ref="X6" si="7">X5/W5-1</f>
        <v>0</v>
      </c>
      <c r="Y6" s="229">
        <f t="shared" ref="Y6" si="8">Y5/X5-1</f>
        <v>1.7607808261649196</v>
      </c>
      <c r="Z6" s="229">
        <f t="shared" ref="Z6" si="9">Z5/Y5-1</f>
        <v>-1</v>
      </c>
    </row>
    <row r="7" spans="4:26" ht="14.4" x14ac:dyDescent="0.25">
      <c r="D7" s="7" t="s">
        <v>181</v>
      </c>
      <c r="E7" s="153">
        <f>'RKA P&amp;L'!J28</f>
        <v>0</v>
      </c>
      <c r="F7" s="153">
        <f>'RKA P&amp;L'!K28</f>
        <v>0</v>
      </c>
      <c r="G7" s="153">
        <f>'RKA P&amp;L'!L28</f>
        <v>0</v>
      </c>
      <c r="H7" s="227">
        <f>'RKA P&amp;L'!M28</f>
        <v>5.9949544079999999</v>
      </c>
      <c r="I7" s="227">
        <f>'RKA P&amp;L'!N28</f>
        <v>5.956053937200001</v>
      </c>
      <c r="J7" s="227">
        <f>'RKA P&amp;L'!O28</f>
        <v>5.8749632955000006</v>
      </c>
      <c r="K7" s="227">
        <f>'RKA P&amp;L'!P28</f>
        <v>5.232560569875</v>
      </c>
      <c r="L7" s="227">
        <f>'RKA P&amp;L'!Q28</f>
        <v>5.1648021739687504</v>
      </c>
      <c r="M7" s="227">
        <f>'RKA P&amp;L'!R28</f>
        <v>-1.4940726297328131</v>
      </c>
      <c r="N7" s="227">
        <f>'RKA P&amp;L'!S28</f>
        <v>-1.5687762612194536</v>
      </c>
      <c r="O7" s="227">
        <f>'RKA P&amp;L'!T28</f>
        <v>-1.6472150742804264</v>
      </c>
      <c r="P7" s="227">
        <f>'RKA P&amp;L'!U28</f>
        <v>-1.7295758279944478</v>
      </c>
      <c r="Q7" s="227">
        <f>'RKA P&amp;L'!V28</f>
        <v>1.9503972126058302</v>
      </c>
      <c r="R7" s="227">
        <f>'RKA P&amp;L'!W28</f>
        <v>1.8493036296361214</v>
      </c>
      <c r="S7" s="227">
        <f>'RKA P&amp;L'!X28</f>
        <v>1.7539607621179276</v>
      </c>
      <c r="T7" s="227">
        <f>'RKA P&amp;L'!Y28</f>
        <v>1.0759798312238233</v>
      </c>
      <c r="U7" s="227">
        <f>'RKA P&amp;L'!Z28</f>
        <v>0.97957196378501532</v>
      </c>
      <c r="V7" s="227">
        <f>'RKA P&amp;L'!AA28</f>
        <v>0.86049303277426548</v>
      </c>
      <c r="W7" s="227">
        <f>'RKA P&amp;L'!AB28</f>
        <v>0.74460318141297854</v>
      </c>
      <c r="X7" s="227">
        <f>'RKA P&amp;L'!AC28</f>
        <v>0.62291883748362764</v>
      </c>
      <c r="Y7" s="227">
        <f>'RKA P&amp;L'!AD28</f>
        <v>6.0914224739963601</v>
      </c>
      <c r="Z7" s="227">
        <f>'RKA P&amp;L'!AE28</f>
        <v>0</v>
      </c>
    </row>
    <row r="8" spans="4:26" ht="12" x14ac:dyDescent="0.2">
      <c r="D8" s="154" t="s">
        <v>182</v>
      </c>
      <c r="E8" s="154" t="e">
        <f t="shared" ref="E8" si="10">E7/E$5</f>
        <v>#DIV/0!</v>
      </c>
      <c r="F8" s="154" t="e">
        <f t="shared" ref="F8:Q8" si="11">F7/F$5</f>
        <v>#DIV/0!</v>
      </c>
      <c r="G8" s="154" t="e">
        <f t="shared" si="11"/>
        <v>#DIV/0!</v>
      </c>
      <c r="H8" s="228">
        <f t="shared" si="11"/>
        <v>0.83662985699520975</v>
      </c>
      <c r="I8" s="228">
        <f t="shared" si="11"/>
        <v>0.82893003468145943</v>
      </c>
      <c r="J8" s="228">
        <f t="shared" si="11"/>
        <v>0.81988441733721884</v>
      </c>
      <c r="K8" s="228">
        <f t="shared" si="11"/>
        <v>0.79428904506408671</v>
      </c>
      <c r="L8" s="228">
        <f t="shared" si="11"/>
        <v>0.78400349731729102</v>
      </c>
      <c r="M8" s="228" t="e">
        <f t="shared" si="11"/>
        <v>#DIV/0!</v>
      </c>
      <c r="N8" s="228" t="e">
        <f t="shared" si="11"/>
        <v>#DIV/0!</v>
      </c>
      <c r="O8" s="228" t="e">
        <f t="shared" si="11"/>
        <v>#DIV/0!</v>
      </c>
      <c r="P8" s="228" t="e">
        <f t="shared" si="11"/>
        <v>#DIV/0!</v>
      </c>
      <c r="Q8" s="228">
        <f t="shared" si="11"/>
        <v>0.51783410477604908</v>
      </c>
      <c r="R8" s="228">
        <f t="shared" ref="R8:Z8" si="12">R7/R$5</f>
        <v>0.49233875743954969</v>
      </c>
      <c r="S8" s="228">
        <f t="shared" si="12"/>
        <v>0.46695569531152725</v>
      </c>
      <c r="T8" s="228">
        <f t="shared" si="12"/>
        <v>0.3385404764547586</v>
      </c>
      <c r="U8" s="228">
        <f t="shared" si="12"/>
        <v>0.30736513005815935</v>
      </c>
      <c r="V8" s="228">
        <f t="shared" si="12"/>
        <v>0.27074087529137142</v>
      </c>
      <c r="W8" s="228">
        <f t="shared" si="12"/>
        <v>0.23427791905593995</v>
      </c>
      <c r="X8" s="228">
        <f t="shared" si="12"/>
        <v>0.195991815008737</v>
      </c>
      <c r="Y8" s="228">
        <f t="shared" si="12"/>
        <v>0.69421383029034545</v>
      </c>
      <c r="Z8" s="228" t="e">
        <f t="shared" si="12"/>
        <v>#DIV/0!</v>
      </c>
    </row>
    <row r="9" spans="4:26" ht="14.4" x14ac:dyDescent="0.25">
      <c r="D9" s="7" t="s">
        <v>153</v>
      </c>
      <c r="E9" s="153">
        <f>'RKA P&amp;L'!J31</f>
        <v>0</v>
      </c>
      <c r="F9" s="153">
        <f>'RKA P&amp;L'!K31</f>
        <v>0</v>
      </c>
      <c r="G9" s="153">
        <f>'RKA P&amp;L'!L31</f>
        <v>0</v>
      </c>
      <c r="H9" s="227">
        <f>'RKA P&amp;L'!M31</f>
        <v>4.427081029212121</v>
      </c>
      <c r="I9" s="227">
        <f>'RKA P&amp;L'!N31</f>
        <v>4.3881805584121221</v>
      </c>
      <c r="J9" s="227">
        <f>'RKA P&amp;L'!O31</f>
        <v>4.3070899167121217</v>
      </c>
      <c r="K9" s="227">
        <f>'RKA P&amp;L'!P31</f>
        <v>3.664687191087121</v>
      </c>
      <c r="L9" s="227">
        <f>'RKA P&amp;L'!Q31</f>
        <v>3.5969287951808715</v>
      </c>
      <c r="M9" s="227">
        <f>'RKA P&amp;L'!R31</f>
        <v>-3.0619460085206915</v>
      </c>
      <c r="N9" s="227">
        <f>'RKA P&amp;L'!S31</f>
        <v>-3.1366496400073323</v>
      </c>
      <c r="O9" s="227">
        <f>'RKA P&amp;L'!T31</f>
        <v>-3.2150884530683053</v>
      </c>
      <c r="P9" s="227">
        <f>'RKA P&amp;L'!U31</f>
        <v>-3.2974492067823267</v>
      </c>
      <c r="Q9" s="227">
        <f>'RKA P&amp;L'!V31</f>
        <v>0.38252383381795152</v>
      </c>
      <c r="R9" s="227">
        <f>'RKA P&amp;L'!W31</f>
        <v>0.28143025084824269</v>
      </c>
      <c r="S9" s="227">
        <f>'RKA P&amp;L'!X31</f>
        <v>0.18608738333004893</v>
      </c>
      <c r="T9" s="227">
        <f>'RKA P&amp;L'!Y31</f>
        <v>-0.49189354756405534</v>
      </c>
      <c r="U9" s="227">
        <f>'RKA P&amp;L'!Z31</f>
        <v>-0.58830141500286337</v>
      </c>
      <c r="V9" s="227">
        <f>'RKA P&amp;L'!AA31</f>
        <v>-0.70738034601361321</v>
      </c>
      <c r="W9" s="227">
        <f>'RKA P&amp;L'!AB31</f>
        <v>-0.82327019737490015</v>
      </c>
      <c r="X9" s="227">
        <f>'RKA P&amp;L'!AC31</f>
        <v>0.61170250415029426</v>
      </c>
      <c r="Y9" s="227">
        <f>'RKA P&amp;L'!AD31</f>
        <v>6.0802061406630266</v>
      </c>
      <c r="Z9" s="227">
        <f>'RKA P&amp;L'!AE31</f>
        <v>0</v>
      </c>
    </row>
    <row r="10" spans="4:26" ht="12" x14ac:dyDescent="0.2">
      <c r="D10" s="154" t="s">
        <v>182</v>
      </c>
      <c r="E10" s="154" t="e">
        <f t="shared" ref="E10" si="13">E9/E$5</f>
        <v>#DIV/0!</v>
      </c>
      <c r="F10" s="154" t="e">
        <f t="shared" ref="F10:Q10" si="14">F9/F$5</f>
        <v>#DIV/0!</v>
      </c>
      <c r="G10" s="154" t="e">
        <f t="shared" si="14"/>
        <v>#DIV/0!</v>
      </c>
      <c r="H10" s="228">
        <f t="shared" si="14"/>
        <v>0.61782424290555882</v>
      </c>
      <c r="I10" s="228">
        <f t="shared" si="14"/>
        <v>0.61072225013850157</v>
      </c>
      <c r="J10" s="228">
        <f t="shared" si="14"/>
        <v>0.60107880324756802</v>
      </c>
      <c r="K10" s="228">
        <f t="shared" si="14"/>
        <v>0.55628995605429099</v>
      </c>
      <c r="L10" s="228">
        <f t="shared" si="14"/>
        <v>0.54600440830749541</v>
      </c>
      <c r="M10" s="228" t="e">
        <f t="shared" si="14"/>
        <v>#DIV/0!</v>
      </c>
      <c r="N10" s="228" t="e">
        <f t="shared" si="14"/>
        <v>#DIV/0!</v>
      </c>
      <c r="O10" s="228" t="e">
        <f t="shared" si="14"/>
        <v>#DIV/0!</v>
      </c>
      <c r="P10" s="228" t="e">
        <f t="shared" si="14"/>
        <v>#DIV/0!</v>
      </c>
      <c r="Q10" s="228">
        <f t="shared" si="14"/>
        <v>0.10156079272486804</v>
      </c>
      <c r="R10" s="228">
        <f t="shared" ref="R10:Z10" si="15">R9/R$5</f>
        <v>7.4924970560831153E-2</v>
      </c>
      <c r="S10" s="228">
        <f t="shared" si="15"/>
        <v>4.954190843280868E-2</v>
      </c>
      <c r="T10" s="228">
        <f t="shared" si="15"/>
        <v>-0.15476672622009061</v>
      </c>
      <c r="U10" s="228">
        <f t="shared" si="15"/>
        <v>-0.18459423872960007</v>
      </c>
      <c r="V10" s="228">
        <f t="shared" si="15"/>
        <v>-0.22256632738347776</v>
      </c>
      <c r="W10" s="228">
        <f t="shared" si="15"/>
        <v>-0.25902928361890926</v>
      </c>
      <c r="X10" s="228">
        <f t="shared" si="15"/>
        <v>0.1924627685335599</v>
      </c>
      <c r="Y10" s="228">
        <f t="shared" si="15"/>
        <v>0.69293555189833</v>
      </c>
      <c r="Z10" s="228" t="e">
        <f t="shared" si="15"/>
        <v>#DIV/0!</v>
      </c>
    </row>
    <row r="11" spans="4:26" ht="14.4" hidden="1" x14ac:dyDescent="0.2">
      <c r="D11" s="155" t="s">
        <v>183</v>
      </c>
      <c r="E11" s="9">
        <f>'RKA P&amp;L'!J36</f>
        <v>0</v>
      </c>
      <c r="F11" s="9">
        <f>'RKA P&amp;L'!K36</f>
        <v>0</v>
      </c>
      <c r="G11" s="9">
        <f>'RKA P&amp;L'!L36</f>
        <v>0</v>
      </c>
      <c r="H11" s="230">
        <f>1-$B$36</f>
        <v>0.74829999999999997</v>
      </c>
      <c r="I11" s="230">
        <f t="shared" ref="I11:Z11" si="16">1-$B$36</f>
        <v>0.74829999999999997</v>
      </c>
      <c r="J11" s="230">
        <f t="shared" si="16"/>
        <v>0.74829999999999997</v>
      </c>
      <c r="K11" s="230">
        <f t="shared" si="16"/>
        <v>0.74829999999999997</v>
      </c>
      <c r="L11" s="230">
        <f t="shared" si="16"/>
        <v>0.74829999999999997</v>
      </c>
      <c r="M11" s="230">
        <f t="shared" si="16"/>
        <v>0.74829999999999997</v>
      </c>
      <c r="N11" s="230">
        <f t="shared" si="16"/>
        <v>0.74829999999999997</v>
      </c>
      <c r="O11" s="230">
        <f t="shared" si="16"/>
        <v>0.74829999999999997</v>
      </c>
      <c r="P11" s="230">
        <f t="shared" si="16"/>
        <v>0.74829999999999997</v>
      </c>
      <c r="Q11" s="230">
        <f t="shared" si="16"/>
        <v>0.74829999999999997</v>
      </c>
      <c r="R11" s="230">
        <f t="shared" si="16"/>
        <v>0.74829999999999997</v>
      </c>
      <c r="S11" s="230">
        <f t="shared" si="16"/>
        <v>0.74829999999999997</v>
      </c>
      <c r="T11" s="230">
        <f t="shared" si="16"/>
        <v>0.74829999999999997</v>
      </c>
      <c r="U11" s="230">
        <f t="shared" si="16"/>
        <v>0.74829999999999997</v>
      </c>
      <c r="V11" s="230">
        <f t="shared" si="16"/>
        <v>0.74829999999999997</v>
      </c>
      <c r="W11" s="230">
        <f t="shared" si="16"/>
        <v>0.74829999999999997</v>
      </c>
      <c r="X11" s="230">
        <f t="shared" si="16"/>
        <v>0.74829999999999997</v>
      </c>
      <c r="Y11" s="230">
        <f t="shared" si="16"/>
        <v>0.74829999999999997</v>
      </c>
      <c r="Z11" s="230">
        <f t="shared" si="16"/>
        <v>0.74829999999999997</v>
      </c>
    </row>
    <row r="12" spans="4:26" ht="14.4" x14ac:dyDescent="0.25">
      <c r="D12" s="7" t="s">
        <v>184</v>
      </c>
      <c r="E12" s="153">
        <f t="shared" ref="E12" si="17">E9-E11</f>
        <v>0</v>
      </c>
      <c r="F12" s="153">
        <f t="shared" ref="F12:G12" si="18">F9-F11</f>
        <v>0</v>
      </c>
      <c r="G12" s="153">
        <f t="shared" si="18"/>
        <v>0</v>
      </c>
      <c r="H12" s="227">
        <f>H9*H11</f>
        <v>3.3127847341594299</v>
      </c>
      <c r="I12" s="227">
        <f>I9*I11</f>
        <v>3.2836755118597907</v>
      </c>
      <c r="J12" s="227">
        <f t="shared" ref="J12:Q12" si="19">J9*J11</f>
        <v>3.2229953846756807</v>
      </c>
      <c r="K12" s="227">
        <f t="shared" si="19"/>
        <v>2.7422854250904924</v>
      </c>
      <c r="L12" s="227">
        <f t="shared" si="19"/>
        <v>2.6915818174338462</v>
      </c>
      <c r="M12" s="227">
        <f t="shared" si="19"/>
        <v>-2.2912541981760333</v>
      </c>
      <c r="N12" s="227">
        <f t="shared" si="19"/>
        <v>-2.3471549256174868</v>
      </c>
      <c r="O12" s="227">
        <f t="shared" si="19"/>
        <v>-2.4058506894310128</v>
      </c>
      <c r="P12" s="227">
        <f t="shared" si="19"/>
        <v>-2.4674812414352147</v>
      </c>
      <c r="Q12" s="227">
        <f t="shared" si="19"/>
        <v>0.28624258484597309</v>
      </c>
      <c r="R12" s="227">
        <f>R9*R11</f>
        <v>0.21059425670974</v>
      </c>
      <c r="S12" s="227">
        <f t="shared" ref="S12:Z12" si="20">S9*S11</f>
        <v>0.1392491889458756</v>
      </c>
      <c r="T12" s="227">
        <f t="shared" si="20"/>
        <v>-0.36808394164218261</v>
      </c>
      <c r="U12" s="227">
        <f t="shared" si="20"/>
        <v>-0.44022594884664262</v>
      </c>
      <c r="V12" s="227">
        <f t="shared" si="20"/>
        <v>-0.52933271292198669</v>
      </c>
      <c r="W12" s="227">
        <f t="shared" si="20"/>
        <v>-0.6160530886956378</v>
      </c>
      <c r="X12" s="227">
        <f t="shared" si="20"/>
        <v>0.45773698385566519</v>
      </c>
      <c r="Y12" s="227">
        <f t="shared" si="20"/>
        <v>4.5498182550581427</v>
      </c>
      <c r="Z12" s="227">
        <f t="shared" si="20"/>
        <v>0</v>
      </c>
    </row>
    <row r="13" spans="4:26" ht="12" x14ac:dyDescent="0.2">
      <c r="D13" s="154" t="s">
        <v>182</v>
      </c>
      <c r="E13" s="154" t="e">
        <f t="shared" ref="E13" si="21">E12/E$5</f>
        <v>#DIV/0!</v>
      </c>
      <c r="F13" s="154" t="e">
        <f t="shared" ref="F13:Q13" si="22">F12/F$5</f>
        <v>#DIV/0!</v>
      </c>
      <c r="G13" s="154" t="e">
        <f t="shared" si="22"/>
        <v>#DIV/0!</v>
      </c>
      <c r="H13" s="228">
        <f t="shared" si="22"/>
        <v>0.46231788096622967</v>
      </c>
      <c r="I13" s="228">
        <f t="shared" si="22"/>
        <v>0.45700345977864071</v>
      </c>
      <c r="J13" s="228">
        <f t="shared" si="22"/>
        <v>0.4497872684701551</v>
      </c>
      <c r="K13" s="228">
        <f t="shared" si="22"/>
        <v>0.41627177411542587</v>
      </c>
      <c r="L13" s="228">
        <f t="shared" si="22"/>
        <v>0.40857509873649878</v>
      </c>
      <c r="M13" s="228" t="e">
        <f t="shared" si="22"/>
        <v>#DIV/0!</v>
      </c>
      <c r="N13" s="228" t="e">
        <f t="shared" si="22"/>
        <v>#DIV/0!</v>
      </c>
      <c r="O13" s="228" t="e">
        <f t="shared" si="22"/>
        <v>#DIV/0!</v>
      </c>
      <c r="P13" s="228" t="e">
        <f t="shared" si="22"/>
        <v>#DIV/0!</v>
      </c>
      <c r="Q13" s="228">
        <f t="shared" si="22"/>
        <v>7.5997941196018742E-2</v>
      </c>
      <c r="R13" s="228">
        <f t="shared" ref="R13:Z13" si="23">R12/R$5</f>
        <v>5.6066355470669946E-2</v>
      </c>
      <c r="S13" s="228">
        <f t="shared" si="23"/>
        <v>3.7072210080270729E-2</v>
      </c>
      <c r="T13" s="228">
        <f t="shared" si="23"/>
        <v>-0.11581194123049379</v>
      </c>
      <c r="U13" s="228">
        <f t="shared" si="23"/>
        <v>-0.13813186884135972</v>
      </c>
      <c r="V13" s="228">
        <f t="shared" si="23"/>
        <v>-0.16654638278105638</v>
      </c>
      <c r="W13" s="228">
        <f t="shared" si="23"/>
        <v>-0.1938316129320298</v>
      </c>
      <c r="X13" s="228">
        <f t="shared" si="23"/>
        <v>0.14401988969366289</v>
      </c>
      <c r="Y13" s="228">
        <f t="shared" si="23"/>
        <v>0.51852367348552031</v>
      </c>
      <c r="Z13" s="228" t="e">
        <f t="shared" si="23"/>
        <v>#DIV/0!</v>
      </c>
    </row>
    <row r="14" spans="4:26" ht="14.4" x14ac:dyDescent="0.2">
      <c r="D14" s="8" t="s">
        <v>185</v>
      </c>
      <c r="E14" s="51">
        <v>0</v>
      </c>
      <c r="F14" s="51">
        <v>0</v>
      </c>
      <c r="G14" s="51">
        <v>0</v>
      </c>
      <c r="H14" s="231">
        <f>'Depreciation Schedule'!H84</f>
        <v>1.5678733787878787</v>
      </c>
      <c r="I14" s="231">
        <f>'Depreciation Schedule'!I84</f>
        <v>1.5678733787878787</v>
      </c>
      <c r="J14" s="231">
        <f>'Depreciation Schedule'!J84</f>
        <v>1.5678733787878787</v>
      </c>
      <c r="K14" s="231">
        <f>'Depreciation Schedule'!K84</f>
        <v>1.5678733787878787</v>
      </c>
      <c r="L14" s="231">
        <f>'Depreciation Schedule'!L84</f>
        <v>1.5678733787878787</v>
      </c>
      <c r="M14" s="231">
        <f>'Depreciation Schedule'!M84</f>
        <v>1.5678733787878787</v>
      </c>
      <c r="N14" s="231">
        <f>'Depreciation Schedule'!N84</f>
        <v>1.5678733787878787</v>
      </c>
      <c r="O14" s="231">
        <f>'Depreciation Schedule'!O84</f>
        <v>1.5678733787878787</v>
      </c>
      <c r="P14" s="231">
        <f>'Depreciation Schedule'!P84</f>
        <v>1.5678733787878787</v>
      </c>
      <c r="Q14" s="231">
        <f>'Depreciation Schedule'!Q84</f>
        <v>1.5678733787878787</v>
      </c>
      <c r="R14" s="231">
        <f>'Depreciation Schedule'!R84</f>
        <v>1.5678733787878787</v>
      </c>
      <c r="S14" s="231">
        <f>'Depreciation Schedule'!S84</f>
        <v>1.5678733787878787</v>
      </c>
      <c r="T14" s="231">
        <f>'Depreciation Schedule'!T84</f>
        <v>1.5678733787878787</v>
      </c>
      <c r="U14" s="231">
        <f>'Depreciation Schedule'!U84</f>
        <v>1.5678733787878787</v>
      </c>
      <c r="V14" s="231">
        <f>'Depreciation Schedule'!V84</f>
        <v>1.5678733787878787</v>
      </c>
      <c r="W14" s="231">
        <f>'Depreciation Schedule'!W84</f>
        <v>1.5678733787878787</v>
      </c>
      <c r="X14" s="231">
        <f>'Depreciation Schedule'!X84</f>
        <v>1.1216333333333333E-2</v>
      </c>
      <c r="Y14" s="231">
        <f>'Depreciation Schedule'!Y84</f>
        <v>1.1216333333333333E-2</v>
      </c>
      <c r="Z14" s="231">
        <f>'Depreciation Schedule'!Z84</f>
        <v>0</v>
      </c>
    </row>
    <row r="15" spans="4:26" ht="12" x14ac:dyDescent="0.2">
      <c r="D15" s="154" t="s">
        <v>182</v>
      </c>
      <c r="E15" s="154" t="e">
        <f t="shared" ref="E15" si="24">E14/E$5</f>
        <v>#DIV/0!</v>
      </c>
      <c r="F15" s="154" t="e">
        <f t="shared" ref="F15:Q15" si="25">F14/F$5</f>
        <v>#DIV/0!</v>
      </c>
      <c r="G15" s="154" t="e">
        <f t="shared" si="25"/>
        <v>#DIV/0!</v>
      </c>
      <c r="H15" s="228">
        <f t="shared" si="25"/>
        <v>0.21880561408965085</v>
      </c>
      <c r="I15" s="228">
        <f t="shared" si="25"/>
        <v>0.21820778454295781</v>
      </c>
      <c r="J15" s="228">
        <f t="shared" si="25"/>
        <v>0.21880561408965085</v>
      </c>
      <c r="K15" s="228">
        <f t="shared" si="25"/>
        <v>0.23799908900979566</v>
      </c>
      <c r="L15" s="228">
        <f t="shared" si="25"/>
        <v>0.23799908900979566</v>
      </c>
      <c r="M15" s="228" t="e">
        <f t="shared" si="25"/>
        <v>#DIV/0!</v>
      </c>
      <c r="N15" s="228" t="e">
        <f t="shared" si="25"/>
        <v>#DIV/0!</v>
      </c>
      <c r="O15" s="228" t="e">
        <f t="shared" si="25"/>
        <v>#DIV/0!</v>
      </c>
      <c r="P15" s="228" t="e">
        <f t="shared" si="25"/>
        <v>#DIV/0!</v>
      </c>
      <c r="Q15" s="228">
        <f t="shared" si="25"/>
        <v>0.41627331205118107</v>
      </c>
      <c r="R15" s="228">
        <f t="shared" ref="R15:Z15" si="26">R14/R$5</f>
        <v>0.41741378687871855</v>
      </c>
      <c r="S15" s="228">
        <f t="shared" si="26"/>
        <v>0.41741378687871855</v>
      </c>
      <c r="T15" s="228">
        <f t="shared" si="26"/>
        <v>0.49330720267484918</v>
      </c>
      <c r="U15" s="228">
        <f t="shared" si="26"/>
        <v>0.49195936878775942</v>
      </c>
      <c r="V15" s="228">
        <f t="shared" si="26"/>
        <v>0.49330720267484918</v>
      </c>
      <c r="W15" s="228">
        <f t="shared" si="26"/>
        <v>0.49330720267484918</v>
      </c>
      <c r="X15" s="228">
        <f t="shared" si="26"/>
        <v>3.5290464751770744E-3</v>
      </c>
      <c r="Y15" s="228">
        <f t="shared" si="26"/>
        <v>1.2782783920154122E-3</v>
      </c>
      <c r="Z15" s="228" t="e">
        <f t="shared" si="26"/>
        <v>#DIV/0!</v>
      </c>
    </row>
    <row r="16" spans="4:26" ht="14.4" x14ac:dyDescent="0.2">
      <c r="D16" s="8" t="s">
        <v>186</v>
      </c>
      <c r="E16" s="51">
        <f>'RKA P&amp;L'!J94</f>
        <v>0</v>
      </c>
      <c r="F16" s="51">
        <f>'RKA P&amp;L'!K94</f>
        <v>0</v>
      </c>
      <c r="G16" s="51">
        <f>'RKA P&amp;L'!L94</f>
        <v>0</v>
      </c>
      <c r="H16" s="231">
        <f>'RKA P&amp;L'!M94</f>
        <v>3.6622947188593802</v>
      </c>
      <c r="I16" s="231">
        <f>'RKA P&amp;L'!N94</f>
        <v>-3.6104377254212672E-2</v>
      </c>
      <c r="J16" s="231">
        <f>'RKA P&amp;L'!O94</f>
        <v>-4.2414794496036023E-2</v>
      </c>
      <c r="K16" s="231">
        <f>'RKA P&amp;L'!P94</f>
        <v>-0.39935181768939154</v>
      </c>
      <c r="L16" s="231">
        <f>'RKA P&amp;L'!Q94</f>
        <v>-4.4339393267015303E-2</v>
      </c>
      <c r="M16" s="231">
        <f>'RKA P&amp;L'!R94</f>
        <v>-4.1150966909648981</v>
      </c>
      <c r="N16" s="231">
        <f>'RKA P&amp;L'!S94</f>
        <v>-5.1555447802397181E-2</v>
      </c>
      <c r="O16" s="231">
        <f>'RKA P&amp;L'!T94</f>
        <v>-5.132839013072843E-2</v>
      </c>
      <c r="P16" s="231">
        <f>'RKA P&amp;L'!U94</f>
        <v>-5.3894809637265118E-2</v>
      </c>
      <c r="Q16" s="231">
        <f>'RKA P&amp;L'!V94</f>
        <v>2.2679622479425783</v>
      </c>
      <c r="R16" s="231">
        <f>'RKA P&amp;L'!W94</f>
        <v>-6.2665969025362367E-2</v>
      </c>
      <c r="S16" s="231">
        <f>'RKA P&amp;L'!X94</f>
        <v>-6.2389979006338914E-2</v>
      </c>
      <c r="T16" s="231">
        <f>'RKA P&amp;L'!Y94</f>
        <v>-0.42263330205841432</v>
      </c>
      <c r="U16" s="231">
        <f>'RKA P&amp;L'!Z94</f>
        <v>-6.4838274289067188E-2</v>
      </c>
      <c r="V16" s="231">
        <f>'RKA P&amp;L'!AA94</f>
        <v>-7.6170877012634586E-2</v>
      </c>
      <c r="W16" s="231">
        <f>'RKA P&amp;L'!AB94</f>
        <v>-7.5835409419573674E-2</v>
      </c>
      <c r="X16" s="231">
        <f>'RKA P&amp;L'!AC94</f>
        <v>-7.9627179890552346E-2</v>
      </c>
      <c r="Y16" s="231">
        <f>'RKA P&amp;L'!AD94</f>
        <v>-7.8811327637575479E-2</v>
      </c>
      <c r="Z16" s="231">
        <f>'RKA P&amp;L'!AE94</f>
        <v>0</v>
      </c>
    </row>
    <row r="17" spans="1:26" ht="12" x14ac:dyDescent="0.2">
      <c r="D17" s="154" t="s">
        <v>182</v>
      </c>
      <c r="E17" s="154" t="e">
        <f t="shared" ref="E17" si="27">E16/E$5</f>
        <v>#DIV/0!</v>
      </c>
      <c r="F17" s="154" t="e">
        <f t="shared" ref="F17:Q17" si="28">F16/F$5</f>
        <v>#DIV/0!</v>
      </c>
      <c r="G17" s="154" t="e">
        <f t="shared" si="28"/>
        <v>#DIV/0!</v>
      </c>
      <c r="H17" s="228">
        <f t="shared" si="28"/>
        <v>0.51109397976820026</v>
      </c>
      <c r="I17" s="228">
        <f t="shared" si="28"/>
        <v>-5.0248038390929102E-3</v>
      </c>
      <c r="J17" s="228">
        <f t="shared" si="28"/>
        <v>-5.9192249079235747E-3</v>
      </c>
      <c r="K17" s="228">
        <f t="shared" si="28"/>
        <v>-6.0620564192473671E-2</v>
      </c>
      <c r="L17" s="228">
        <f t="shared" si="28"/>
        <v>-6.7306042360098101E-3</v>
      </c>
      <c r="M17" s="228" t="e">
        <f t="shared" si="28"/>
        <v>#DIV/0!</v>
      </c>
      <c r="N17" s="228" t="e">
        <f t="shared" si="28"/>
        <v>#DIV/0!</v>
      </c>
      <c r="O17" s="228" t="e">
        <f t="shared" si="28"/>
        <v>#DIV/0!</v>
      </c>
      <c r="P17" s="228" t="e">
        <f t="shared" si="28"/>
        <v>#DIV/0!</v>
      </c>
      <c r="Q17" s="228">
        <f t="shared" si="28"/>
        <v>0.60214821511158989</v>
      </c>
      <c r="R17" s="228">
        <f t="shared" ref="R17:Z17" si="29">R16/R$5</f>
        <v>-1.6683515259072405E-2</v>
      </c>
      <c r="S17" s="228">
        <f t="shared" si="29"/>
        <v>-1.6610038637465137E-2</v>
      </c>
      <c r="T17" s="228">
        <f t="shared" si="29"/>
        <v>-0.13297505705266383</v>
      </c>
      <c r="U17" s="228">
        <f t="shared" si="29"/>
        <v>-2.0344625353099149E-2</v>
      </c>
      <c r="V17" s="228">
        <f t="shared" si="29"/>
        <v>-2.3965992900168018E-2</v>
      </c>
      <c r="W17" s="228">
        <f t="shared" si="29"/>
        <v>-2.3860443190504038E-2</v>
      </c>
      <c r="X17" s="228">
        <f t="shared" si="29"/>
        <v>-2.5053465350029235E-2</v>
      </c>
      <c r="Y17" s="228">
        <f t="shared" si="29"/>
        <v>-8.9817959373377932E-3</v>
      </c>
      <c r="Z17" s="228" t="e">
        <f t="shared" si="29"/>
        <v>#DIV/0!</v>
      </c>
    </row>
    <row r="18" spans="1:26" ht="14.4" x14ac:dyDescent="0.2">
      <c r="D18" s="8" t="s">
        <v>187</v>
      </c>
      <c r="E18" s="51">
        <f>'Depreciation Schedule'!E82-'Depreciation Schedule'!E83</f>
        <v>0</v>
      </c>
      <c r="F18" s="51">
        <f>'Depreciation Schedule'!F82-'Depreciation Schedule'!F83</f>
        <v>0</v>
      </c>
      <c r="G18" s="51">
        <f>'Depreciation Schedule'!G82-'Depreciation Schedule'!G83</f>
        <v>0</v>
      </c>
      <c r="H18" s="231">
        <f>'Depreciation Schedule'!H82-'Depreciation Schedule'!H83</f>
        <v>0</v>
      </c>
      <c r="I18" s="231">
        <f>'Depreciation Schedule'!I82-'Depreciation Schedule'!I83</f>
        <v>0</v>
      </c>
      <c r="J18" s="231">
        <f>'Depreciation Schedule'!J82-'Depreciation Schedule'!J83</f>
        <v>0</v>
      </c>
      <c r="K18" s="231">
        <f>'Depreciation Schedule'!K82-'Depreciation Schedule'!K83</f>
        <v>0</v>
      </c>
      <c r="L18" s="231">
        <f>'Depreciation Schedule'!L82-'Depreciation Schedule'!L83</f>
        <v>0</v>
      </c>
      <c r="M18" s="231">
        <f>'Depreciation Schedule'!M82-'Depreciation Schedule'!M83</f>
        <v>0</v>
      </c>
      <c r="N18" s="231">
        <f>'Depreciation Schedule'!N82-'Depreciation Schedule'!N83</f>
        <v>0</v>
      </c>
      <c r="O18" s="231">
        <f>'Depreciation Schedule'!O82-'Depreciation Schedule'!O83</f>
        <v>0</v>
      </c>
      <c r="P18" s="231">
        <f>'Depreciation Schedule'!P82-'Depreciation Schedule'!P83</f>
        <v>0</v>
      </c>
      <c r="Q18" s="231">
        <f>'Depreciation Schedule'!Q82-'Depreciation Schedule'!Q83</f>
        <v>0</v>
      </c>
      <c r="R18" s="231">
        <f>'Depreciation Schedule'!R82-'Depreciation Schedule'!R83</f>
        <v>0</v>
      </c>
      <c r="S18" s="231">
        <f>'Depreciation Schedule'!S82-'Depreciation Schedule'!S83</f>
        <v>0</v>
      </c>
      <c r="T18" s="231">
        <f>'Depreciation Schedule'!T82-'Depreciation Schedule'!T83</f>
        <v>0</v>
      </c>
      <c r="U18" s="231">
        <f>'Depreciation Schedule'!U82-'Depreciation Schedule'!U83</f>
        <v>0</v>
      </c>
      <c r="V18" s="231">
        <f>'Depreciation Schedule'!V82-'Depreciation Schedule'!V83</f>
        <v>0</v>
      </c>
      <c r="W18" s="231">
        <f>'Depreciation Schedule'!W82-'Depreciation Schedule'!W83</f>
        <v>-0.18098727272728327</v>
      </c>
      <c r="X18" s="231">
        <f>'Depreciation Schedule'!X82-'Depreciation Schedule'!X83</f>
        <v>0</v>
      </c>
      <c r="Y18" s="231">
        <f>'Depreciation Schedule'!Y82-'Depreciation Schedule'!Y83</f>
        <v>-5.1538060000000003</v>
      </c>
      <c r="Z18" s="231">
        <f>'Depreciation Schedule'!Z82-'Depreciation Schedule'!Z83</f>
        <v>0</v>
      </c>
    </row>
    <row r="19" spans="1:26" ht="12" x14ac:dyDescent="0.2">
      <c r="D19" s="154" t="s">
        <v>182</v>
      </c>
      <c r="E19" s="154" t="e">
        <f t="shared" ref="E19" si="30">E18/E$5</f>
        <v>#DIV/0!</v>
      </c>
      <c r="F19" s="154" t="e">
        <f t="shared" ref="F19:Q19" si="31">F18/F$5</f>
        <v>#DIV/0!</v>
      </c>
      <c r="G19" s="154" t="e">
        <f t="shared" si="31"/>
        <v>#DIV/0!</v>
      </c>
      <c r="H19" s="228">
        <f t="shared" si="31"/>
        <v>0</v>
      </c>
      <c r="I19" s="228">
        <f t="shared" si="31"/>
        <v>0</v>
      </c>
      <c r="J19" s="228">
        <f t="shared" si="31"/>
        <v>0</v>
      </c>
      <c r="K19" s="228">
        <f t="shared" si="31"/>
        <v>0</v>
      </c>
      <c r="L19" s="228">
        <f t="shared" si="31"/>
        <v>0</v>
      </c>
      <c r="M19" s="228" t="e">
        <f t="shared" si="31"/>
        <v>#DIV/0!</v>
      </c>
      <c r="N19" s="228" t="e">
        <f t="shared" si="31"/>
        <v>#DIV/0!</v>
      </c>
      <c r="O19" s="228" t="e">
        <f t="shared" si="31"/>
        <v>#DIV/0!</v>
      </c>
      <c r="P19" s="228" t="e">
        <f t="shared" si="31"/>
        <v>#DIV/0!</v>
      </c>
      <c r="Q19" s="228">
        <f t="shared" si="31"/>
        <v>0</v>
      </c>
      <c r="R19" s="228">
        <f t="shared" ref="R19:Z19" si="32">R18/R$5</f>
        <v>0</v>
      </c>
      <c r="S19" s="228">
        <f t="shared" si="32"/>
        <v>0</v>
      </c>
      <c r="T19" s="228">
        <f t="shared" si="32"/>
        <v>0</v>
      </c>
      <c r="U19" s="228">
        <f t="shared" si="32"/>
        <v>0</v>
      </c>
      <c r="V19" s="228">
        <f t="shared" si="32"/>
        <v>0</v>
      </c>
      <c r="W19" s="228">
        <f t="shared" si="32"/>
        <v>-5.6944856923248618E-2</v>
      </c>
      <c r="X19" s="228">
        <f t="shared" si="32"/>
        <v>0</v>
      </c>
      <c r="Y19" s="228">
        <f t="shared" si="32"/>
        <v>-0.58735761952266496</v>
      </c>
      <c r="Z19" s="228" t="e">
        <f t="shared" si="32"/>
        <v>#DIV/0!</v>
      </c>
    </row>
    <row r="20" spans="1:26" ht="14.4" x14ac:dyDescent="0.25">
      <c r="D20" s="32" t="s">
        <v>188</v>
      </c>
      <c r="E20" s="185">
        <f t="shared" ref="E20" si="33">E12+E14-E16-E18</f>
        <v>0</v>
      </c>
      <c r="F20" s="185">
        <f t="shared" ref="F20:Q20" si="34">F12+F14-F16-F18</f>
        <v>0</v>
      </c>
      <c r="G20" s="185">
        <f t="shared" si="34"/>
        <v>0</v>
      </c>
      <c r="H20" s="232">
        <f t="shared" si="34"/>
        <v>1.2183633940879286</v>
      </c>
      <c r="I20" s="232">
        <f t="shared" si="34"/>
        <v>4.8876532679018823</v>
      </c>
      <c r="J20" s="232">
        <f t="shared" si="34"/>
        <v>4.8332835579595956</v>
      </c>
      <c r="K20" s="232">
        <f t="shared" si="34"/>
        <v>4.7095106215677625</v>
      </c>
      <c r="L20" s="232">
        <f t="shared" si="34"/>
        <v>4.3037945894887404</v>
      </c>
      <c r="M20" s="232">
        <f t="shared" si="34"/>
        <v>3.3917158715767437</v>
      </c>
      <c r="N20" s="232">
        <f t="shared" si="34"/>
        <v>-0.72772609902721097</v>
      </c>
      <c r="O20" s="232">
        <f t="shared" si="34"/>
        <v>-0.78664892051240565</v>
      </c>
      <c r="P20" s="232">
        <f t="shared" si="34"/>
        <v>-0.84571305301007094</v>
      </c>
      <c r="Q20" s="232">
        <f t="shared" si="34"/>
        <v>-0.4138462843087265</v>
      </c>
      <c r="R20" s="232">
        <f t="shared" ref="R20:Z20" si="35">R12+R14-R16-R18</f>
        <v>1.8411336045229811</v>
      </c>
      <c r="S20" s="232">
        <f t="shared" si="35"/>
        <v>1.7695125467400932</v>
      </c>
      <c r="T20" s="232">
        <f t="shared" si="35"/>
        <v>1.6224227392041104</v>
      </c>
      <c r="U20" s="232">
        <f t="shared" si="35"/>
        <v>1.1924857042303032</v>
      </c>
      <c r="V20" s="232">
        <f t="shared" si="35"/>
        <v>1.1147115428785266</v>
      </c>
      <c r="W20" s="232">
        <f t="shared" si="35"/>
        <v>1.2086429722390977</v>
      </c>
      <c r="X20" s="232">
        <f t="shared" si="35"/>
        <v>0.54858049707955092</v>
      </c>
      <c r="Y20" s="232">
        <f t="shared" si="35"/>
        <v>9.7936519160290523</v>
      </c>
      <c r="Z20" s="232">
        <f t="shared" si="35"/>
        <v>0</v>
      </c>
    </row>
    <row r="21" spans="1:26" ht="12" x14ac:dyDescent="0.2">
      <c r="D21" s="154" t="s">
        <v>180</v>
      </c>
      <c r="E21" s="154" t="e">
        <f>E20/D20-1</f>
        <v>#VALUE!</v>
      </c>
      <c r="F21" s="154" t="e">
        <f>F20/E20-1</f>
        <v>#DIV/0!</v>
      </c>
      <c r="G21" s="154" t="e">
        <f t="shared" ref="G21:Q21" si="36">G20/F20-1</f>
        <v>#DIV/0!</v>
      </c>
      <c r="H21" s="228" t="e">
        <f t="shared" si="36"/>
        <v>#DIV/0!</v>
      </c>
      <c r="I21" s="228">
        <f t="shared" si="36"/>
        <v>3.0116547260194055</v>
      </c>
      <c r="J21" s="228">
        <f t="shared" si="36"/>
        <v>-1.112388849252921E-2</v>
      </c>
      <c r="K21" s="228">
        <f t="shared" si="36"/>
        <v>-2.56084574611809E-2</v>
      </c>
      <c r="L21" s="228">
        <f t="shared" si="36"/>
        <v>-8.6148235916699623E-2</v>
      </c>
      <c r="M21" s="228">
        <f t="shared" si="36"/>
        <v>-0.21192431445022686</v>
      </c>
      <c r="N21" s="228">
        <f t="shared" si="36"/>
        <v>-1.2145598648535689</v>
      </c>
      <c r="O21" s="228">
        <f t="shared" si="36"/>
        <v>8.0968404958898565E-2</v>
      </c>
      <c r="P21" s="228">
        <f t="shared" si="36"/>
        <v>7.5083218139029739E-2</v>
      </c>
      <c r="Q21" s="228">
        <f t="shared" si="36"/>
        <v>-0.51065401812617128</v>
      </c>
      <c r="R21" s="228">
        <f t="shared" ref="R21" si="37">R20/Q20-1</f>
        <v>-5.4488344448913981</v>
      </c>
      <c r="S21" s="228">
        <f t="shared" ref="S21" si="38">S20/R20-1</f>
        <v>-3.8900521725822368E-2</v>
      </c>
      <c r="T21" s="228">
        <f t="shared" ref="T21" si="39">T20/S20-1</f>
        <v>-8.3124478437274107E-2</v>
      </c>
      <c r="U21" s="228">
        <f t="shared" ref="U21" si="40">U20/T20-1</f>
        <v>-0.26499692378862705</v>
      </c>
      <c r="V21" s="228">
        <f t="shared" ref="V21" si="41">V20/U20-1</f>
        <v>-6.5220204381381985E-2</v>
      </c>
      <c r="W21" s="228">
        <f t="shared" ref="W21" si="42">W20/V20-1</f>
        <v>8.4265234320630933E-2</v>
      </c>
      <c r="X21" s="228">
        <f t="shared" ref="X21" si="43">X20/W20-1</f>
        <v>-0.54611865564959494</v>
      </c>
      <c r="Y21" s="228">
        <f t="shared" ref="Y21" si="44">Y20/X20-1</f>
        <v>16.852716179607189</v>
      </c>
      <c r="Z21" s="228">
        <f t="shared" ref="Z21" si="45">Z20/Y20-1</f>
        <v>-1</v>
      </c>
    </row>
    <row r="22" spans="1:26" x14ac:dyDescent="0.2"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</row>
    <row r="23" spans="1:26" x14ac:dyDescent="0.2">
      <c r="D23" s="8" t="s">
        <v>189</v>
      </c>
      <c r="E23" s="51">
        <v>0</v>
      </c>
      <c r="F23" s="51">
        <v>0</v>
      </c>
      <c r="G23" s="51">
        <v>0</v>
      </c>
      <c r="H23" s="51">
        <f t="shared" ref="H23:V23" si="46">(H3-$B$31)/365</f>
        <v>-7.1232876712328766E-2</v>
      </c>
      <c r="I23" s="51">
        <f t="shared" si="46"/>
        <v>0.93150684931506844</v>
      </c>
      <c r="J23" s="51">
        <f t="shared" si="46"/>
        <v>1.9315068493150684</v>
      </c>
      <c r="K23" s="51">
        <f t="shared" si="46"/>
        <v>2.9315068493150687</v>
      </c>
      <c r="L23" s="51">
        <f t="shared" si="46"/>
        <v>3.9315068493150687</v>
      </c>
      <c r="M23" s="51">
        <f t="shared" si="46"/>
        <v>4.934246575342466</v>
      </c>
      <c r="N23" s="51">
        <f t="shared" si="46"/>
        <v>5.934246575342466</v>
      </c>
      <c r="O23" s="51">
        <f t="shared" si="46"/>
        <v>6.934246575342466</v>
      </c>
      <c r="P23" s="51">
        <f t="shared" si="46"/>
        <v>7.934246575342466</v>
      </c>
      <c r="Q23" s="51">
        <f t="shared" si="46"/>
        <v>8.9369863013698634</v>
      </c>
      <c r="R23" s="51">
        <f t="shared" si="46"/>
        <v>9.9369863013698634</v>
      </c>
      <c r="S23" s="51">
        <f t="shared" si="46"/>
        <v>10.936986301369863</v>
      </c>
      <c r="T23" s="51">
        <f t="shared" si="46"/>
        <v>11.936986301369863</v>
      </c>
      <c r="U23" s="51">
        <f t="shared" si="46"/>
        <v>12.93972602739726</v>
      </c>
      <c r="V23" s="51">
        <f t="shared" si="46"/>
        <v>13.93972602739726</v>
      </c>
      <c r="W23" s="51">
        <f t="shared" ref="W23:X23" si="47">(W3-$B$31)/365</f>
        <v>14.93972602739726</v>
      </c>
      <c r="X23" s="51">
        <f t="shared" si="47"/>
        <v>15.93972602739726</v>
      </c>
      <c r="Y23" s="51">
        <f t="shared" ref="Y23" si="48">(Y3-$B$31)/365</f>
        <v>16.942465753424656</v>
      </c>
    </row>
    <row r="25" spans="1:26" ht="12" x14ac:dyDescent="0.2">
      <c r="C25" s="61" t="s">
        <v>190</v>
      </c>
      <c r="D25" s="156" t="s">
        <v>191</v>
      </c>
      <c r="E25" s="157" t="s">
        <v>192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9"/>
      <c r="Q25" s="159"/>
      <c r="R25" s="159"/>
      <c r="S25" s="159"/>
      <c r="T25" s="159"/>
      <c r="U25" s="159"/>
      <c r="V25" s="159"/>
      <c r="W25" s="159"/>
      <c r="X25" s="159"/>
      <c r="Y25" s="159"/>
    </row>
    <row r="26" spans="1:26" x14ac:dyDescent="0.2">
      <c r="C26" s="8" t="s">
        <v>193</v>
      </c>
      <c r="D26" s="160">
        <f>B49</f>
        <v>8.9834939013901091E-2</v>
      </c>
      <c r="E26" s="51">
        <f t="shared" ref="E26:N28" si="49">E$20/(1+$D26)^E$23</f>
        <v>0</v>
      </c>
      <c r="F26" s="51">
        <f t="shared" si="49"/>
        <v>0</v>
      </c>
      <c r="G26" s="51">
        <f t="shared" si="49"/>
        <v>0</v>
      </c>
      <c r="H26" s="51">
        <f t="shared" si="49"/>
        <v>1.2258523222820858</v>
      </c>
      <c r="I26" s="51">
        <f t="shared" si="49"/>
        <v>4.5112678800011645</v>
      </c>
      <c r="J26" s="51">
        <f t="shared" si="49"/>
        <v>4.0933584338749132</v>
      </c>
      <c r="K26" s="51">
        <f t="shared" si="49"/>
        <v>3.6597595615319012</v>
      </c>
      <c r="L26" s="51">
        <f t="shared" si="49"/>
        <v>3.0687929077157206</v>
      </c>
      <c r="M26" s="51">
        <f t="shared" si="49"/>
        <v>2.2185663688601469</v>
      </c>
      <c r="N26" s="51">
        <f t="shared" si="49"/>
        <v>-0.43677742677438119</v>
      </c>
      <c r="O26" s="51">
        <f t="shared" ref="O26:Y28" si="50">O$20/(1+$D26)^O$23</f>
        <v>-0.43322395111461243</v>
      </c>
      <c r="P26" s="51">
        <f t="shared" si="50"/>
        <v>-0.42735994494783081</v>
      </c>
      <c r="Q26" s="51">
        <f t="shared" si="50"/>
        <v>-0.19184335299523547</v>
      </c>
      <c r="R26" s="51">
        <f t="shared" si="50"/>
        <v>0.7831271381342424</v>
      </c>
      <c r="S26" s="51">
        <f t="shared" si="50"/>
        <v>0.69062117293118808</v>
      </c>
      <c r="T26" s="51">
        <f t="shared" si="50"/>
        <v>0.58101793718091466</v>
      </c>
      <c r="U26" s="51">
        <f t="shared" si="50"/>
        <v>0.39175595957641285</v>
      </c>
      <c r="V26" s="51">
        <f t="shared" si="50"/>
        <v>0.33601928394456049</v>
      </c>
      <c r="W26" s="51">
        <f t="shared" si="50"/>
        <v>0.33430202556366412</v>
      </c>
      <c r="X26" s="51">
        <f t="shared" si="50"/>
        <v>0.13922608585038579</v>
      </c>
      <c r="Y26" s="51">
        <f t="shared" si="50"/>
        <v>2.280141659157628</v>
      </c>
    </row>
    <row r="27" spans="1:26" x14ac:dyDescent="0.2">
      <c r="C27" s="8" t="s">
        <v>194</v>
      </c>
      <c r="D27" s="160">
        <f>B50</f>
        <v>0.1098349390139011</v>
      </c>
      <c r="E27" s="51">
        <f t="shared" si="49"/>
        <v>0</v>
      </c>
      <c r="F27" s="51">
        <f t="shared" si="49"/>
        <v>0</v>
      </c>
      <c r="G27" s="51">
        <f t="shared" si="49"/>
        <v>0</v>
      </c>
      <c r="H27" s="51">
        <f t="shared" si="49"/>
        <v>1.2274412875575862</v>
      </c>
      <c r="I27" s="51">
        <f t="shared" si="49"/>
        <v>4.4354928794641113</v>
      </c>
      <c r="J27" s="51">
        <f t="shared" si="49"/>
        <v>3.9520768332998095</v>
      </c>
      <c r="K27" s="51">
        <f t="shared" si="49"/>
        <v>3.4697684371447779</v>
      </c>
      <c r="L27" s="51">
        <f t="shared" si="49"/>
        <v>2.8570500853601213</v>
      </c>
      <c r="M27" s="51">
        <f t="shared" si="49"/>
        <v>2.0281655137514076</v>
      </c>
      <c r="N27" s="51">
        <f t="shared" si="49"/>
        <v>-0.39209697157112178</v>
      </c>
      <c r="O27" s="51">
        <f t="shared" si="50"/>
        <v>-0.38189862568666283</v>
      </c>
      <c r="P27" s="51">
        <f t="shared" si="50"/>
        <v>-0.36994042003298983</v>
      </c>
      <c r="Q27" s="51">
        <f t="shared" si="50"/>
        <v>-0.16306675296269729</v>
      </c>
      <c r="R27" s="51">
        <f t="shared" si="50"/>
        <v>0.65366205540584221</v>
      </c>
      <c r="S27" s="51">
        <f t="shared" si="50"/>
        <v>0.56606098648901226</v>
      </c>
      <c r="T27" s="51">
        <f t="shared" si="50"/>
        <v>0.46764383060833115</v>
      </c>
      <c r="U27" s="51">
        <f t="shared" si="50"/>
        <v>0.30961498909144702</v>
      </c>
      <c r="V27" s="51">
        <f t="shared" si="50"/>
        <v>0.2607791717933457</v>
      </c>
      <c r="W27" s="51">
        <f t="shared" si="50"/>
        <v>0.25477102934034629</v>
      </c>
      <c r="X27" s="51">
        <f t="shared" si="50"/>
        <v>0.10419190569119802</v>
      </c>
      <c r="Y27" s="51">
        <f t="shared" si="50"/>
        <v>1.6755442188775524</v>
      </c>
    </row>
    <row r="28" spans="1:26" x14ac:dyDescent="0.2">
      <c r="C28" s="8" t="s">
        <v>195</v>
      </c>
      <c r="D28" s="160">
        <f>B51</f>
        <v>0.12983493901390109</v>
      </c>
      <c r="E28" s="51">
        <f t="shared" si="49"/>
        <v>0</v>
      </c>
      <c r="F28" s="51">
        <f t="shared" si="49"/>
        <v>0</v>
      </c>
      <c r="G28" s="51">
        <f t="shared" si="49"/>
        <v>0</v>
      </c>
      <c r="H28" s="51">
        <f t="shared" si="49"/>
        <v>1.2290038775183587</v>
      </c>
      <c r="I28" s="51">
        <f t="shared" si="49"/>
        <v>4.3623102840696797</v>
      </c>
      <c r="J28" s="51">
        <f t="shared" si="49"/>
        <v>3.8180660572108573</v>
      </c>
      <c r="K28" s="51">
        <f t="shared" si="49"/>
        <v>3.2927741447328542</v>
      </c>
      <c r="L28" s="51">
        <f t="shared" si="49"/>
        <v>2.6633159915538571</v>
      </c>
      <c r="M28" s="51">
        <f t="shared" si="49"/>
        <v>1.8570789953736373</v>
      </c>
      <c r="N28" s="51">
        <f t="shared" si="49"/>
        <v>-0.35266622097696237</v>
      </c>
      <c r="O28" s="51">
        <f t="shared" si="50"/>
        <v>-0.33741304079786388</v>
      </c>
      <c r="P28" s="51">
        <f t="shared" si="50"/>
        <v>-0.32106202881249379</v>
      </c>
      <c r="Q28" s="51">
        <f t="shared" si="50"/>
        <v>-0.13900957801716124</v>
      </c>
      <c r="R28" s="51">
        <f t="shared" si="50"/>
        <v>0.54736367012363751</v>
      </c>
      <c r="S28" s="51">
        <f t="shared" si="50"/>
        <v>0.46561751598973566</v>
      </c>
      <c r="T28" s="51">
        <f t="shared" si="50"/>
        <v>0.37785457687689472</v>
      </c>
      <c r="U28" s="51">
        <f t="shared" si="50"/>
        <v>0.24572740625945533</v>
      </c>
      <c r="V28" s="51">
        <f t="shared" si="50"/>
        <v>0.20330493125091842</v>
      </c>
      <c r="W28" s="51">
        <f t="shared" si="50"/>
        <v>0.19510502048530176</v>
      </c>
      <c r="X28" s="51">
        <f t="shared" si="50"/>
        <v>7.8378288659289294E-2</v>
      </c>
      <c r="Y28" s="51">
        <f t="shared" si="50"/>
        <v>1.2380546910688952</v>
      </c>
    </row>
    <row r="30" spans="1:26" ht="12" x14ac:dyDescent="0.25">
      <c r="A30" s="239" t="s">
        <v>196</v>
      </c>
      <c r="B30" s="239"/>
    </row>
    <row r="31" spans="1:26" ht="12" x14ac:dyDescent="0.25">
      <c r="A31" s="7" t="s">
        <v>197</v>
      </c>
      <c r="B31" s="161">
        <v>45042</v>
      </c>
    </row>
    <row r="32" spans="1:26" ht="12" x14ac:dyDescent="0.25">
      <c r="A32" s="7" t="s">
        <v>84</v>
      </c>
      <c r="B32" s="162">
        <v>0.15</v>
      </c>
      <c r="C32" s="5" t="s">
        <v>271</v>
      </c>
    </row>
    <row r="33" spans="1:6" ht="12" x14ac:dyDescent="0.25">
      <c r="A33" s="7" t="s">
        <v>123</v>
      </c>
      <c r="B33" s="162">
        <f>Assumptions!C32</f>
        <v>0.12</v>
      </c>
    </row>
    <row r="34" spans="1:6" ht="12" x14ac:dyDescent="0.25">
      <c r="A34" s="7" t="s">
        <v>191</v>
      </c>
      <c r="B34" s="162">
        <f>D45</f>
        <v>0.1098349390139011</v>
      </c>
      <c r="D34" s="163"/>
    </row>
    <row r="35" spans="1:6" ht="12" x14ac:dyDescent="0.25">
      <c r="A35" s="7" t="s">
        <v>198</v>
      </c>
      <c r="B35" s="164">
        <v>0.02</v>
      </c>
    </row>
    <row r="36" spans="1:6" ht="12" x14ac:dyDescent="0.25">
      <c r="A36" s="7" t="s">
        <v>68</v>
      </c>
      <c r="B36" s="162">
        <v>0.25169999999999998</v>
      </c>
    </row>
    <row r="38" spans="1:6" ht="12" outlineLevel="1" x14ac:dyDescent="0.25">
      <c r="A38" s="240" t="s">
        <v>199</v>
      </c>
      <c r="B38" s="240"/>
      <c r="C38" s="240"/>
      <c r="D38" s="240"/>
    </row>
    <row r="39" spans="1:6" ht="12" outlineLevel="1" x14ac:dyDescent="0.25">
      <c r="A39" s="165" t="s">
        <v>93</v>
      </c>
      <c r="B39" s="165" t="s">
        <v>200</v>
      </c>
      <c r="C39" s="165" t="s">
        <v>201</v>
      </c>
      <c r="D39" s="165" t="s">
        <v>191</v>
      </c>
    </row>
    <row r="40" spans="1:6" outlineLevel="1" x14ac:dyDescent="0.2">
      <c r="A40" s="241" t="s">
        <v>202</v>
      </c>
      <c r="B40" s="242"/>
      <c r="C40" s="242"/>
      <c r="D40" s="243"/>
    </row>
    <row r="41" spans="1:6" ht="12" outlineLevel="1" x14ac:dyDescent="0.25">
      <c r="A41" s="7" t="str">
        <f>[94]Assumptions!B71</f>
        <v>Equity</v>
      </c>
      <c r="B41" s="166">
        <f>'RKA CAPM'!C11</f>
        <v>8.5693000000000001</v>
      </c>
      <c r="C41" s="167">
        <f>B41/$B$43</f>
        <v>0.29132514473957072</v>
      </c>
      <c r="D41" s="168">
        <f>B32</f>
        <v>0.15</v>
      </c>
      <c r="E41" s="17"/>
    </row>
    <row r="42" spans="1:6" ht="12" outlineLevel="1" x14ac:dyDescent="0.25">
      <c r="A42" s="7" t="str">
        <f>[94]Assumptions!B72</f>
        <v>Debt</v>
      </c>
      <c r="B42" s="166">
        <f>'RKA CAPM'!C10</f>
        <v>20.845600000000001</v>
      </c>
      <c r="C42" s="167">
        <f>B42/$B$43</f>
        <v>0.70867485526042917</v>
      </c>
      <c r="D42" s="168">
        <f>B33</f>
        <v>0.12</v>
      </c>
      <c r="E42" s="17"/>
    </row>
    <row r="43" spans="1:6" ht="12" outlineLevel="1" x14ac:dyDescent="0.25">
      <c r="A43" s="32"/>
      <c r="B43" s="169">
        <f>SUM(B41:B42)</f>
        <v>29.414900000000003</v>
      </c>
      <c r="D43" s="170">
        <f>D41*C41+(D42*(1-B36))*C42</f>
        <v>0.10733493901390109</v>
      </c>
      <c r="F43" s="17"/>
    </row>
    <row r="44" spans="1:6" ht="12" outlineLevel="1" x14ac:dyDescent="0.25">
      <c r="A44" s="233" t="s">
        <v>273</v>
      </c>
      <c r="B44" s="234"/>
      <c r="C44" s="233"/>
      <c r="D44" s="235">
        <v>2.5000000000000001E-3</v>
      </c>
      <c r="F44" s="17"/>
    </row>
    <row r="45" spans="1:6" ht="12" outlineLevel="1" x14ac:dyDescent="0.25">
      <c r="A45" s="32" t="s">
        <v>203</v>
      </c>
      <c r="B45" s="234"/>
      <c r="C45" s="233"/>
      <c r="D45" s="235">
        <f>D43+D44</f>
        <v>0.1098349390139011</v>
      </c>
      <c r="F45" s="17"/>
    </row>
    <row r="47" spans="1:6" ht="12" x14ac:dyDescent="0.25">
      <c r="A47" s="239" t="s">
        <v>204</v>
      </c>
      <c r="B47" s="239"/>
      <c r="C47" s="239"/>
      <c r="D47" s="171"/>
    </row>
    <row r="48" spans="1:6" ht="24" x14ac:dyDescent="0.2">
      <c r="A48" s="156" t="s">
        <v>205</v>
      </c>
      <c r="B48" s="156" t="s">
        <v>206</v>
      </c>
      <c r="C48" s="172" t="s">
        <v>207</v>
      </c>
    </row>
    <row r="49" spans="1:3" ht="12" x14ac:dyDescent="0.25">
      <c r="A49" s="7" t="s">
        <v>193</v>
      </c>
      <c r="B49" s="160">
        <f>B50-$B$35</f>
        <v>8.9834939013901091E-2</v>
      </c>
      <c r="C49" s="173">
        <f>SUM(I26:Y26)</f>
        <v>21.598751738490776</v>
      </c>
    </row>
    <row r="50" spans="1:3" ht="12" x14ac:dyDescent="0.25">
      <c r="A50" s="7" t="s">
        <v>194</v>
      </c>
      <c r="B50" s="160">
        <f>B34</f>
        <v>0.1098349390139011</v>
      </c>
      <c r="C50" s="173">
        <f>SUM(I27:Y27)</f>
        <v>19.727819166063831</v>
      </c>
    </row>
    <row r="51" spans="1:3" ht="12" x14ac:dyDescent="0.25">
      <c r="A51" s="7" t="s">
        <v>195</v>
      </c>
      <c r="B51" s="160">
        <f>B50+B35</f>
        <v>0.12983493901390109</v>
      </c>
      <c r="C51" s="173">
        <f>SUM(I28:Y28)</f>
        <v>18.194800705050536</v>
      </c>
    </row>
    <row r="53" spans="1:3" ht="14.4" x14ac:dyDescent="0.3">
      <c r="A53" s="187" t="s">
        <v>208</v>
      </c>
      <c r="B53"/>
    </row>
    <row r="54" spans="1:3" ht="15" customHeight="1" x14ac:dyDescent="0.3">
      <c r="A54" s="174">
        <f>C50</f>
        <v>19.727819166063831</v>
      </c>
      <c r="B54"/>
    </row>
    <row r="57" spans="1:3" ht="12" x14ac:dyDescent="0.25">
      <c r="A57" s="187" t="s">
        <v>215</v>
      </c>
    </row>
    <row r="58" spans="1:3" ht="12" x14ac:dyDescent="0.2">
      <c r="A58" s="174">
        <f>MAX(0,(A54-B42+Assumptions!C73))</f>
        <v>0</v>
      </c>
    </row>
  </sheetData>
  <mergeCells count="5">
    <mergeCell ref="D3:D4"/>
    <mergeCell ref="A30:B30"/>
    <mergeCell ref="A38:D38"/>
    <mergeCell ref="A40:D40"/>
    <mergeCell ref="A47:C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Historicals</vt:lpstr>
      <vt:lpstr>RKA P&amp;L</vt:lpstr>
      <vt:lpstr>Debt Sch</vt:lpstr>
      <vt:lpstr>RKA CAPM</vt:lpstr>
      <vt:lpstr>Depreciation Schedule</vt:lpstr>
      <vt:lpstr>Summary_S1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sharma</dc:creator>
  <cp:lastModifiedBy>welcome</cp:lastModifiedBy>
  <dcterms:created xsi:type="dcterms:W3CDTF">2020-08-05T15:59:00Z</dcterms:created>
  <dcterms:modified xsi:type="dcterms:W3CDTF">2023-05-29T11:29:14Z</dcterms:modified>
</cp:coreProperties>
</file>