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Operational Companies _May 2023\V3\"/>
    </mc:Choice>
  </mc:AlternateContent>
  <xr:revisionPtr revIDLastSave="0" documentId="13_ncr:1_{DA790672-AFC3-4F9A-851F-EF136E3C63E8}" xr6:coauthVersionLast="47" xr6:coauthVersionMax="47" xr10:uidLastSave="{00000000-0000-0000-0000-000000000000}"/>
  <bookViews>
    <workbookView xWindow="-120" yWindow="-120" windowWidth="21840" windowHeight="13140" tabRatio="711" activeTab="6" xr2:uid="{00000000-000D-0000-FFFF-FFFF00000000}"/>
  </bookViews>
  <sheets>
    <sheet name="Assumptions" sheetId="1" r:id="rId1"/>
    <sheet name="Debt Sch" sheetId="6" r:id="rId2"/>
    <sheet name="Depreciation Schedule" sheetId="3" r:id="rId3"/>
    <sheet name="RKA CAPM" sheetId="5" state="hidden" r:id="rId4"/>
    <sheet name="NRPPL RKA P&amp;L" sheetId="9" r:id="rId5"/>
    <sheet name="RKA P&amp;L" sheetId="7" r:id="rId6"/>
    <sheet name="Summary_S1 PSA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\0">#REF!</definedName>
    <definedName name="\a" localSheetId="1">#REF!</definedName>
    <definedName name="\a" localSheetId="3">#REF!</definedName>
    <definedName name="\a" localSheetId="6">#REF!</definedName>
    <definedName name="\a">#REF!</definedName>
    <definedName name="\b" localSheetId="1">#REF!</definedName>
    <definedName name="\b" localSheetId="3">#REF!</definedName>
    <definedName name="\b" localSheetId="6">#REF!</definedName>
    <definedName name="\b">#REF!</definedName>
    <definedName name="\c" localSheetId="1">#REF!</definedName>
    <definedName name="\c" localSheetId="3">#REF!</definedName>
    <definedName name="\c" localSheetId="6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#REF!</definedName>
    <definedName name="\s" localSheetId="3">#REF!</definedName>
    <definedName name="\s">#REF!</definedName>
    <definedName name="\t" localSheetId="3">#REF!</definedName>
    <definedName name="\t">#REF!</definedName>
    <definedName name="\w" localSheetId="3">#REF!</definedName>
    <definedName name="\w">#REF!</definedName>
    <definedName name="\x" localSheetId="3">#REF!</definedName>
    <definedName name="\x">#REF!</definedName>
    <definedName name="\y">#REF!</definedName>
    <definedName name="\z" localSheetId="3">#REF!</definedName>
    <definedName name="\z">#REF!</definedName>
    <definedName name="_" localSheetId="3">#REF!</definedName>
    <definedName name="_">#REF!</definedName>
    <definedName name="_.._D__D__D__D_" localSheetId="3">#REF!</definedName>
    <definedName name="_.._D__D__D__D_">#REF!</definedName>
    <definedName name="____________________SCH1" localSheetId="3">#REF!</definedName>
    <definedName name="____________________SCH1">#REF!</definedName>
    <definedName name="____________________SCH10" localSheetId="3">#REF!</definedName>
    <definedName name="____________________SCH10">#REF!</definedName>
    <definedName name="____________________SCH11" localSheetId="3">#REF!</definedName>
    <definedName name="____________________SCH11">#REF!</definedName>
    <definedName name="____________________SCH2" localSheetId="3">#REF!</definedName>
    <definedName name="____________________SCH2">#REF!</definedName>
    <definedName name="____________________SCH3" localSheetId="3">#REF!</definedName>
    <definedName name="____________________SCH3">#REF!</definedName>
    <definedName name="____________________SCH4" localSheetId="3">#REF!</definedName>
    <definedName name="____________________SCH4">#REF!</definedName>
    <definedName name="____________________SCH5" localSheetId="3">#REF!</definedName>
    <definedName name="____________________SCH5">#REF!</definedName>
    <definedName name="____________________SCH6" localSheetId="3">#REF!</definedName>
    <definedName name="____________________SCH6">#REF!</definedName>
    <definedName name="____________________SCH7" localSheetId="3">#REF!</definedName>
    <definedName name="____________________SCH7">#REF!</definedName>
    <definedName name="____________________SCH8" localSheetId="3">#REF!</definedName>
    <definedName name="____________________SCH8">#REF!</definedName>
    <definedName name="____________________SCH9" localSheetId="3">#REF!</definedName>
    <definedName name="____________________SCH9">#REF!</definedName>
    <definedName name="___________________SCH1" localSheetId="3">#REF!</definedName>
    <definedName name="___________________SCH1">#REF!</definedName>
    <definedName name="___________________SCH10" localSheetId="3">#REF!</definedName>
    <definedName name="___________________SCH10">#REF!</definedName>
    <definedName name="___________________SCH11" localSheetId="3">#REF!</definedName>
    <definedName name="___________________SCH11">#REF!</definedName>
    <definedName name="___________________SCH2" localSheetId="3">#REF!</definedName>
    <definedName name="___________________SCH2">#REF!</definedName>
    <definedName name="___________________SCH3" localSheetId="3">#REF!</definedName>
    <definedName name="___________________SCH3">#REF!</definedName>
    <definedName name="___________________SCH4" localSheetId="3">#REF!</definedName>
    <definedName name="___________________SCH4">#REF!</definedName>
    <definedName name="___________________SCH5" localSheetId="3">#REF!</definedName>
    <definedName name="___________________SCH5">#REF!</definedName>
    <definedName name="___________________SCH6" localSheetId="3">#REF!</definedName>
    <definedName name="___________________SCH6">#REF!</definedName>
    <definedName name="___________________SCH7" localSheetId="3">#REF!</definedName>
    <definedName name="___________________SCH7">#REF!</definedName>
    <definedName name="___________________SCH8" localSheetId="3">#REF!</definedName>
    <definedName name="___________________SCH8">#REF!</definedName>
    <definedName name="___________________SCH9" localSheetId="3">#REF!</definedName>
    <definedName name="___________________SCH9">#REF!</definedName>
    <definedName name="__________________SCH1" localSheetId="3">#REF!</definedName>
    <definedName name="__________________SCH1">#REF!</definedName>
    <definedName name="__________________SCH10" localSheetId="3">#REF!</definedName>
    <definedName name="__________________SCH10">#REF!</definedName>
    <definedName name="__________________SCH11" localSheetId="3">#REF!</definedName>
    <definedName name="__________________SCH11">#REF!</definedName>
    <definedName name="__________________SCH2" localSheetId="3">#REF!</definedName>
    <definedName name="__________________SCH2">#REF!</definedName>
    <definedName name="__________________SCH3" localSheetId="3">#REF!</definedName>
    <definedName name="__________________SCH3">#REF!</definedName>
    <definedName name="__________________SCH4" localSheetId="3">#REF!</definedName>
    <definedName name="__________________SCH4">#REF!</definedName>
    <definedName name="__________________SCH5" localSheetId="3">#REF!</definedName>
    <definedName name="__________________SCH5">#REF!</definedName>
    <definedName name="__________________SCH6" localSheetId="3">#REF!</definedName>
    <definedName name="__________________SCH6">#REF!</definedName>
    <definedName name="__________________SCH7" localSheetId="3">#REF!</definedName>
    <definedName name="__________________SCH7">#REF!</definedName>
    <definedName name="__________________SCH8" localSheetId="3">#REF!</definedName>
    <definedName name="__________________SCH8">#REF!</definedName>
    <definedName name="__________________SCH9" localSheetId="3">#REF!</definedName>
    <definedName name="__________________SCH9">#REF!</definedName>
    <definedName name="_________________SCH1" localSheetId="3">#REF!</definedName>
    <definedName name="_________________SCH1">#REF!</definedName>
    <definedName name="_________________SCH10" localSheetId="3">#REF!</definedName>
    <definedName name="_________________SCH10">#REF!</definedName>
    <definedName name="_________________SCH11" localSheetId="3">#REF!</definedName>
    <definedName name="_________________SCH11">#REF!</definedName>
    <definedName name="_________________SCH2" localSheetId="3">#REF!</definedName>
    <definedName name="_________________SCH2">#REF!</definedName>
    <definedName name="_________________SCH3" localSheetId="3">#REF!</definedName>
    <definedName name="_________________SCH3">#REF!</definedName>
    <definedName name="_________________SCH4" localSheetId="3">#REF!</definedName>
    <definedName name="_________________SCH4">#REF!</definedName>
    <definedName name="_________________SCH5" localSheetId="3">#REF!</definedName>
    <definedName name="_________________SCH5">#REF!</definedName>
    <definedName name="_________________SCH6" localSheetId="3">#REF!</definedName>
    <definedName name="_________________SCH6">#REF!</definedName>
    <definedName name="_________________SCH7" localSheetId="3">#REF!</definedName>
    <definedName name="_________________SCH7">#REF!</definedName>
    <definedName name="_________________SCH8" localSheetId="3">#REF!</definedName>
    <definedName name="_________________SCH8">#REF!</definedName>
    <definedName name="_________________SCH9" localSheetId="3">#REF!</definedName>
    <definedName name="_________________SCH9">#REF!</definedName>
    <definedName name="________________SCH1" localSheetId="3">#REF!</definedName>
    <definedName name="________________SCH1">#REF!</definedName>
    <definedName name="________________SCH10" localSheetId="3">#REF!</definedName>
    <definedName name="________________SCH10">#REF!</definedName>
    <definedName name="________________SCH11" localSheetId="3">#REF!</definedName>
    <definedName name="________________SCH11">#REF!</definedName>
    <definedName name="________________SCH2" localSheetId="3">#REF!</definedName>
    <definedName name="________________SCH2">#REF!</definedName>
    <definedName name="________________SCH3" localSheetId="3">#REF!</definedName>
    <definedName name="________________SCH3">#REF!</definedName>
    <definedName name="________________SCH4" localSheetId="3">#REF!</definedName>
    <definedName name="________________SCH4">#REF!</definedName>
    <definedName name="________________SCH5" localSheetId="3">#REF!</definedName>
    <definedName name="________________SCH5">#REF!</definedName>
    <definedName name="________________SCH6" localSheetId="3">#REF!</definedName>
    <definedName name="________________SCH6">#REF!</definedName>
    <definedName name="________________SCH7" localSheetId="3">#REF!</definedName>
    <definedName name="________________SCH7">#REF!</definedName>
    <definedName name="________________SCH8" localSheetId="3">#REF!</definedName>
    <definedName name="________________SCH8">#REF!</definedName>
    <definedName name="________________SCH9" localSheetId="3">#REF!</definedName>
    <definedName name="________________SCH9">#REF!</definedName>
    <definedName name="_______________SCH1" localSheetId="3">#REF!</definedName>
    <definedName name="_______________SCH1">#REF!</definedName>
    <definedName name="_______________SCH10" localSheetId="3">#REF!</definedName>
    <definedName name="_______________SCH10">#REF!</definedName>
    <definedName name="_______________SCH11" localSheetId="3">#REF!</definedName>
    <definedName name="_______________SCH11">#REF!</definedName>
    <definedName name="_______________SCH2" localSheetId="3">#REF!</definedName>
    <definedName name="_______________SCH2">#REF!</definedName>
    <definedName name="_______________SCH3" localSheetId="3">#REF!</definedName>
    <definedName name="_______________SCH3">#REF!</definedName>
    <definedName name="_______________SCH4" localSheetId="3">#REF!</definedName>
    <definedName name="_______________SCH4">#REF!</definedName>
    <definedName name="_______________SCH5" localSheetId="3">#REF!</definedName>
    <definedName name="_______________SCH5">#REF!</definedName>
    <definedName name="_______________SCH6" localSheetId="3">#REF!</definedName>
    <definedName name="_______________SCH6">#REF!</definedName>
    <definedName name="_______________SCH7" localSheetId="3">#REF!</definedName>
    <definedName name="_______________SCH7">#REF!</definedName>
    <definedName name="_______________SCH8" localSheetId="3">#REF!</definedName>
    <definedName name="_______________SCH8">#REF!</definedName>
    <definedName name="_______________SCH9" localSheetId="3">#REF!</definedName>
    <definedName name="_______________SCH9">#REF!</definedName>
    <definedName name="______________SCH1" localSheetId="3">#REF!</definedName>
    <definedName name="______________SCH1">#REF!</definedName>
    <definedName name="______________SCH10" localSheetId="3">#REF!</definedName>
    <definedName name="______________SCH10">#REF!</definedName>
    <definedName name="______________SCH11" localSheetId="3">#REF!</definedName>
    <definedName name="______________SCH11">#REF!</definedName>
    <definedName name="______________SCH2" localSheetId="3">#REF!</definedName>
    <definedName name="______________SCH2">#REF!</definedName>
    <definedName name="______________SCH3" localSheetId="3">#REF!</definedName>
    <definedName name="______________SCH3">#REF!</definedName>
    <definedName name="______________SCH4" localSheetId="3">#REF!</definedName>
    <definedName name="______________SCH4">#REF!</definedName>
    <definedName name="______________SCH5" localSheetId="3">#REF!</definedName>
    <definedName name="______________SCH5">#REF!</definedName>
    <definedName name="______________SCH6" localSheetId="3">#REF!</definedName>
    <definedName name="______________SCH6">#REF!</definedName>
    <definedName name="______________SCH7" localSheetId="3">#REF!</definedName>
    <definedName name="______________SCH7">#REF!</definedName>
    <definedName name="______________SCH8" localSheetId="3">#REF!</definedName>
    <definedName name="______________SCH8">#REF!</definedName>
    <definedName name="______________SCH9" localSheetId="3">#REF!</definedName>
    <definedName name="______________SCH9">#REF!</definedName>
    <definedName name="_____________SCH1" localSheetId="3">#REF!</definedName>
    <definedName name="_____________SCH1">#REF!</definedName>
    <definedName name="_____________SCH10" localSheetId="3">#REF!</definedName>
    <definedName name="_____________SCH10">#REF!</definedName>
    <definedName name="_____________SCH11" localSheetId="3">#REF!</definedName>
    <definedName name="_____________SCH11">#REF!</definedName>
    <definedName name="_____________SCH2" localSheetId="3">#REF!</definedName>
    <definedName name="_____________SCH2">#REF!</definedName>
    <definedName name="_____________SCH3" localSheetId="3">#REF!</definedName>
    <definedName name="_____________SCH3">#REF!</definedName>
    <definedName name="_____________SCH4" localSheetId="3">#REF!</definedName>
    <definedName name="_____________SCH4">#REF!</definedName>
    <definedName name="_____________SCH5" localSheetId="3">#REF!</definedName>
    <definedName name="_____________SCH5">#REF!</definedName>
    <definedName name="_____________SCH6" localSheetId="3">#REF!</definedName>
    <definedName name="_____________SCH6">#REF!</definedName>
    <definedName name="_____________SCH7" localSheetId="3">#REF!</definedName>
    <definedName name="_____________SCH7">#REF!</definedName>
    <definedName name="_____________SCH8" localSheetId="3">#REF!</definedName>
    <definedName name="_____________SCH8">#REF!</definedName>
    <definedName name="_____________SCH9" localSheetId="3">#REF!</definedName>
    <definedName name="_____________SCH9">#REF!</definedName>
    <definedName name="____________SCH1" localSheetId="3">#REF!</definedName>
    <definedName name="____________SCH1">#REF!</definedName>
    <definedName name="____________SCH10" localSheetId="3">#REF!</definedName>
    <definedName name="____________SCH10">#REF!</definedName>
    <definedName name="____________SCH11" localSheetId="3">#REF!</definedName>
    <definedName name="____________SCH11">#REF!</definedName>
    <definedName name="____________SCH2" localSheetId="3">#REF!</definedName>
    <definedName name="____________SCH2">#REF!</definedName>
    <definedName name="____________SCH3" localSheetId="3">#REF!</definedName>
    <definedName name="____________SCH3">#REF!</definedName>
    <definedName name="____________SCH4" localSheetId="3">#REF!</definedName>
    <definedName name="____________SCH4">#REF!</definedName>
    <definedName name="____________SCH5" localSheetId="3">#REF!</definedName>
    <definedName name="____________SCH5">#REF!</definedName>
    <definedName name="____________SCH6" localSheetId="3">#REF!</definedName>
    <definedName name="____________SCH6">#REF!</definedName>
    <definedName name="____________SCH7" localSheetId="3">#REF!</definedName>
    <definedName name="____________SCH7">#REF!</definedName>
    <definedName name="____________SCH8" localSheetId="3">#REF!</definedName>
    <definedName name="____________SCH8">#REF!</definedName>
    <definedName name="____________SCH9" localSheetId="3">#REF!</definedName>
    <definedName name="____________SCH9">#REF!</definedName>
    <definedName name="___________SCH1" localSheetId="3">#REF!</definedName>
    <definedName name="___________SCH1">#REF!</definedName>
    <definedName name="___________SCH10" localSheetId="3">#REF!</definedName>
    <definedName name="___________SCH10">#REF!</definedName>
    <definedName name="___________SCH11" localSheetId="3">#REF!</definedName>
    <definedName name="___________SCH11">#REF!</definedName>
    <definedName name="___________SCH2" localSheetId="3">#REF!</definedName>
    <definedName name="___________SCH2">#REF!</definedName>
    <definedName name="___________SCH3" localSheetId="3">#REF!</definedName>
    <definedName name="___________SCH3">#REF!</definedName>
    <definedName name="___________SCH4" localSheetId="3">#REF!</definedName>
    <definedName name="___________SCH4">#REF!</definedName>
    <definedName name="___________SCH5" localSheetId="3">#REF!</definedName>
    <definedName name="___________SCH5">#REF!</definedName>
    <definedName name="___________SCH6" localSheetId="3">#REF!</definedName>
    <definedName name="___________SCH6">#REF!</definedName>
    <definedName name="___________SCH7" localSheetId="3">#REF!</definedName>
    <definedName name="___________SCH7">#REF!</definedName>
    <definedName name="___________SCH8" localSheetId="3">#REF!</definedName>
    <definedName name="___________SCH8">#REF!</definedName>
    <definedName name="___________SCH9" localSheetId="3">#REF!</definedName>
    <definedName name="___________SCH9">#REF!</definedName>
    <definedName name="__________SCH1" localSheetId="3">#REF!</definedName>
    <definedName name="__________SCH1">#REF!</definedName>
    <definedName name="__________SCH10" localSheetId="3">#REF!</definedName>
    <definedName name="__________SCH10">#REF!</definedName>
    <definedName name="__________SCH11" localSheetId="3">#REF!</definedName>
    <definedName name="__________SCH11">#REF!</definedName>
    <definedName name="__________SCH2" localSheetId="3">#REF!</definedName>
    <definedName name="__________SCH2">#REF!</definedName>
    <definedName name="__________SCH3" localSheetId="3">#REF!</definedName>
    <definedName name="__________SCH3">#REF!</definedName>
    <definedName name="__________SCH4" localSheetId="3">#REF!</definedName>
    <definedName name="__________SCH4">#REF!</definedName>
    <definedName name="__________SCH5" localSheetId="3">#REF!</definedName>
    <definedName name="__________SCH5">#REF!</definedName>
    <definedName name="__________SCH6" localSheetId="3">#REF!</definedName>
    <definedName name="__________SCH6">#REF!</definedName>
    <definedName name="__________SCH7" localSheetId="3">#REF!</definedName>
    <definedName name="__________SCH7">#REF!</definedName>
    <definedName name="__________SCH8" localSheetId="3">#REF!</definedName>
    <definedName name="__________SCH8">#REF!</definedName>
    <definedName name="__________SCH9" localSheetId="3">#REF!</definedName>
    <definedName name="__________SCH9">#REF!</definedName>
    <definedName name="_________SCH1" localSheetId="3">#REF!</definedName>
    <definedName name="_________SCH1">#REF!</definedName>
    <definedName name="_________SCH10" localSheetId="3">#REF!</definedName>
    <definedName name="_________SCH10">#REF!</definedName>
    <definedName name="_________SCH11" localSheetId="3">#REF!</definedName>
    <definedName name="_________SCH11">#REF!</definedName>
    <definedName name="_________SCH2" localSheetId="3">#REF!</definedName>
    <definedName name="_________SCH2">#REF!</definedName>
    <definedName name="_________SCH3" localSheetId="3">#REF!</definedName>
    <definedName name="_________SCH3">#REF!</definedName>
    <definedName name="_________SCH4" localSheetId="3">#REF!</definedName>
    <definedName name="_________SCH4">#REF!</definedName>
    <definedName name="_________SCH5" localSheetId="3">#REF!</definedName>
    <definedName name="_________SCH5">#REF!</definedName>
    <definedName name="_________SCH6" localSheetId="3">#REF!</definedName>
    <definedName name="_________SCH6">#REF!</definedName>
    <definedName name="_________SCH7" localSheetId="3">#REF!</definedName>
    <definedName name="_________SCH7">#REF!</definedName>
    <definedName name="_________SCH8" localSheetId="3">#REF!</definedName>
    <definedName name="_________SCH8">#REF!</definedName>
    <definedName name="_________SCH9" localSheetId="3">#REF!</definedName>
    <definedName name="_________SCH9">#REF!</definedName>
    <definedName name="_________XL__ENTER_UNIT" localSheetId="3">#REF!</definedName>
    <definedName name="_________XL__ENTER_UNIT">#REF!</definedName>
    <definedName name="________SCH1" localSheetId="3">#REF!</definedName>
    <definedName name="________SCH1">#REF!</definedName>
    <definedName name="________SCH10" localSheetId="3">#REF!</definedName>
    <definedName name="________SCH10">#REF!</definedName>
    <definedName name="________SCH11" localSheetId="3">#REF!</definedName>
    <definedName name="________SCH11">#REF!</definedName>
    <definedName name="________SCH2" localSheetId="3">#REF!</definedName>
    <definedName name="________SCH2">#REF!</definedName>
    <definedName name="________SCH3" localSheetId="3">#REF!</definedName>
    <definedName name="________SCH3">#REF!</definedName>
    <definedName name="________SCH4" localSheetId="3">#REF!</definedName>
    <definedName name="________SCH4">#REF!</definedName>
    <definedName name="________SCH5" localSheetId="3">#REF!</definedName>
    <definedName name="________SCH5">#REF!</definedName>
    <definedName name="________SCH6" localSheetId="3">#REF!</definedName>
    <definedName name="________SCH6">#REF!</definedName>
    <definedName name="________SCH7" localSheetId="3">#REF!</definedName>
    <definedName name="________SCH7">#REF!</definedName>
    <definedName name="________SCH8" localSheetId="3">#REF!</definedName>
    <definedName name="________SCH8">#REF!</definedName>
    <definedName name="________SCH9" localSheetId="3">#REF!</definedName>
    <definedName name="________SCH9">#REF!</definedName>
    <definedName name="_______SCH1" localSheetId="3">#REF!</definedName>
    <definedName name="_______SCH1">#REF!</definedName>
    <definedName name="_______SCH10" localSheetId="3">#REF!</definedName>
    <definedName name="_______SCH10">#REF!</definedName>
    <definedName name="_______SCH11" localSheetId="3">#REF!</definedName>
    <definedName name="_______SCH11">#REF!</definedName>
    <definedName name="_______SCH2" localSheetId="3">#REF!</definedName>
    <definedName name="_______SCH2">#REF!</definedName>
    <definedName name="_______SCH3" localSheetId="3">#REF!</definedName>
    <definedName name="_______SCH3">#REF!</definedName>
    <definedName name="_______SCH4" localSheetId="3">#REF!</definedName>
    <definedName name="_______SCH4">#REF!</definedName>
    <definedName name="_______SCH5" localSheetId="3">#REF!</definedName>
    <definedName name="_______SCH5">#REF!</definedName>
    <definedName name="_______SCH6" localSheetId="3">'[1]04REL'!#REF!</definedName>
    <definedName name="_______SCH6">'[1]04REL'!#REF!</definedName>
    <definedName name="_______SCH7" localSheetId="1">#REF!</definedName>
    <definedName name="_______SCH7" localSheetId="3">#REF!</definedName>
    <definedName name="_______SCH7" localSheetId="6">#REF!</definedName>
    <definedName name="_______SCH7">#REF!</definedName>
    <definedName name="_______SCH8" localSheetId="1">#REF!</definedName>
    <definedName name="_______SCH8" localSheetId="3">#REF!</definedName>
    <definedName name="_______SCH8" localSheetId="6">#REF!</definedName>
    <definedName name="_______SCH8">#REF!</definedName>
    <definedName name="_______SCH9" localSheetId="1">#REF!</definedName>
    <definedName name="_______SCH9" localSheetId="3">#REF!</definedName>
    <definedName name="_______SCH9" localSheetId="6">#REF!</definedName>
    <definedName name="_______SCH9">#REF!</definedName>
    <definedName name="_______XL__ENTER_UNIT" localSheetId="3">#REF!</definedName>
    <definedName name="_______XL__ENTER_UNIT">#REF!</definedName>
    <definedName name="______SCH1" localSheetId="3">#REF!</definedName>
    <definedName name="______SCH1">#REF!</definedName>
    <definedName name="______SCH10" localSheetId="3">#REF!</definedName>
    <definedName name="______SCH10">#REF!</definedName>
    <definedName name="______SCH11" localSheetId="3">#REF!</definedName>
    <definedName name="______SCH11">#REF!</definedName>
    <definedName name="______SCH2" localSheetId="3">#REF!</definedName>
    <definedName name="______SCH2">#REF!</definedName>
    <definedName name="______SCH3" localSheetId="3">#REF!</definedName>
    <definedName name="______SCH3">#REF!</definedName>
    <definedName name="______SCH4" localSheetId="3">#REF!</definedName>
    <definedName name="______SCH4">#REF!</definedName>
    <definedName name="______SCH5" localSheetId="3">#REF!</definedName>
    <definedName name="______SCH5">#REF!</definedName>
    <definedName name="______SCH6" localSheetId="3">'[1]04REL'!#REF!</definedName>
    <definedName name="______SCH6">'[1]04REL'!#REF!</definedName>
    <definedName name="______SCH7" localSheetId="1">#REF!</definedName>
    <definedName name="______SCH7" localSheetId="3">#REF!</definedName>
    <definedName name="______SCH7" localSheetId="6">#REF!</definedName>
    <definedName name="______SCH7">#REF!</definedName>
    <definedName name="______SCH8" localSheetId="1">#REF!</definedName>
    <definedName name="______SCH8" localSheetId="3">#REF!</definedName>
    <definedName name="______SCH8" localSheetId="6">#REF!</definedName>
    <definedName name="______SCH8">#REF!</definedName>
    <definedName name="______SCH9" localSheetId="1">#REF!</definedName>
    <definedName name="______SCH9" localSheetId="3">#REF!</definedName>
    <definedName name="______SCH9" localSheetId="6">#REF!</definedName>
    <definedName name="______SCH9">#REF!</definedName>
    <definedName name="______XL__ENTER_UNIT" localSheetId="3">#REF!</definedName>
    <definedName name="______XL__ENTER_UNIT">#REF!</definedName>
    <definedName name="_____SCH1" localSheetId="3">#REF!</definedName>
    <definedName name="_____SCH1">#REF!</definedName>
    <definedName name="_____SCH10" localSheetId="3">#REF!</definedName>
    <definedName name="_____SCH10">#REF!</definedName>
    <definedName name="_____SCH11" localSheetId="3">#REF!</definedName>
    <definedName name="_____SCH11">#REF!</definedName>
    <definedName name="_____SCH2" localSheetId="3">#REF!</definedName>
    <definedName name="_____SCH2">#REF!</definedName>
    <definedName name="_____SCH3" localSheetId="3">#REF!</definedName>
    <definedName name="_____SCH3">#REF!</definedName>
    <definedName name="_____SCH4" localSheetId="3">#REF!</definedName>
    <definedName name="_____SCH4">#REF!</definedName>
    <definedName name="_____SCH5" localSheetId="3">#REF!</definedName>
    <definedName name="_____SCH5">#REF!</definedName>
    <definedName name="_____SCH6" localSheetId="3">'[1]04REL'!#REF!</definedName>
    <definedName name="_____SCH6">'[1]04REL'!#REF!</definedName>
    <definedName name="_____SCH7" localSheetId="1">#REF!</definedName>
    <definedName name="_____SCH7" localSheetId="3">#REF!</definedName>
    <definedName name="_____SCH7" localSheetId="6">#REF!</definedName>
    <definedName name="_____SCH7">#REF!</definedName>
    <definedName name="_____SCH8" localSheetId="1">#REF!</definedName>
    <definedName name="_____SCH8" localSheetId="3">#REF!</definedName>
    <definedName name="_____SCH8" localSheetId="6">#REF!</definedName>
    <definedName name="_____SCH8">#REF!</definedName>
    <definedName name="_____SCH9" localSheetId="1">#REF!</definedName>
    <definedName name="_____SCH9" localSheetId="3">#REF!</definedName>
    <definedName name="_____SCH9" localSheetId="6">#REF!</definedName>
    <definedName name="_____SCH9">#REF!</definedName>
    <definedName name="____SCH1" localSheetId="3">#REF!</definedName>
    <definedName name="____SCH1">#REF!</definedName>
    <definedName name="____SCH10" localSheetId="3">#REF!</definedName>
    <definedName name="____SCH10">#REF!</definedName>
    <definedName name="____SCH11" localSheetId="3">#REF!</definedName>
    <definedName name="____SCH11">#REF!</definedName>
    <definedName name="____SCH2" localSheetId="3">#REF!</definedName>
    <definedName name="____SCH2">#REF!</definedName>
    <definedName name="____SCH3" localSheetId="3">#REF!</definedName>
    <definedName name="____SCH3">#REF!</definedName>
    <definedName name="____SCH4" localSheetId="3">#REF!</definedName>
    <definedName name="____SCH4">#REF!</definedName>
    <definedName name="____SCH5" localSheetId="3">#REF!</definedName>
    <definedName name="____SCH5">#REF!</definedName>
    <definedName name="____SCH6" localSheetId="3">'[1]04REL'!#REF!</definedName>
    <definedName name="____SCH6">'[1]04REL'!#REF!</definedName>
    <definedName name="____SCH7" localSheetId="1">#REF!</definedName>
    <definedName name="____SCH7" localSheetId="3">#REF!</definedName>
    <definedName name="____SCH7" localSheetId="6">#REF!</definedName>
    <definedName name="____SCH7">#REF!</definedName>
    <definedName name="____SCH8" localSheetId="1">#REF!</definedName>
    <definedName name="____SCH8" localSheetId="3">#REF!</definedName>
    <definedName name="____SCH8" localSheetId="6">#REF!</definedName>
    <definedName name="____SCH8">#REF!</definedName>
    <definedName name="____SCH9" localSheetId="1">#REF!</definedName>
    <definedName name="____SCH9" localSheetId="3">#REF!</definedName>
    <definedName name="____SCH9" localSheetId="6">#REF!</definedName>
    <definedName name="____SCH9">#REF!</definedName>
    <definedName name="____XL__ENTER_UNIT" localSheetId="3">#REF!</definedName>
    <definedName name="____XL__ENTER_UNIT">#REF!</definedName>
    <definedName name="___INDEX_SHEET___ASAP_Utilities" localSheetId="3">#REF!</definedName>
    <definedName name="___INDEX_SHEET___ASAP_Utilities">#REF!</definedName>
    <definedName name="___SCH1" localSheetId="3">#REF!</definedName>
    <definedName name="___SCH1">#REF!</definedName>
    <definedName name="___SCH10" localSheetId="3">#REF!</definedName>
    <definedName name="___SCH10">#REF!</definedName>
    <definedName name="___SCH11" localSheetId="3">#REF!</definedName>
    <definedName name="___SCH11">#REF!</definedName>
    <definedName name="___SCH2" localSheetId="3">#REF!</definedName>
    <definedName name="___SCH2">#REF!</definedName>
    <definedName name="___SCH3" localSheetId="3">#REF!</definedName>
    <definedName name="___SCH3">#REF!</definedName>
    <definedName name="___SCH4" localSheetId="3">#REF!</definedName>
    <definedName name="___SCH4">#REF!</definedName>
    <definedName name="___SCH5" localSheetId="3">#REF!</definedName>
    <definedName name="___SCH5">#REF!</definedName>
    <definedName name="___SCH6" localSheetId="3">'[1]04REL'!#REF!</definedName>
    <definedName name="___SCH6">'[1]04REL'!#REF!</definedName>
    <definedName name="___SCH7" localSheetId="1">#REF!</definedName>
    <definedName name="___SCH7" localSheetId="3">#REF!</definedName>
    <definedName name="___SCH7" localSheetId="6">#REF!</definedName>
    <definedName name="___SCH7">#REF!</definedName>
    <definedName name="___SCH8" localSheetId="1">#REF!</definedName>
    <definedName name="___SCH8" localSheetId="3">#REF!</definedName>
    <definedName name="___SCH8" localSheetId="6">#REF!</definedName>
    <definedName name="___SCH8">#REF!</definedName>
    <definedName name="___SCH9" localSheetId="1">#REF!</definedName>
    <definedName name="___SCH9" localSheetId="3">#REF!</definedName>
    <definedName name="___SCH9" localSheetId="6">#REF!</definedName>
    <definedName name="___SCH9">#REF!</definedName>
    <definedName name="___XL__ENTER_UNIT" localSheetId="3">#REF!</definedName>
    <definedName name="___XL__ENTER_UNIT">#REF!</definedName>
    <definedName name="__123Graph_A" localSheetId="3" hidden="1">[2]CE!#REF!</definedName>
    <definedName name="__123Graph_A" hidden="1">[2]CE!#REF!</definedName>
    <definedName name="__123Graph_ASTNPLF" localSheetId="3" hidden="1">[2]CE!#REF!</definedName>
    <definedName name="__123Graph_ASTNPLF" hidden="1">[2]CE!#REF!</definedName>
    <definedName name="__123Graph_B" localSheetId="3" hidden="1">[2]CE!#REF!</definedName>
    <definedName name="__123Graph_B" hidden="1">[2]CE!#REF!</definedName>
    <definedName name="__123Graph_BSTNPLF" localSheetId="3" hidden="1">[2]CE!#REF!</definedName>
    <definedName name="__123Graph_BSTNPLF" hidden="1">[2]CE!#REF!</definedName>
    <definedName name="__123Graph_C" localSheetId="3" hidden="1">[2]CE!#REF!</definedName>
    <definedName name="__123Graph_C" hidden="1">[2]CE!#REF!</definedName>
    <definedName name="__123Graph_CSTNPLF" localSheetId="3" hidden="1">[2]CE!#REF!</definedName>
    <definedName name="__123Graph_CSTNPLF" hidden="1">[2]CE!#REF!</definedName>
    <definedName name="__123Graph_X" localSheetId="3" hidden="1">[2]CE!#REF!</definedName>
    <definedName name="__123Graph_X" hidden="1">[2]CE!#REF!</definedName>
    <definedName name="__123Graph_XSTNPLF" localSheetId="3" hidden="1">[2]CE!#REF!</definedName>
    <definedName name="__123Graph_XSTNPLF" hidden="1">[2]CE!#REF!</definedName>
    <definedName name="__DOWN_10__GOTO" localSheetId="1">#REF!</definedName>
    <definedName name="__DOWN_10__GOTO" localSheetId="3">#REF!</definedName>
    <definedName name="__DOWN_10__GOTO" localSheetId="6">#REF!</definedName>
    <definedName name="__DOWN_10__GOTO">#REF!</definedName>
    <definedName name="__ES84__EW84_0." localSheetId="1">#REF!</definedName>
    <definedName name="__ES84__EW84_0." localSheetId="3">#REF!</definedName>
    <definedName name="__ES84__EW84_0." localSheetId="6">#REF!</definedName>
    <definedName name="__ES84__EW84_0.">#REF!</definedName>
    <definedName name="__FDS_HYPERLINK_TOGGLE_STATE__" hidden="1">"ON"</definedName>
    <definedName name="__GOTO_EP84__AV" localSheetId="1">#REF!</definedName>
    <definedName name="__GOTO_EP84__AV" localSheetId="3">#REF!</definedName>
    <definedName name="__GOTO_EP84__AV">#REF!</definedName>
    <definedName name="__SCH1" localSheetId="3">#REF!</definedName>
    <definedName name="__SCH1">#REF!</definedName>
    <definedName name="__SCH10" localSheetId="3">#REF!</definedName>
    <definedName name="__SCH10">#REF!</definedName>
    <definedName name="__SCH11" localSheetId="3">#REF!</definedName>
    <definedName name="__SCH11">#REF!</definedName>
    <definedName name="__SCH2" localSheetId="3">#REF!</definedName>
    <definedName name="__SCH2">#REF!</definedName>
    <definedName name="__SCH3" localSheetId="3">#REF!</definedName>
    <definedName name="__SCH3">#REF!</definedName>
    <definedName name="__SCH4" localSheetId="3">#REF!</definedName>
    <definedName name="__SCH4">#REF!</definedName>
    <definedName name="__SCH5" localSheetId="3">#REF!</definedName>
    <definedName name="__SCH5">#REF!</definedName>
    <definedName name="__SCH6" localSheetId="3">'[1]04REL'!#REF!</definedName>
    <definedName name="__SCH6">'[1]04REL'!#REF!</definedName>
    <definedName name="__SCH7" localSheetId="1">#REF!</definedName>
    <definedName name="__SCH7" localSheetId="3">#REF!</definedName>
    <definedName name="__SCH7" localSheetId="6">#REF!</definedName>
    <definedName name="__SCH7">#REF!</definedName>
    <definedName name="__SCH8" localSheetId="1">#REF!</definedName>
    <definedName name="__SCH8" localSheetId="3">#REF!</definedName>
    <definedName name="__SCH8" localSheetId="6">#REF!</definedName>
    <definedName name="__SCH8">#REF!</definedName>
    <definedName name="__SCH9" localSheetId="1">#REF!</definedName>
    <definedName name="__SCH9" localSheetId="3">#REF!</definedName>
    <definedName name="__SCH9" localSheetId="6">#REF!</definedName>
    <definedName name="__SCH9">#REF!</definedName>
    <definedName name="__SUM_CS57..CS6" localSheetId="3">#REF!</definedName>
    <definedName name="__SUM_CS57..CS6">#REF!</definedName>
    <definedName name="__SUM_CS65..CS7" localSheetId="3">#REF!</definedName>
    <definedName name="__SUM_CS65..CS7">#REF!</definedName>
    <definedName name="__SUM_FQ20..FQ2" localSheetId="3">#REF!</definedName>
    <definedName name="__SUM_FQ20..FQ2">#REF!</definedName>
    <definedName name="__SUM_FQ28..FQ3" localSheetId="3">#REF!</definedName>
    <definedName name="__SUM_FQ28..FQ3">#REF!</definedName>
    <definedName name="__XL__ENTER_UNIT" localSheetId="3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 localSheetId="3">#REF!</definedName>
    <definedName name="_5">#REF!</definedName>
    <definedName name="_6" localSheetId="3">#REF!</definedName>
    <definedName name="_6">#REF!</definedName>
    <definedName name="_ann2" localSheetId="3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1">#REF!</definedName>
    <definedName name="_D___GOTO_GK112" localSheetId="3">#REF!</definedName>
    <definedName name="_D___GOTO_GK112" localSheetId="6">#REF!</definedName>
    <definedName name="_D___GOTO_GK112">#REF!</definedName>
    <definedName name="_D___GOTO_GK56_" localSheetId="1">#REF!</definedName>
    <definedName name="_D___GOTO_GK56_" localSheetId="3">#REF!</definedName>
    <definedName name="_D___GOTO_GK56_" localSheetId="6">#REF!</definedName>
    <definedName name="_D___GOTO_GK56_">#REF!</definedName>
    <definedName name="_D__D___L___GOT" localSheetId="1">#REF!</definedName>
    <definedName name="_D__D___L___GOT" localSheetId="3">#REF!</definedName>
    <definedName name="_D__D___L___GOT" localSheetId="6">#REF!</definedName>
    <definedName name="_D__D___L___GOT">#REF!</definedName>
    <definedName name="_D__D__D___D__D" localSheetId="3">#REF!</definedName>
    <definedName name="_D__D__D___D__D">#REF!</definedName>
    <definedName name="_D_19__U_19_" localSheetId="3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 localSheetId="3">#REF!</definedName>
    <definedName name="_DOWN_9__RIGHT_">#REF!</definedName>
    <definedName name="_eva97">#REF!</definedName>
    <definedName name="_fcf97">#REF!</definedName>
    <definedName name="_Fill" localSheetId="3" hidden="1">#REF!</definedName>
    <definedName name="_Fill" hidden="1">#REF!</definedName>
    <definedName name="_FROM__R__R__08" localSheetId="3">#REF!</definedName>
    <definedName name="_FROM__R__R__08">#REF!</definedName>
    <definedName name="_FROM__R__R__16" localSheetId="3">#REF!</definedName>
    <definedName name="_FROM__R__R__16">#REF!</definedName>
    <definedName name="_FSTEMP_">#REF!</definedName>
    <definedName name="_GENERATION__R_" localSheetId="3">#REF!</definedName>
    <definedName name="_GENERATION__R_">#REF!</definedName>
    <definedName name="_GOTO_BT49__R__" localSheetId="3">#REF!</definedName>
    <definedName name="_GOTO_BT49__R__">#REF!</definedName>
    <definedName name="_GOTO_CF11__?__" localSheetId="3">#REF!</definedName>
    <definedName name="_GOTO_CF11__?__">#REF!</definedName>
    <definedName name="_GOTO_EO75__WEK" localSheetId="3">#REF!</definedName>
    <definedName name="_GOTO_EO75__WEK">#REF!</definedName>
    <definedName name="_GOTO_EP82__PEA" localSheetId="3">#REF!</definedName>
    <definedName name="_GOTO_EP82__PEA">#REF!</definedName>
    <definedName name="_GOTO_EP86__PER" localSheetId="3">#REF!</definedName>
    <definedName name="_GOTO_EP86__PER">#REF!</definedName>
    <definedName name="_GOTO_FO112__RV" localSheetId="3">#REF!</definedName>
    <definedName name="_GOTO_FO112__RV">#REF!</definedName>
    <definedName name="_GOTO_FO56__RV_" localSheetId="3">#REF!</definedName>
    <definedName name="_GOTO_FO56__RV_">#REF!</definedName>
    <definedName name="_HOME__GOTO_M14" localSheetId="3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1">#REF!</definedName>
    <definedName name="_PLF__R__R___ES" localSheetId="3">#REF!</definedName>
    <definedName name="_PLF__R__R___ES" localSheetId="6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1">#REF!</definedName>
    <definedName name="_RV_DOWN_6__LEF" localSheetId="3">#REF!</definedName>
    <definedName name="_RV_DOWN_6__LEF" localSheetId="6">#REF!</definedName>
    <definedName name="_RV_DOWN_6__LEF">#REF!</definedName>
    <definedName name="_SCH1" localSheetId="1">#REF!</definedName>
    <definedName name="_SCH1" localSheetId="3">#REF!</definedName>
    <definedName name="_SCH1" localSheetId="6">#REF!</definedName>
    <definedName name="_SCH1">#REF!</definedName>
    <definedName name="_SCH10" localSheetId="3">#REF!</definedName>
    <definedName name="_SCH10">#REF!</definedName>
    <definedName name="_SCH11" localSheetId="3">#REF!</definedName>
    <definedName name="_SCH11">#REF!</definedName>
    <definedName name="_SCH12">[4]BSPL!$A$655:$D$692</definedName>
    <definedName name="_sch13">[4]BSPL!$A$694:$D$744</definedName>
    <definedName name="_SCH2" localSheetId="1">#REF!</definedName>
    <definedName name="_SCH2" localSheetId="3">#REF!</definedName>
    <definedName name="_SCH2" localSheetId="6">#REF!</definedName>
    <definedName name="_SCH2">#REF!</definedName>
    <definedName name="_SCH3" localSheetId="1">#REF!</definedName>
    <definedName name="_SCH3" localSheetId="3">#REF!</definedName>
    <definedName name="_SCH3" localSheetId="6">#REF!</definedName>
    <definedName name="_SCH3">#REF!</definedName>
    <definedName name="_SCH4" localSheetId="1">#REF!</definedName>
    <definedName name="_SCH4" localSheetId="3">#REF!</definedName>
    <definedName name="_SCH4" localSheetId="6">#REF!</definedName>
    <definedName name="_SCH4">#REF!</definedName>
    <definedName name="_SCH5" localSheetId="3">#REF!</definedName>
    <definedName name="_SCH5">#REF!</definedName>
    <definedName name="_SCH6" localSheetId="3">'[1]04REL'!#REF!</definedName>
    <definedName name="_SCH6">'[1]04REL'!#REF!</definedName>
    <definedName name="_SCH7" localSheetId="1">#REF!</definedName>
    <definedName name="_SCH7" localSheetId="3">#REF!</definedName>
    <definedName name="_SCH7" localSheetId="6">#REF!</definedName>
    <definedName name="_SCH7">#REF!</definedName>
    <definedName name="_SCH8" localSheetId="1">#REF!</definedName>
    <definedName name="_SCH8" localSheetId="3">#REF!</definedName>
    <definedName name="_SCH8" localSheetId="6">#REF!</definedName>
    <definedName name="_SCH8">#REF!</definedName>
    <definedName name="_SCH9" localSheetId="1">#REF!</definedName>
    <definedName name="_SCH9" localSheetId="3">#REF!</definedName>
    <definedName name="_SCH9" localSheetId="6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1">#REF!</definedName>
    <definedName name="_SUM_DI14..DI21" localSheetId="3">#REF!</definedName>
    <definedName name="_SUM_DI14..DI21">#REF!</definedName>
    <definedName name="_SUM_DI22..DI29" localSheetId="3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1">#REF!</definedName>
    <definedName name="_U__END__U__D__" localSheetId="3">#REF!</definedName>
    <definedName name="_U__END__U__D__" localSheetId="6">#REF!</definedName>
    <definedName name="_U__END__U__D__">#REF!</definedName>
    <definedName name="_U__U__END__U__" localSheetId="3">#REF!</definedName>
    <definedName name="_U__U__END__U__">#REF!</definedName>
    <definedName name="_U__U__U__U__U_" localSheetId="3">#REF!</definedName>
    <definedName name="_U__U__U__U__U_">#REF!</definedName>
    <definedName name="_WGPD_GOTO_CO10" localSheetId="3">#REF!</definedName>
    <definedName name="_WGPD_GOTO_CO10">#REF!</definedName>
    <definedName name="A" localSheetId="3">#REF!</definedName>
    <definedName name="A">#REF!</definedName>
    <definedName name="A_GEN1.DomesticCompFlg">[6]GENERAL!$AQ$15</definedName>
    <definedName name="A_GEN1.ResidentialStatus">[6]GENERAL!$U$32</definedName>
    <definedName name="AA" localSheetId="1">#REF!</definedName>
    <definedName name="AA" localSheetId="3">#REF!</definedName>
    <definedName name="AA" localSheetId="6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1">#REF!</definedName>
    <definedName name="achscs" localSheetId="3">#REF!</definedName>
    <definedName name="achscs" localSheetId="6">#REF!</definedName>
    <definedName name="achscs">#REF!</definedName>
    <definedName name="ACL">#REF!</definedName>
    <definedName name="Acq" localSheetId="3">#REF!</definedName>
    <definedName name="Acq">#REF!</definedName>
    <definedName name="Act_DSCR" localSheetId="3">[11]Input!#REF!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1">#REF!</definedName>
    <definedName name="adsds" localSheetId="3">#REF!</definedName>
    <definedName name="adsds" localSheetId="6">#REF!</definedName>
    <definedName name="adsds">#REF!</definedName>
    <definedName name="afasfasf" localSheetId="1">#REF!</definedName>
    <definedName name="afasfasf" localSheetId="3">#REF!</definedName>
    <definedName name="afasfasf" localSheetId="6">#REF!</definedName>
    <definedName name="afasfasf">#REF!</definedName>
    <definedName name="AggregateInc">[6]Calculator!$M$3</definedName>
    <definedName name="ahjsdhjkdh" localSheetId="1">#REF!</definedName>
    <definedName name="ahjsdhjkdh" localSheetId="3">#REF!</definedName>
    <definedName name="ahjsdhjkdh" localSheetId="6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1">#REF!</definedName>
    <definedName name="asaaa" localSheetId="3">#REF!</definedName>
    <definedName name="asaaa" localSheetId="6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1">#REF!</definedName>
    <definedName name="atyfafa" localSheetId="3">#REF!</definedName>
    <definedName name="atyfafa" localSheetId="6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1">#REF!</definedName>
    <definedName name="AUX_Base" localSheetId="3">#REF!</definedName>
    <definedName name="AUX_Base" localSheetId="6">#REF!</definedName>
    <definedName name="AUX_Base">#REF!</definedName>
    <definedName name="Aux_Sen" localSheetId="1">#REF!</definedName>
    <definedName name="Aux_Sen" localSheetId="3">#REF!</definedName>
    <definedName name="Aux_Sen" localSheetId="6">#REF!</definedName>
    <definedName name="Aux_Sen">#REF!</definedName>
    <definedName name="AV" localSheetId="1">#REF!</definedName>
    <definedName name="AV" localSheetId="3">#REF!</definedName>
    <definedName name="AV" localSheetId="6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1">#REF!</definedName>
    <definedName name="b" localSheetId="3">#REF!</definedName>
    <definedName name="b" localSheetId="6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1">#REF!</definedName>
    <definedName name="Base_Case" localSheetId="3">#REF!</definedName>
    <definedName name="Base_Case" localSheetId="6">#REF!</definedName>
    <definedName name="Base_Case">#REF!</definedName>
    <definedName name="BASE_DSCR" localSheetId="1">#REF!</definedName>
    <definedName name="BASE_DSCR" localSheetId="3">#REF!</definedName>
    <definedName name="BASE_DSCR" localSheetId="6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1">#REF!</definedName>
    <definedName name="bfjksbnf" localSheetId="3">#REF!</definedName>
    <definedName name="bfjksbnf" localSheetId="6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1">#REF!,#REF!</definedName>
    <definedName name="bgbgb" localSheetId="3">#REF!,#REF!</definedName>
    <definedName name="bgbgb" localSheetId="6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1">#REF!</definedName>
    <definedName name="BS" localSheetId="3">#REF!</definedName>
    <definedName name="BS" localSheetId="6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1">[26]Schedule1!#REF!</definedName>
    <definedName name="BuiltIn_Print_Area___0" localSheetId="3">[26]Schedule1!#REF!</definedName>
    <definedName name="BuiltIn_Print_Area___0" localSheetId="6">[26]Schedule1!#REF!</definedName>
    <definedName name="BuiltIn_Print_Area___0">[26]Schedule1!#REF!</definedName>
    <definedName name="BuiltIn_Print_Area___0___0" localSheetId="1">[27]GROUPING!#REF!</definedName>
    <definedName name="BuiltIn_Print_Area___0___0" localSheetId="3">[27]GROUPING!#REF!</definedName>
    <definedName name="BuiltIn_Print_Area___0___0" localSheetId="6">[27]GROUPING!#REF!</definedName>
    <definedName name="BuiltIn_Print_Area___0___0">[27]GROUPING!#REF!</definedName>
    <definedName name="BuiltIn_Print_Area___0___0___0___0" localSheetId="3">[27]GROUPING!#REF!</definedName>
    <definedName name="BuiltIn_Print_Area___0___0___0___0">[27]GROUPING!#REF!</definedName>
    <definedName name="BuiltIn_Print_Area___0___0___0___0___0" localSheetId="3">[26]Schedule1!#REF!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1">'[28]2000-01'!#REF!</definedName>
    <definedName name="C_Data_1" localSheetId="3">'[28]2000-01'!#REF!</definedName>
    <definedName name="C_Data_1" localSheetId="6">'[28]2000-01'!#REF!</definedName>
    <definedName name="C_Data_1">'[28]2000-01'!#REF!</definedName>
    <definedName name="C_Data_2" localSheetId="1">'[28]2000-01'!#REF!</definedName>
    <definedName name="C_Data_2" localSheetId="3">'[28]2000-01'!#REF!</definedName>
    <definedName name="C_Data_2" localSheetId="6">'[28]2000-01'!#REF!</definedName>
    <definedName name="C_Data_2">'[28]2000-01'!#REF!</definedName>
    <definedName name="C_Eligible">'[6]80G'!$L$1</definedName>
    <definedName name="CAL_MEL" localSheetId="1">#REF!</definedName>
    <definedName name="CAL_MEL" localSheetId="3">#REF!</definedName>
    <definedName name="CAL_MEL" localSheetId="6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1">#REF!</definedName>
    <definedName name="CAP_Base" localSheetId="3">#REF!</definedName>
    <definedName name="CAP_Base" localSheetId="6">#REF!</definedName>
    <definedName name="CAP_Base">#REF!</definedName>
    <definedName name="CAP_SEN" localSheetId="1">#REF!</definedName>
    <definedName name="CAP_SEN" localSheetId="3">#REF!</definedName>
    <definedName name="CAP_SEN" localSheetId="6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1">#REF!</definedName>
    <definedName name="CM10_C_RIGHT___" localSheetId="3">#REF!</definedName>
    <definedName name="CM10_C_RIGHT___" localSheetId="6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1">#REF!</definedName>
    <definedName name="COAL_ESC_BASE" localSheetId="3">#REF!</definedName>
    <definedName name="COAL_ESC_BASE" localSheetId="6">#REF!</definedName>
    <definedName name="COAL_ESC_BASE">#REF!</definedName>
    <definedName name="COAL_ESC_SEN" localSheetId="1">#REF!</definedName>
    <definedName name="COAL_ESC_SEN" localSheetId="3">#REF!</definedName>
    <definedName name="COAL_ESC_SEN" localSheetId="6">#REF!</definedName>
    <definedName name="COAL_ESC_SEN">#REF!</definedName>
    <definedName name="CoalSPV_DSCR" localSheetId="1">#REF!</definedName>
    <definedName name="CoalSPV_DSCR" localSheetId="3">#REF!</definedName>
    <definedName name="CoalSPV_DSCR" localSheetId="6">#REF!</definedName>
    <definedName name="CoalSPV_DSCR">#REF!</definedName>
    <definedName name="COALSPV_FLAG" localSheetId="1">[11]Input!#REF!</definedName>
    <definedName name="COALSPV_FLAG" localSheetId="3">[11]Input!#REF!</definedName>
    <definedName name="COALSPV_FLAG" localSheetId="6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1">#REF!</definedName>
    <definedName name="CUF_.5" localSheetId="3">#REF!</definedName>
    <definedName name="CUF_.5" localSheetId="6">#REF!</definedName>
    <definedName name="CUF_.5">#REF!</definedName>
    <definedName name="CUF_1" localSheetId="1">#REF!</definedName>
    <definedName name="CUF_1" localSheetId="3">#REF!</definedName>
    <definedName name="CUF_1" localSheetId="6">#REF!</definedName>
    <definedName name="CUF_1">#REF!</definedName>
    <definedName name="CUF_1.5" localSheetId="1">#REF!</definedName>
    <definedName name="CUF_1.5" localSheetId="3">#REF!</definedName>
    <definedName name="CUF_1.5" localSheetId="6">#REF!</definedName>
    <definedName name="CUF_1.5">#REF!</definedName>
    <definedName name="CUF_2" localSheetId="3">#REF!</definedName>
    <definedName name="CUF_2">#REF!</definedName>
    <definedName name="CUF_2.5" localSheetId="3">#REF!</definedName>
    <definedName name="CUF_2.5">#REF!</definedName>
    <definedName name="CUF_3" localSheetId="3">#REF!</definedName>
    <definedName name="CUF_3">#REF!</definedName>
    <definedName name="CUF_P50" localSheetId="3">#REF!</definedName>
    <definedName name="CUF_P50">#REF!</definedName>
    <definedName name="CUF_P75" localSheetId="3">#REF!</definedName>
    <definedName name="CUF_P75">#REF!</definedName>
    <definedName name="Cum_Int">#REF!</definedName>
    <definedName name="CurA" localSheetId="3">#REF!</definedName>
    <definedName name="CurA">#REF!</definedName>
    <definedName name="CurT" localSheetId="3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1">#REF!</definedName>
    <definedName name="CV" localSheetId="3">#REF!</definedName>
    <definedName name="CV" localSheetId="6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1">#REF!</definedName>
    <definedName name="D_1" localSheetId="3">#REF!</definedName>
    <definedName name="D_1" localSheetId="6">#REF!</definedName>
    <definedName name="D_1">#REF!</definedName>
    <definedName name="D_2" localSheetId="1">#REF!</definedName>
    <definedName name="D_2" localSheetId="3">#REF!</definedName>
    <definedName name="D_2" localSheetId="6">#REF!</definedName>
    <definedName name="D_2">#REF!</definedName>
    <definedName name="D_3" localSheetId="1">#REF!</definedName>
    <definedName name="D_3" localSheetId="3">#REF!</definedName>
    <definedName name="D_3" localSheetId="6">#REF!</definedName>
    <definedName name="D_3">#REF!</definedName>
    <definedName name="D_4" localSheetId="3">#REF!</definedName>
    <definedName name="D_4">#REF!</definedName>
    <definedName name="D_5" localSheetId="3">#REF!</definedName>
    <definedName name="D_5">#REF!</definedName>
    <definedName name="D_6" localSheetId="3">#REF!</definedName>
    <definedName name="D_6">#REF!</definedName>
    <definedName name="D_RANGE">#REF!</definedName>
    <definedName name="d1_range">#REF!</definedName>
    <definedName name="dadfsdf" localSheetId="3">#REF!</definedName>
    <definedName name="dadfsdf">#REF!</definedName>
    <definedName name="dafsff" localSheetId="3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1">#REF!,#REF!</definedName>
    <definedName name="dargad" localSheetId="3">#REF!,#REF!</definedName>
    <definedName name="dargad" localSheetId="6">#REF!,#REF!</definedName>
    <definedName name="dargad">#REF!,#REF!</definedName>
    <definedName name="Data" localSheetId="3">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1">'[39]04REL'!#REF!</definedName>
    <definedName name="ddd" localSheetId="3">'[39]04REL'!#REF!</definedName>
    <definedName name="ddd" localSheetId="6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1">#REF!</definedName>
    <definedName name="Deal" localSheetId="3">#REF!</definedName>
    <definedName name="Deal" localSheetId="6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1">#REF!</definedName>
    <definedName name="Dec_Proj_Cost" localSheetId="3">#REF!</definedName>
    <definedName name="Dec_Proj_Cost" localSheetId="6">#REF!</definedName>
    <definedName name="Dec_Proj_Cost">#REF!</definedName>
    <definedName name="ded_usincome">[6]Calculator!$Q$7</definedName>
    <definedName name="Deg_.25" localSheetId="1">#REF!</definedName>
    <definedName name="Deg_.25" localSheetId="3">#REF!</definedName>
    <definedName name="Deg_.25" localSheetId="6">#REF!</definedName>
    <definedName name="Deg_.25">#REF!</definedName>
    <definedName name="Deg_.5" localSheetId="1">#REF!</definedName>
    <definedName name="Deg_.5" localSheetId="3">#REF!</definedName>
    <definedName name="Deg_.5" localSheetId="6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1">#REF!</definedName>
    <definedName name="DER_1" localSheetId="3">#REF!</definedName>
    <definedName name="DER_1" localSheetId="6">#REF!</definedName>
    <definedName name="DER_1">#REF!</definedName>
    <definedName name="DER_2" localSheetId="1">#REF!</definedName>
    <definedName name="DER_2" localSheetId="3">#REF!</definedName>
    <definedName name="DER_2" localSheetId="6">#REF!</definedName>
    <definedName name="DER_2">#REF!</definedName>
    <definedName name="DER_3" localSheetId="1">#REF!</definedName>
    <definedName name="DER_3" localSheetId="3">#REF!</definedName>
    <definedName name="DER_3" localSheetId="6">#REF!</definedName>
    <definedName name="DER_3">#REF!</definedName>
    <definedName name="DER_4" localSheetId="3">#REF!</definedName>
    <definedName name="DER_4">#REF!</definedName>
    <definedName name="DER_5" localSheetId="3">#REF!</definedName>
    <definedName name="DER_5">#REF!</definedName>
    <definedName name="DER_6" localSheetId="3">#REF!</definedName>
    <definedName name="DER_6">#REF!</definedName>
    <definedName name="DETAIL">#REF!</definedName>
    <definedName name="dgxgfzdg" localSheetId="1">#REF!,#REF!</definedName>
    <definedName name="dgxgfzdg" localSheetId="3">#REF!,#REF!</definedName>
    <definedName name="dgxgfzdg" localSheetId="6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1">#REF!</definedName>
    <definedName name="DIFF_SPV" localSheetId="3">#REF!</definedName>
    <definedName name="DIFF_SPV" localSheetId="6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1">#REF!</definedName>
    <definedName name="ds" localSheetId="3">#REF!</definedName>
    <definedName name="ds" localSheetId="6">#REF!</definedName>
    <definedName name="ds">#REF!</definedName>
    <definedName name="dsd" localSheetId="1">#REF!</definedName>
    <definedName name="dsd" localSheetId="3">#REF!</definedName>
    <definedName name="dsd" localSheetId="6">#REF!</definedName>
    <definedName name="dsd">#REF!</definedName>
    <definedName name="dsfdfADF" localSheetId="1">#REF!</definedName>
    <definedName name="dsfdfADF" localSheetId="3">#REF!</definedName>
    <definedName name="dsfdfADF" localSheetId="6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1">#REF!,#REF!</definedName>
    <definedName name="dxzxxx" localSheetId="3">#REF!,#REF!</definedName>
    <definedName name="dxzxxx" localSheetId="6">#REF!,#REF!</definedName>
    <definedName name="dxzxxx">#REF!,#REF!</definedName>
    <definedName name="E" localSheetId="1">#REF!</definedName>
    <definedName name="E" localSheetId="3">#REF!</definedName>
    <definedName name="E" localSheetId="6">#REF!</definedName>
    <definedName name="E">#REF!</definedName>
    <definedName name="E_1" localSheetId="1">#REF!</definedName>
    <definedName name="E_1" localSheetId="3">#REF!</definedName>
    <definedName name="E_1" localSheetId="6">#REF!</definedName>
    <definedName name="E_1">#REF!</definedName>
    <definedName name="E_2" localSheetId="1">#REF!</definedName>
    <definedName name="E_2" localSheetId="3">#REF!</definedName>
    <definedName name="E_2" localSheetId="6">#REF!</definedName>
    <definedName name="E_2">#REF!</definedName>
    <definedName name="E_3" localSheetId="3">#REF!</definedName>
    <definedName name="E_3">#REF!</definedName>
    <definedName name="E_315MVA_Addl_Page1" localSheetId="3">#REF!</definedName>
    <definedName name="E_315MVA_Addl_Page1">#REF!</definedName>
    <definedName name="E_315MVA_Addl_Page2" localSheetId="3">#REF!</definedName>
    <definedName name="E_315MVA_Addl_Page2">#REF!</definedName>
    <definedName name="E_4" localSheetId="3">#REF!</definedName>
    <definedName name="E_4">#REF!</definedName>
    <definedName name="E_5" localSheetId="3">#REF!</definedName>
    <definedName name="E_5">#REF!</definedName>
    <definedName name="E_6" localSheetId="3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1">[11]Input!#REF!</definedName>
    <definedName name="ECB" localSheetId="3">[11]Input!#REF!</definedName>
    <definedName name="ECB" localSheetId="6">[11]Input!#REF!</definedName>
    <definedName name="ECB">[11]Input!#REF!</definedName>
    <definedName name="ECB_BASE" localSheetId="1">[11]Input!#REF!</definedName>
    <definedName name="ECB_BASE" localSheetId="3">[11]Input!#REF!</definedName>
    <definedName name="ECB_BASE" localSheetId="6">[11]Input!#REF!</definedName>
    <definedName name="ECB_BASE">[11]Input!#REF!</definedName>
    <definedName name="ECB_REFI" localSheetId="1">[11]Input!#REF!</definedName>
    <definedName name="ECB_REFI" localSheetId="3">[11]Input!#REF!</definedName>
    <definedName name="ECB_REFI" localSheetId="6">[11]Input!#REF!</definedName>
    <definedName name="ECB_REFI">[11]Input!#REF!</definedName>
    <definedName name="Eco_Transport_Base" localSheetId="1">#REF!</definedName>
    <definedName name="Eco_Transport_Base" localSheetId="3">#REF!</definedName>
    <definedName name="Eco_Transport_Base" localSheetId="6">#REF!</definedName>
    <definedName name="Eco_Transport_Base">#REF!</definedName>
    <definedName name="Eco_Transport_SEN" localSheetId="1">#REF!</definedName>
    <definedName name="Eco_Transport_SEN" localSheetId="3">#REF!</definedName>
    <definedName name="Eco_Transport_SEN" localSheetId="6">#REF!</definedName>
    <definedName name="Eco_Transport_SEN">#REF!</definedName>
    <definedName name="ECOEsc_Base" localSheetId="1">#REF!</definedName>
    <definedName name="ECOEsc_Base" localSheetId="3">#REF!</definedName>
    <definedName name="ECOEsc_Base" localSheetId="6">#REF!</definedName>
    <definedName name="ECOEsc_Base">#REF!</definedName>
    <definedName name="ECOEsc_SEN" localSheetId="3">#REF!</definedName>
    <definedName name="ECOEsc_SEN">#REF!</definedName>
    <definedName name="ECOPrice_Base" localSheetId="3">#REF!</definedName>
    <definedName name="ECOPrice_Base">#REF!</definedName>
    <definedName name="ECOPrice_SEN" localSheetId="3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1">#REF!</definedName>
    <definedName name="egtdgtgxdg" localSheetId="3">#REF!</definedName>
    <definedName name="egtdgtgxdg" localSheetId="6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1">#REF!</definedName>
    <definedName name="EmpExp_Base" localSheetId="3">#REF!</definedName>
    <definedName name="EmpExp_Base" localSheetId="6">#REF!</definedName>
    <definedName name="EmpExp_Base">#REF!</definedName>
    <definedName name="EmpExp_SEN" localSheetId="1">#REF!</definedName>
    <definedName name="EmpExp_SEN" localSheetId="3">#REF!</definedName>
    <definedName name="EmpExp_SEN" localSheetId="6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1">#REF!</definedName>
    <definedName name="EscAGExp" localSheetId="3">#REF!</definedName>
    <definedName name="EscAGExp" localSheetId="6">#REF!</definedName>
    <definedName name="EscAGExp">#REF!</definedName>
    <definedName name="EscCoal" localSheetId="1">#REF!</definedName>
    <definedName name="EscCoal" localSheetId="3">#REF!</definedName>
    <definedName name="EscCoal" localSheetId="6">#REF!</definedName>
    <definedName name="EscCoal">#REF!</definedName>
    <definedName name="EscDomGas" localSheetId="1">#REF!</definedName>
    <definedName name="EscDomGas" localSheetId="3">#REF!</definedName>
    <definedName name="EscDomGas" localSheetId="6">#REF!</definedName>
    <definedName name="EscDomGas">#REF!</definedName>
    <definedName name="EscEmpExp" localSheetId="3">#REF!</definedName>
    <definedName name="EscEmpExp">#REF!</definedName>
    <definedName name="EscLNGas" localSheetId="3">#REF!</definedName>
    <definedName name="EscLNGas">#REF!</definedName>
    <definedName name="EscOil" localSheetId="3">#REF!</definedName>
    <definedName name="EscOil">#REF!</definedName>
    <definedName name="EscOtherIncome" localSheetId="3">#REF!</definedName>
    <definedName name="EscOtherIncome">#REF!</definedName>
    <definedName name="EscOtherVarCharge" localSheetId="3">#REF!</definedName>
    <definedName name="EscOtherVarCharge">#REF!</definedName>
    <definedName name="EscRMExp" localSheetId="3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 localSheetId="3">#REF!</definedName>
    <definedName name="ex">#REF!</definedName>
    <definedName name="EXC" localSheetId="3">#REF!</definedName>
    <definedName name="EXC">#REF!</definedName>
    <definedName name="Excel_BuiltIn_Print_Area_3" localSheetId="3">[50]EPS!#REF!</definedName>
    <definedName name="Excel_BuiltIn_Print_Area_3">[50]EPS!#REF!</definedName>
    <definedName name="exfactcost">'[47]HI-TARGE'!#REF!</definedName>
    <definedName name="EXH" localSheetId="1">#REF!</definedName>
    <definedName name="EXH" localSheetId="3">#REF!</definedName>
    <definedName name="EXH" localSheetId="6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1">#REF!</definedName>
    <definedName name="F" localSheetId="3">#REF!</definedName>
    <definedName name="F" localSheetId="6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1">#REF!</definedName>
    <definedName name="FAX" localSheetId="3">#REF!</definedName>
    <definedName name="FAX" localSheetId="6">#REF!</definedName>
    <definedName name="FAX">#REF!</definedName>
    <definedName name="fbdfhsh" localSheetId="1">#REF!</definedName>
    <definedName name="fbdfhsh" localSheetId="3">#REF!</definedName>
    <definedName name="fbdfhsh" localSheetId="6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1">#REF!</definedName>
    <definedName name="fdfdgdgd" localSheetId="3">#REF!</definedName>
    <definedName name="fdfdgdgd" localSheetId="6">#REF!</definedName>
    <definedName name="fdfdgdgd">#REF!</definedName>
    <definedName name="fdsfdsf" localSheetId="1">#REF!</definedName>
    <definedName name="fdsfdsf" localSheetId="3">#REF!</definedName>
    <definedName name="fdsfdsf" localSheetId="6">#REF!</definedName>
    <definedName name="fdsfdsf">#REF!</definedName>
    <definedName name="fdxfds" localSheetId="1">#REF!</definedName>
    <definedName name="fdxfds" localSheetId="3">#REF!</definedName>
    <definedName name="fdxfds" localSheetId="6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1">#REF!</definedName>
    <definedName name="fgdgchjgd" localSheetId="3">#REF!</definedName>
    <definedName name="fgdgchjgd">#REF!</definedName>
    <definedName name="fgvdata">#REF!</definedName>
    <definedName name="Fhandling">[11]Assumptions!$D$61</definedName>
    <definedName name="FHandling_Base" localSheetId="1">#REF!</definedName>
    <definedName name="FHandling_Base" localSheetId="3">#REF!</definedName>
    <definedName name="FHandling_Base" localSheetId="6">#REF!</definedName>
    <definedName name="FHandling_Base">#REF!</definedName>
    <definedName name="FHandling_SEN" localSheetId="1">#REF!</definedName>
    <definedName name="FHandling_SEN" localSheetId="3">#REF!</definedName>
    <definedName name="FHandling_SEN" localSheetId="6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1">#REF!</definedName>
    <definedName name="Forex_Base" localSheetId="3">#REF!</definedName>
    <definedName name="Forex_Base" localSheetId="6">#REF!</definedName>
    <definedName name="Forex_Base">#REF!</definedName>
    <definedName name="Forex_SEN" localSheetId="1">#REF!</definedName>
    <definedName name="Forex_SEN" localSheetId="3">#REF!</definedName>
    <definedName name="Forex_SEN" localSheetId="6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1">#REF!</definedName>
    <definedName name="fssdzfzsdffzsdf" localSheetId="3">#REF!</definedName>
    <definedName name="fssdzfzsdffzsdf" localSheetId="6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1">#REF!</definedName>
    <definedName name="Fuel_Base" localSheetId="3">#REF!</definedName>
    <definedName name="Fuel_Base" localSheetId="6">#REF!</definedName>
    <definedName name="Fuel_Base">#REF!</definedName>
    <definedName name="Fuel_Exp_CY" localSheetId="1">#REF!</definedName>
    <definedName name="Fuel_Exp_CY" localSheetId="3">#REF!</definedName>
    <definedName name="Fuel_Exp_CY" localSheetId="6">#REF!</definedName>
    <definedName name="Fuel_Exp_CY">#REF!</definedName>
    <definedName name="Fuel_Exp_EY" localSheetId="1">#REF!</definedName>
    <definedName name="Fuel_Exp_EY" localSheetId="3">#REF!</definedName>
    <definedName name="Fuel_Exp_EY" localSheetId="6">#REF!</definedName>
    <definedName name="Fuel_Exp_EY">#REF!</definedName>
    <definedName name="Fuel_Exp_PY" localSheetId="3">#REF!</definedName>
    <definedName name="Fuel_Exp_PY">#REF!</definedName>
    <definedName name="FUEL_SEN" localSheetId="3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1">#REF!</definedName>
    <definedName name="Fx_Base" localSheetId="3">#REF!</definedName>
    <definedName name="Fx_Base" localSheetId="6">#REF!</definedName>
    <definedName name="Fx_Base">#REF!</definedName>
    <definedName name="Fx_SEN" localSheetId="1">#REF!</definedName>
    <definedName name="Fx_SEN" localSheetId="3">#REF!</definedName>
    <definedName name="Fx_SEN" localSheetId="6">#REF!</definedName>
    <definedName name="Fx_SEN">#REF!</definedName>
    <definedName name="fy" localSheetId="1">#REF!</definedName>
    <definedName name="fy" localSheetId="3">#REF!</definedName>
    <definedName name="fy" localSheetId="6">#REF!</definedName>
    <definedName name="fy">#REF!</definedName>
    <definedName name="FYMonths">[29]ReportsParameters!$B$42</definedName>
    <definedName name="g" localSheetId="1">#REF!</definedName>
    <definedName name="g" localSheetId="3">#REF!</definedName>
    <definedName name="g" localSheetId="6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1">#REF!</definedName>
    <definedName name="gaga" localSheetId="3">#REF!</definedName>
    <definedName name="gaga" localSheetId="6">#REF!</definedName>
    <definedName name="gaga">#REF!</definedName>
    <definedName name="gahZh" localSheetId="3">#REF!</definedName>
    <definedName name="gahZh">#REF!</definedName>
    <definedName name="gajkahuah" localSheetId="3">#REF!</definedName>
    <definedName name="gajkahuah">#REF!</definedName>
    <definedName name="gasgdskhdu" localSheetId="1">#REF!,#REF!</definedName>
    <definedName name="gasgdskhdu" localSheetId="3">#REF!,#REF!</definedName>
    <definedName name="gasgdskhdu" localSheetId="6">#REF!,#REF!</definedName>
    <definedName name="gasgdskhdu">#REF!,#REF!</definedName>
    <definedName name="gdgfg" localSheetId="1">#REF!,#REF!</definedName>
    <definedName name="gdgfg" localSheetId="3">#REF!,#REF!</definedName>
    <definedName name="gdgfg" localSheetId="6">#REF!,#REF!</definedName>
    <definedName name="gdgfg">#REF!,#REF!</definedName>
    <definedName name="gf" localSheetId="1">#REF!</definedName>
    <definedName name="gf" localSheetId="3">#REF!</definedName>
    <definedName name="gf" localSheetId="6">#REF!</definedName>
    <definedName name="gf">#REF!</definedName>
    <definedName name="gfg" localSheetId="1">#REF!</definedName>
    <definedName name="gfg" localSheetId="3">#REF!</definedName>
    <definedName name="gfg" localSheetId="6">#REF!</definedName>
    <definedName name="gfg">#REF!</definedName>
    <definedName name="gggggg">'[33]ANNX -II'!$X$20:$AG$41</definedName>
    <definedName name="ghhfh" localSheetId="1">#REF!</definedName>
    <definedName name="ghhfh" localSheetId="3">#REF!</definedName>
    <definedName name="ghhfh" localSheetId="6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1">#REF!</definedName>
    <definedName name="GR" localSheetId="3">#REF!</definedName>
    <definedName name="GR" localSheetId="6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1">#REF!</definedName>
    <definedName name="gshjgshgs" localSheetId="3">#REF!</definedName>
    <definedName name="gshjgshgs" localSheetId="6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1">#REF!,#REF!</definedName>
    <definedName name="gydgdg" localSheetId="3">#REF!,#REF!</definedName>
    <definedName name="gydgdg" localSheetId="6">#REF!,#REF!</definedName>
    <definedName name="gydgdg">#REF!,#REF!</definedName>
    <definedName name="h" localSheetId="1">'[55]04REL'!#REF!</definedName>
    <definedName name="h" localSheetId="3">'[55]04REL'!#REF!</definedName>
    <definedName name="h" localSheetId="6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1">#REF!</definedName>
    <definedName name="hahshuis" localSheetId="3">#REF!</definedName>
    <definedName name="hahshuis" localSheetId="6">#REF!</definedName>
    <definedName name="hahshuis">#REF!</definedName>
    <definedName name="halol">[56]HALOL!$A$10:$D$182</definedName>
    <definedName name="hasnain" localSheetId="1">#REF!</definedName>
    <definedName name="hasnain" localSheetId="3">#REF!</definedName>
    <definedName name="hasnain" localSheetId="6">#REF!</definedName>
    <definedName name="hasnain">#REF!</definedName>
    <definedName name="hdhdjh" localSheetId="1">#REF!</definedName>
    <definedName name="hdhdjh" localSheetId="3">#REF!</definedName>
    <definedName name="hdhdjh" localSheetId="6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1">'[39]04REL'!#REF!</definedName>
    <definedName name="hgtfhdh" localSheetId="3">'[39]04REL'!#REF!</definedName>
    <definedName name="hgtfhdh" localSheetId="6">'[39]04REL'!#REF!</definedName>
    <definedName name="hgtfhdh">'[39]04REL'!#REF!</definedName>
    <definedName name="hhhuh" localSheetId="1">#REF!</definedName>
    <definedName name="hhhuh" localSheetId="3">#REF!</definedName>
    <definedName name="hhhuh" localSheetId="6">#REF!</definedName>
    <definedName name="hhhuh">#REF!</definedName>
    <definedName name="hHzhzh" localSheetId="1">#REF!</definedName>
    <definedName name="hHzhzh" localSheetId="3">#REF!</definedName>
    <definedName name="hHzhzh" localSheetId="6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1">#REF!</definedName>
    <definedName name="hshhxuhxu" localSheetId="3">#REF!</definedName>
    <definedName name="hshhxuhxu" localSheetId="6">#REF!</definedName>
    <definedName name="hshhxuhxu">#REF!</definedName>
    <definedName name="hvdc.avlblty">'[15]PPT Inputs'!$C$27</definedName>
    <definedName name="HWSheet">1</definedName>
    <definedName name="i" localSheetId="1">#REF!</definedName>
    <definedName name="i" localSheetId="3">#REF!</definedName>
    <definedName name="i" localSheetId="6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1">#REF!</definedName>
    <definedName name="idc_copy_3" localSheetId="3">#REF!</definedName>
    <definedName name="idc_copy_3" localSheetId="6">#REF!</definedName>
    <definedName name="idc_copy_3">#REF!</definedName>
    <definedName name="idc_diff" localSheetId="1">#REF!</definedName>
    <definedName name="idc_diff" localSheetId="3">#REF!</definedName>
    <definedName name="idc_diff" localSheetId="6">#REF!</definedName>
    <definedName name="idc_diff">#REF!</definedName>
    <definedName name="IDC_DIFF_1" localSheetId="1">'[23]Capex Scheduling'!#REF!</definedName>
    <definedName name="IDC_DIFF_1" localSheetId="3">'[23]Capex Scheduling'!#REF!</definedName>
    <definedName name="IDC_DIFF_1" localSheetId="6">'[23]Capex Scheduling'!#REF!</definedName>
    <definedName name="IDC_DIFF_1">'[23]Capex Scheduling'!#REF!</definedName>
    <definedName name="idc_p">'[58]Debt Scheduling'!$E$50:$Q$50</definedName>
    <definedName name="idc_paste" localSheetId="1">#REF!</definedName>
    <definedName name="idc_paste" localSheetId="3">#REF!</definedName>
    <definedName name="idc_paste" localSheetId="6">#REF!</definedName>
    <definedName name="idc_paste">#REF!</definedName>
    <definedName name="idc_paste_3" localSheetId="1">#REF!</definedName>
    <definedName name="idc_paste_3" localSheetId="3">#REF!</definedName>
    <definedName name="idc_paste_3" localSheetId="6">#REF!</definedName>
    <definedName name="idc_paste_3">#REF!</definedName>
    <definedName name="IdcDiff" localSheetId="1">'[23]Capex Scheduling'!#REF!</definedName>
    <definedName name="IdcDiff" localSheetId="3">'[23]Capex Scheduling'!#REF!</definedName>
    <definedName name="IdcDiff" localSheetId="6">'[23]Capex Scheduling'!#REF!</definedName>
    <definedName name="IdcDiff">'[23]Capex Scheduling'!#REF!</definedName>
    <definedName name="IDCDifference" localSheetId="1">'[23]Capex Scheduling'!#REF!</definedName>
    <definedName name="IDCDifference" localSheetId="3">'[23]Capex Scheduling'!#REF!</definedName>
    <definedName name="IDCDifference" localSheetId="6">'[23]Capex Scheduling'!#REF!</definedName>
    <definedName name="IDCDifference">'[23]Capex Scheduling'!#REF!</definedName>
    <definedName name="idcPaste1">'[23]Capex Scheduling'!$F$35:$W$35</definedName>
    <definedName name="Inc_Proj_Cost" localSheetId="1">#REF!</definedName>
    <definedName name="Inc_Proj_Cost" localSheetId="3">#REF!</definedName>
    <definedName name="Inc_Proj_Cost" localSheetId="6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1">'[60]LTC-Insulation_Volume'!#REF!</definedName>
    <definedName name="Insulation_Volume" localSheetId="3">'[60]LTC-Insulation_Volume'!#REF!</definedName>
    <definedName name="Insulation_Volume" localSheetId="6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1">#REF!</definedName>
    <definedName name="IntRate_100" localSheetId="3">#REF!</definedName>
    <definedName name="IntRate_100" localSheetId="6">#REF!</definedName>
    <definedName name="IntRate_100">#REF!</definedName>
    <definedName name="IntRate_11">[41]Assumptions!$B$11</definedName>
    <definedName name="IntRate_12">[41]Assumptions!$B$12</definedName>
    <definedName name="IntRate_25" localSheetId="1">#REF!</definedName>
    <definedName name="IntRate_25" localSheetId="3">#REF!</definedName>
    <definedName name="IntRate_25" localSheetId="6">#REF!</definedName>
    <definedName name="IntRate_25">#REF!</definedName>
    <definedName name="IntRate_50" localSheetId="1">#REF!</definedName>
    <definedName name="IntRate_50" localSheetId="3">#REF!</definedName>
    <definedName name="IntRate_50" localSheetId="6">#REF!</definedName>
    <definedName name="IntRate_50">#REF!</definedName>
    <definedName name="IntRate_75" localSheetId="1">#REF!</definedName>
    <definedName name="IntRate_75" localSheetId="3">#REF!</definedName>
    <definedName name="IntRate_75" localSheetId="6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1">#REF!</definedName>
    <definedName name="IntRate12" localSheetId="3">#REF!</definedName>
    <definedName name="IntRate12" localSheetId="6">#REF!</definedName>
    <definedName name="IntRate12">#REF!</definedName>
    <definedName name="IntRate13" localSheetId="1">#REF!</definedName>
    <definedName name="IntRate13" localSheetId="3">#REF!</definedName>
    <definedName name="IntRate13" localSheetId="6">#REF!</definedName>
    <definedName name="IntRate13">#REF!</definedName>
    <definedName name="IntRateWC11" localSheetId="1">#REF!</definedName>
    <definedName name="IntRateWC11" localSheetId="3">#REF!</definedName>
    <definedName name="IntRateWC11" localSheetId="6">#REF!</definedName>
    <definedName name="IntRateWC11">#REF!</definedName>
    <definedName name="IntRateWC12" localSheetId="3">#REF!</definedName>
    <definedName name="IntRateWC12">#REF!</definedName>
    <definedName name="IntRateWC13" localSheetId="3">#REF!</definedName>
    <definedName name="IntRateWC13">#REF!</definedName>
    <definedName name="Intt_Charge_cY" localSheetId="1">#REF!,#REF!</definedName>
    <definedName name="Intt_Charge_cY" localSheetId="3">#REF!,#REF!</definedName>
    <definedName name="Intt_Charge_cY" localSheetId="6">#REF!,#REF!</definedName>
    <definedName name="Intt_Charge_cY">#REF!,#REF!</definedName>
    <definedName name="Intt_Charge_cy_1">'[62]A 3.7'!$H$35,'[62]A 3.7'!$H$44</definedName>
    <definedName name="Intt_Charge_eY" localSheetId="1">#REF!,#REF!</definedName>
    <definedName name="Intt_Charge_eY" localSheetId="3">#REF!,#REF!</definedName>
    <definedName name="Intt_Charge_eY" localSheetId="6">#REF!,#REF!</definedName>
    <definedName name="Intt_Charge_eY">#REF!,#REF!</definedName>
    <definedName name="Intt_Charge_ey_1">'[62]A 3.7'!$I$35,'[62]A 3.7'!$I$44</definedName>
    <definedName name="Intt_Charge_PY" localSheetId="1">#REF!,#REF!</definedName>
    <definedName name="Intt_Charge_PY" localSheetId="3">#REF!,#REF!</definedName>
    <definedName name="Intt_Charge_PY" localSheetId="6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1">#REF!</definedName>
    <definedName name="IsCircular" localSheetId="3">#REF!</definedName>
    <definedName name="IsCircular" localSheetId="6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1">#REF!</definedName>
    <definedName name="j" localSheetId="3">#REF!</definedName>
    <definedName name="j" localSheetId="6">#REF!</definedName>
    <definedName name="j">#REF!</definedName>
    <definedName name="JDCL_MISC">#REF!</definedName>
    <definedName name="jjjj">#REF!</definedName>
    <definedName name="jjkjklj" localSheetId="1">#REF!,#REF!</definedName>
    <definedName name="jjkjklj" localSheetId="3">#REF!,#REF!</definedName>
    <definedName name="jjkjklj" localSheetId="6">#REF!,#REF!</definedName>
    <definedName name="jjkjklj">#REF!,#REF!</definedName>
    <definedName name="jjskjsklj" localSheetId="1">#REF!</definedName>
    <definedName name="jjskjsklj" localSheetId="3">#REF!</definedName>
    <definedName name="jjskjsklj" localSheetId="6">#REF!</definedName>
    <definedName name="jjskjsklj">#REF!</definedName>
    <definedName name="jsdkf3" localSheetId="1">#REF!</definedName>
    <definedName name="jsdkf3" localSheetId="3">#REF!</definedName>
    <definedName name="jsdkf3" localSheetId="6">#REF!</definedName>
    <definedName name="jsdkf3">#REF!</definedName>
    <definedName name="jsjssij" localSheetId="1">#REF!</definedName>
    <definedName name="jsjssij" localSheetId="3">#REF!</definedName>
    <definedName name="jsjssij" localSheetId="6">#REF!</definedName>
    <definedName name="jsjssij">#REF!</definedName>
    <definedName name="k" localSheetId="3">#REF!</definedName>
    <definedName name="k">#REF!</definedName>
    <definedName name="K2000_">#N/A</definedName>
    <definedName name="Kettex">#REF!</definedName>
    <definedName name="kettex98">#REF!</definedName>
    <definedName name="kishor" localSheetId="1">#REF!</definedName>
    <definedName name="kishor" localSheetId="3">#REF!</definedName>
    <definedName name="kishor" localSheetId="6">#REF!</definedName>
    <definedName name="kishor">#REF!</definedName>
    <definedName name="kk">#REF!</definedName>
    <definedName name="kkJJ" localSheetId="1">#REF!</definedName>
    <definedName name="kkJJ" localSheetId="3">#REF!</definedName>
    <definedName name="kkJJ" localSheetId="6">#REF!</definedName>
    <definedName name="kkJJ">#REF!</definedName>
    <definedName name="kkk">#REF!</definedName>
    <definedName name="Korea_Telecom">[16]List_ratios!#REF!</definedName>
    <definedName name="ksokskosk" localSheetId="1">#REF!</definedName>
    <definedName name="ksokskosk" localSheetId="3">#REF!</definedName>
    <definedName name="ksokskosk" localSheetId="6">#REF!</definedName>
    <definedName name="ksokskosk">#REF!</definedName>
    <definedName name="kv.avlblty">'[15]PPT Inputs'!$C$28</definedName>
    <definedName name="l" localSheetId="1">#REF!</definedName>
    <definedName name="l" localSheetId="3">#REF!</definedName>
    <definedName name="l" localSheetId="6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1">#REF!</definedName>
    <definedName name="llJkljl" localSheetId="3">#REF!</definedName>
    <definedName name="llJkljl" localSheetId="6">#REF!</definedName>
    <definedName name="llJkljl">#REF!</definedName>
    <definedName name="Loan_Amount">#REF!</definedName>
    <definedName name="loan_cntr">'[65]Capital Cost'!$A$111:$IV$111</definedName>
    <definedName name="Loan_CoalSPV" localSheetId="1">#REF!</definedName>
    <definedName name="Loan_CoalSPV" localSheetId="3">#REF!</definedName>
    <definedName name="Loan_CoalSPV" localSheetId="6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1">#REF!</definedName>
    <definedName name="LTR_M_NEW" localSheetId="3">#REF!</definedName>
    <definedName name="LTR_M_NEW" localSheetId="6">#REF!</definedName>
    <definedName name="LTR_M_NEW">#REF!</definedName>
    <definedName name="LTR_MOR" localSheetId="1">#REF!</definedName>
    <definedName name="LTR_MOR" localSheetId="3">#REF!</definedName>
    <definedName name="LTR_MOR" localSheetId="6">#REF!</definedName>
    <definedName name="LTR_MOR">#REF!</definedName>
    <definedName name="lvkfeqvlkqe" localSheetId="3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1">#REF!</definedName>
    <definedName name="m105." localSheetId="3">#REF!</definedName>
    <definedName name="m105." localSheetId="6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1">#REF!</definedName>
    <definedName name="Melawan_Transport_Base" localSheetId="3">#REF!</definedName>
    <definedName name="Melawan_Transport_Base" localSheetId="6">#REF!</definedName>
    <definedName name="Melawan_Transport_Base">#REF!</definedName>
    <definedName name="Melawan_Transport_SEN" localSheetId="1">#REF!</definedName>
    <definedName name="Melawan_Transport_SEN" localSheetId="3">#REF!</definedName>
    <definedName name="Melawan_Transport_SEN" localSheetId="6">#REF!</definedName>
    <definedName name="Melawan_Transport_SEN">#REF!</definedName>
    <definedName name="MelawanEsc_Base" localSheetId="1">#REF!</definedName>
    <definedName name="MelawanEsc_Base" localSheetId="3">#REF!</definedName>
    <definedName name="MelawanEsc_Base" localSheetId="6">#REF!</definedName>
    <definedName name="MelawanEsc_Base">#REF!</definedName>
    <definedName name="MelawanEsc_SEN" localSheetId="3">#REF!</definedName>
    <definedName name="MelawanEsc_SEN">#REF!</definedName>
    <definedName name="Melawanprice_Base" localSheetId="3">#REF!</definedName>
    <definedName name="Melawanprice_Base">#REF!</definedName>
    <definedName name="MelawanPrice_SEN" localSheetId="3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1">#REF!</definedName>
    <definedName name="Min_SPV" localSheetId="3">#REF!</definedName>
    <definedName name="Min_SPV" localSheetId="6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1">#REF!</definedName>
    <definedName name="Mix_Eco_Base" localSheetId="3">#REF!</definedName>
    <definedName name="Mix_Eco_Base" localSheetId="6">#REF!</definedName>
    <definedName name="Mix_Eco_Base">#REF!</definedName>
    <definedName name="Mix_Eco_Sen" localSheetId="1">#REF!</definedName>
    <definedName name="Mix_Eco_Sen" localSheetId="3">#REF!</definedName>
    <definedName name="Mix_Eco_Sen" localSheetId="6">#REF!</definedName>
    <definedName name="Mix_Eco_Sen">#REF!</definedName>
    <definedName name="MIX_MEL">[11]Assumptions!$C$92</definedName>
    <definedName name="Mix_Melawan_Base" localSheetId="1">#REF!</definedName>
    <definedName name="Mix_Melawan_Base" localSheetId="3">#REF!</definedName>
    <definedName name="Mix_Melawan_Base" localSheetId="6">#REF!</definedName>
    <definedName name="Mix_Melawan_Base">#REF!</definedName>
    <definedName name="Mix_Melawan_SEN" localSheetId="1">#REF!</definedName>
    <definedName name="Mix_Melawan_SEN" localSheetId="3">#REF!</definedName>
    <definedName name="Mix_Melawan_SEN" localSheetId="6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1" hidden="1">[67]CE!#REF!</definedName>
    <definedName name="new" localSheetId="3" hidden="1">[67]CE!#REF!</definedName>
    <definedName name="new" localSheetId="6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1">#REF!</definedName>
    <definedName name="nnkklj" localSheetId="3">#REF!</definedName>
    <definedName name="nnkklj" localSheetId="6">#REF!</definedName>
    <definedName name="nnkklj">#REF!</definedName>
    <definedName name="NO_G" localSheetId="1">#REF!</definedName>
    <definedName name="NO_G" localSheetId="3">#REF!</definedName>
    <definedName name="NO_G" localSheetId="6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1">#REF!</definedName>
    <definedName name="O" localSheetId="3">#REF!</definedName>
    <definedName name="O" localSheetId="6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1">#REF!</definedName>
    <definedName name="Olklkk" localSheetId="3">#REF!</definedName>
    <definedName name="Olklkk" localSheetId="6">#REF!</definedName>
    <definedName name="Olklkk">#REF!</definedName>
    <definedName name="OM.5" localSheetId="1">#REF!</definedName>
    <definedName name="OM.5" localSheetId="3">#REF!</definedName>
    <definedName name="OM.5" localSheetId="6">#REF!</definedName>
    <definedName name="OM.5">#REF!</definedName>
    <definedName name="OM_1" localSheetId="1">#REF!</definedName>
    <definedName name="OM_1" localSheetId="3">#REF!</definedName>
    <definedName name="OM_1" localSheetId="6">#REF!</definedName>
    <definedName name="OM_1">#REF!</definedName>
    <definedName name="OM_1.5" localSheetId="3">#REF!</definedName>
    <definedName name="OM_1.5">#REF!</definedName>
    <definedName name="OM_2" localSheetId="3">#REF!</definedName>
    <definedName name="OM_2">#REF!</definedName>
    <definedName name="OM_2.5" localSheetId="3">#REF!</definedName>
    <definedName name="OM_2.5">#REF!</definedName>
    <definedName name="OM_3" localSheetId="3">#REF!</definedName>
    <definedName name="OM_3">#REF!</definedName>
    <definedName name="ONM_Base" localSheetId="3">#REF!</definedName>
    <definedName name="ONM_Base">#REF!</definedName>
    <definedName name="ONM_SEN" localSheetId="3">#REF!</definedName>
    <definedName name="ONM_SEN">#REF!</definedName>
    <definedName name="order_value" localSheetId="3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 localSheetId="3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1">#REF!</definedName>
    <definedName name="PAF_Base" localSheetId="3">#REF!</definedName>
    <definedName name="PAF_Base" localSheetId="6">#REF!</definedName>
    <definedName name="PAF_Base">#REF!</definedName>
    <definedName name="PAF_SEN" localSheetId="1">#REF!</definedName>
    <definedName name="PAF_SEN" localSheetId="3">#REF!</definedName>
    <definedName name="PAF_SEN" localSheetId="6">#REF!</definedName>
    <definedName name="PAF_SEN">#REF!</definedName>
    <definedName name="PAGE1" localSheetId="1">#REF!</definedName>
    <definedName name="PAGE1" localSheetId="3">#REF!</definedName>
    <definedName name="PAGE1" localSheetId="6">#REF!</definedName>
    <definedName name="PAGE1">#REF!</definedName>
    <definedName name="page10" localSheetId="3">#REF!</definedName>
    <definedName name="page10">#REF!</definedName>
    <definedName name="PAGE10_6" localSheetId="3">#REF!</definedName>
    <definedName name="PAGE10_6">#REF!</definedName>
    <definedName name="PAGE11_6" localSheetId="3">#REF!</definedName>
    <definedName name="PAGE11_6">#REF!</definedName>
    <definedName name="PAGE12_6" localSheetId="3">#REF!</definedName>
    <definedName name="PAGE12_6">#REF!</definedName>
    <definedName name="PAGE14" localSheetId="3">#REF!</definedName>
    <definedName name="PAGE14">#REF!</definedName>
    <definedName name="PAGE15" localSheetId="3">#REF!</definedName>
    <definedName name="PAGE15">#REF!</definedName>
    <definedName name="PAGE16" localSheetId="3">#REF!</definedName>
    <definedName name="PAGE16">#REF!</definedName>
    <definedName name="PAGE17" localSheetId="3">#REF!</definedName>
    <definedName name="PAGE17">#REF!</definedName>
    <definedName name="PAGE18" localSheetId="3">#REF!</definedName>
    <definedName name="PAGE18">#REF!</definedName>
    <definedName name="PAGE19" localSheetId="3">#REF!</definedName>
    <definedName name="PAGE19">#REF!</definedName>
    <definedName name="PAGE2" localSheetId="3">#REF!</definedName>
    <definedName name="PAGE2">#REF!</definedName>
    <definedName name="PAGE2_6" localSheetId="3">#REF!</definedName>
    <definedName name="PAGE2_6">#REF!</definedName>
    <definedName name="PAGE20" localSheetId="3">#REF!</definedName>
    <definedName name="PAGE20">#REF!</definedName>
    <definedName name="PAGE21" localSheetId="3">#REF!</definedName>
    <definedName name="PAGE21">#REF!</definedName>
    <definedName name="PAGE210" localSheetId="3">#REF!</definedName>
    <definedName name="PAGE210">#REF!</definedName>
    <definedName name="PAGE22" localSheetId="3">#REF!</definedName>
    <definedName name="PAGE22">#REF!</definedName>
    <definedName name="PAGE23" localSheetId="3">#REF!</definedName>
    <definedName name="PAGE23">#REF!</definedName>
    <definedName name="PAGE24" localSheetId="3">#REF!</definedName>
    <definedName name="PAGE24">#REF!</definedName>
    <definedName name="PAGE25" localSheetId="3">#REF!</definedName>
    <definedName name="PAGE25">#REF!</definedName>
    <definedName name="PAGE26" localSheetId="3">#REF!</definedName>
    <definedName name="PAGE26">#REF!</definedName>
    <definedName name="PAGE27" localSheetId="3">#REF!</definedName>
    <definedName name="PAGE27">#REF!</definedName>
    <definedName name="PAGE28" localSheetId="3">#REF!</definedName>
    <definedName name="PAGE28">#REF!</definedName>
    <definedName name="PAGE29" localSheetId="3">#REF!</definedName>
    <definedName name="PAGE29">#REF!</definedName>
    <definedName name="PAGE3_6" localSheetId="3">#REF!</definedName>
    <definedName name="PAGE3_6">#REF!</definedName>
    <definedName name="page34" localSheetId="3">#REF!</definedName>
    <definedName name="page34">#REF!</definedName>
    <definedName name="Page35" localSheetId="3">#REF!</definedName>
    <definedName name="Page35">#REF!</definedName>
    <definedName name="PAGE4_6" localSheetId="3">#REF!</definedName>
    <definedName name="PAGE4_6">#REF!</definedName>
    <definedName name="PAGE5_6" localSheetId="3">#REF!</definedName>
    <definedName name="PAGE5_6">#REF!</definedName>
    <definedName name="page50" localSheetId="3">#REF!</definedName>
    <definedName name="page50">#REF!</definedName>
    <definedName name="page51" localSheetId="3">#REF!</definedName>
    <definedName name="page51">#REF!</definedName>
    <definedName name="page52" localSheetId="3">#REF!</definedName>
    <definedName name="page52">#REF!</definedName>
    <definedName name="PAGE6" localSheetId="3">#REF!</definedName>
    <definedName name="PAGE6">#REF!</definedName>
    <definedName name="PAGE6_6" localSheetId="3">#REF!</definedName>
    <definedName name="PAGE6_6">#REF!</definedName>
    <definedName name="PAGE7" localSheetId="3">#REF!</definedName>
    <definedName name="PAGE7">#REF!</definedName>
    <definedName name="PAGE7_6" localSheetId="3">#REF!</definedName>
    <definedName name="PAGE7_6">#REF!</definedName>
    <definedName name="PAGE8" localSheetId="3">#REF!</definedName>
    <definedName name="PAGE8">#REF!</definedName>
    <definedName name="PAGE8_6U1A" localSheetId="3">#REF!</definedName>
    <definedName name="PAGE8_6U1A">#REF!</definedName>
    <definedName name="PAGE8_6U1B" localSheetId="3">#REF!</definedName>
    <definedName name="PAGE8_6U1B">#REF!</definedName>
    <definedName name="PAGE8_6U2A" localSheetId="3">#REF!</definedName>
    <definedName name="PAGE8_6U2A">#REF!</definedName>
    <definedName name="PAGE8_6U2B" localSheetId="3">#REF!</definedName>
    <definedName name="PAGE8_6U2B">#REF!</definedName>
    <definedName name="PAGE8_6U3A" localSheetId="3">#REF!</definedName>
    <definedName name="PAGE8_6U3A">#REF!</definedName>
    <definedName name="PAGE8_6U3B" localSheetId="3">#REF!</definedName>
    <definedName name="PAGE8_6U3B">#REF!</definedName>
    <definedName name="PAGE9" localSheetId="3">#REF!</definedName>
    <definedName name="PAGE9">#REF!</definedName>
    <definedName name="PAGE9_6" localSheetId="3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1">#REF!</definedName>
    <definedName name="PASTE_LoanCOALSPV" localSheetId="3">#REF!</definedName>
    <definedName name="PASTE_LoanCOALSPV" localSheetId="6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1">#REF!</definedName>
    <definedName name="PC_1" localSheetId="3">#REF!</definedName>
    <definedName name="PC_1" localSheetId="6">#REF!</definedName>
    <definedName name="PC_1">#REF!</definedName>
    <definedName name="PC_2" localSheetId="3">#REF!</definedName>
    <definedName name="PC_2">#REF!</definedName>
    <definedName name="PC_3" localSheetId="3">#REF!</definedName>
    <definedName name="PC_3">#REF!</definedName>
    <definedName name="PC_4" localSheetId="3">#REF!</definedName>
    <definedName name="PC_4">#REF!</definedName>
    <definedName name="PC_5" localSheetId="3">#REF!</definedName>
    <definedName name="PC_5">#REF!</definedName>
    <definedName name="PC_6" localSheetId="3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1">#REF!</definedName>
    <definedName name="PL" localSheetId="3">#REF!</definedName>
    <definedName name="PL" localSheetId="6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1">#REF!</definedName>
    <definedName name="PLF_Base" localSheetId="3">#REF!</definedName>
    <definedName name="PLF_Base" localSheetId="6">#REF!</definedName>
    <definedName name="PLF_Base">#REF!</definedName>
    <definedName name="PLF_SEN" localSheetId="1">#REF!</definedName>
    <definedName name="PLF_SEN" localSheetId="3">#REF!</definedName>
    <definedName name="PLF_SEN" localSheetId="6">#REF!</definedName>
    <definedName name="PLF_SEN">#REF!</definedName>
    <definedName name="Pop_Ratio" localSheetId="1">#REF!</definedName>
    <definedName name="Pop_Ratio" localSheetId="3">#REF!</definedName>
    <definedName name="Pop_Ratio" localSheetId="6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1">#REF!</definedName>
    <definedName name="Premium" localSheetId="3">#REF!</definedName>
    <definedName name="Premium" localSheetId="6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1">#REF!</definedName>
    <definedName name="PRF_1" localSheetId="3">#REF!</definedName>
    <definedName name="PRF_1" localSheetId="6">#REF!</definedName>
    <definedName name="PRF_1">#REF!</definedName>
    <definedName name="PRF_2_P1" localSheetId="1">#REF!</definedName>
    <definedName name="PRF_2_P1" localSheetId="3">#REF!</definedName>
    <definedName name="PRF_2_P1" localSheetId="6">#REF!</definedName>
    <definedName name="PRF_2_P1">#REF!</definedName>
    <definedName name="PRF_2_P2" localSheetId="3">#REF!</definedName>
    <definedName name="PRF_2_P2">#REF!</definedName>
    <definedName name="PRF_3_AN1" localSheetId="3">#REF!</definedName>
    <definedName name="PRF_3_AN1">#REF!</definedName>
    <definedName name="PRF_3_AN2" localSheetId="3">#REF!</definedName>
    <definedName name="PRF_3_AN2">#REF!</definedName>
    <definedName name="PRF_3_AN3" localSheetId="3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1">#REF!</definedName>
    <definedName name="_xlnm.Print_Area" localSheetId="3">'[73]Dep It'!#REF!</definedName>
    <definedName name="_xlnm.Print_Area" localSheetId="6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1">#REF!</definedName>
    <definedName name="Print_Area_MI" localSheetId="3">#REF!</definedName>
    <definedName name="PRINT_AREA_MI" localSheetId="6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'[74]A 3.7'!$I$35,'[74]A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1">#REF!</definedName>
    <definedName name="RAUX" localSheetId="3">#REF!</definedName>
    <definedName name="RAUX" localSheetId="6">#REF!</definedName>
    <definedName name="RAUX">#REF!</definedName>
    <definedName name="RAWMAT">'[47]Data Input'!$B$195:$P$272</definedName>
    <definedName name="RBASE" localSheetId="1">#REF!</definedName>
    <definedName name="RBASE" localSheetId="3">#REF!</definedName>
    <definedName name="RBASE" localSheetId="6">#REF!</definedName>
    <definedName name="RBASE">#REF!</definedName>
    <definedName name="RCAP" localSheetId="1">#REF!</definedName>
    <definedName name="RCAP" localSheetId="3">#REF!</definedName>
    <definedName name="RCAP" localSheetId="6">#REF!</definedName>
    <definedName name="RCAP">#REF!</definedName>
    <definedName name="RCERC" localSheetId="3">#REF!</definedName>
    <definedName name="RCERC">#REF!</definedName>
    <definedName name="RCOALCOST" localSheetId="3">#REF!</definedName>
    <definedName name="RCOALCOST">#REF!</definedName>
    <definedName name="RCoalScenario" localSheetId="3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1">#REF!</definedName>
    <definedName name="Red_Tariff_.25" localSheetId="3">#REF!</definedName>
    <definedName name="Red_Tariff_.25" localSheetId="6">#REF!</definedName>
    <definedName name="Red_Tariff_.25">#REF!</definedName>
    <definedName name="Red_Tariff_.5" localSheetId="1">#REF!</definedName>
    <definedName name="Red_Tariff_.5" localSheetId="3">#REF!</definedName>
    <definedName name="Red_Tariff_.5" localSheetId="6">#REF!</definedName>
    <definedName name="Red_Tariff_.5">#REF!</definedName>
    <definedName name="Ref_1">[75]PyrllDeduc!#REF!</definedName>
    <definedName name="Ref_2">[76]Year_End!#REF!</definedName>
    <definedName name="Ref_3">#REF!</definedName>
    <definedName name="Ref_4">'[77]Price Testing - Used - 1'!#REF!</definedName>
    <definedName name="Ref_5">'[77]Price Testing - Used - 1'!#REF!</definedName>
    <definedName name="Ref_6">'[77]Price Testing - Used - 1'!#REF!</definedName>
    <definedName name="refin" localSheetId="1">#REF!</definedName>
    <definedName name="refin" localSheetId="3">#REF!</definedName>
    <definedName name="refin" localSheetId="6">#REF!</definedName>
    <definedName name="refin">#REF!</definedName>
    <definedName name="Reinvest">#REF!</definedName>
    <definedName name="REmpExp" localSheetId="3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1">#REF!</definedName>
    <definedName name="REsc_Melawan" localSheetId="3">#REF!</definedName>
    <definedName name="REsc_Melawan" localSheetId="6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1">#REF!</definedName>
    <definedName name="RFHandling" localSheetId="3">#REF!</definedName>
    <definedName name="RFHandling" localSheetId="6">#REF!</definedName>
    <definedName name="RFHandling">#REF!</definedName>
    <definedName name="RFOREX" localSheetId="1">#REF!</definedName>
    <definedName name="RFOREX" localSheetId="3">#REF!</definedName>
    <definedName name="RFOREX" localSheetId="6">#REF!</definedName>
    <definedName name="RFOREX">#REF!</definedName>
    <definedName name="RFUEL" localSheetId="1">#REF!</definedName>
    <definedName name="RFUEL" localSheetId="3">#REF!</definedName>
    <definedName name="RFUEL" localSheetId="6">#REF!</definedName>
    <definedName name="RFUEL">#REF!</definedName>
    <definedName name="RFx" localSheetId="3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 localSheetId="3">#REF!</definedName>
    <definedName name="RMelawan_Price">#REF!</definedName>
    <definedName name="RMIX" localSheetId="3">#REF!</definedName>
    <definedName name="RMIX">#REF!</definedName>
    <definedName name="ROA">[16]List_ratios!#REF!</definedName>
    <definedName name="ROE">[16]List_ratios!#REF!</definedName>
    <definedName name="RONM" localSheetId="1">#REF!</definedName>
    <definedName name="RONM" localSheetId="3">#REF!</definedName>
    <definedName name="RONM" localSheetId="6">#REF!</definedName>
    <definedName name="RONM">#REF!</definedName>
    <definedName name="RPAF" localSheetId="3">#REF!</definedName>
    <definedName name="RPAF">#REF!</definedName>
    <definedName name="RPLF" localSheetId="3">#REF!</definedName>
    <definedName name="RPLF">#REF!</definedName>
    <definedName name="rr">[78]STATE!$A$2:$A$65536</definedName>
    <definedName name="rradj">nopatadj/capitaladj</definedName>
    <definedName name="RRTL_Int" localSheetId="1">#REF!</definedName>
    <definedName name="RRTL_Int" localSheetId="3">#REF!</definedName>
    <definedName name="RRTL_Int" localSheetId="6">#REF!</definedName>
    <definedName name="RRTL_Int">#REF!</definedName>
    <definedName name="Rsin">[79]Main!$B$2</definedName>
    <definedName name="RSL" localSheetId="1">#REF!</definedName>
    <definedName name="RSL" localSheetId="3">#REF!</definedName>
    <definedName name="RSL" localSheetId="6">#REF!</definedName>
    <definedName name="RSL">#REF!</definedName>
    <definedName name="RTariff" localSheetId="1">#REF!</definedName>
    <definedName name="RTariff" localSheetId="3">#REF!</definedName>
    <definedName name="RTariff" localSheetId="6">#REF!</definedName>
    <definedName name="RTariff">#REF!</definedName>
    <definedName name="RTL_BASE" localSheetId="1">[11]Input!#REF!</definedName>
    <definedName name="RTL_BASE" localSheetId="3">[11]Input!#REF!</definedName>
    <definedName name="RTL_BASE" localSheetId="6">[11]Input!#REF!</definedName>
    <definedName name="RTL_BASE">[11]Input!#REF!</definedName>
    <definedName name="RTL_INT_Base" localSheetId="1">#REF!</definedName>
    <definedName name="RTL_INT_Base" localSheetId="3">#REF!</definedName>
    <definedName name="RTL_INT_Base" localSheetId="6">#REF!</definedName>
    <definedName name="RTL_INT_Base">#REF!</definedName>
    <definedName name="RTL_INT_SEN" localSheetId="1">#REF!</definedName>
    <definedName name="RTL_INT_SEN" localSheetId="3">#REF!</definedName>
    <definedName name="RTL_INT_SEN" localSheetId="6">#REF!</definedName>
    <definedName name="RTL_INT_SEN">#REF!</definedName>
    <definedName name="RTransporation" localSheetId="1">#REF!</definedName>
    <definedName name="RTransporation" localSheetId="3">#REF!</definedName>
    <definedName name="RTransporation" localSheetId="6">#REF!</definedName>
    <definedName name="RTransporation">#REF!</definedName>
    <definedName name="RTransport" localSheetId="3">#REF!</definedName>
    <definedName name="RTransport">#REF!</definedName>
    <definedName name="RTransportation" localSheetId="3">#REF!</definedName>
    <definedName name="RTransportation">#REF!</definedName>
    <definedName name="S" localSheetId="3">#REF!</definedName>
    <definedName name="S">#REF!</definedName>
    <definedName name="S_0" localSheetId="3">#REF!</definedName>
    <definedName name="S_0">#REF!</definedName>
    <definedName name="S_0.5" localSheetId="3">#REF!</definedName>
    <definedName name="S_0.5">#REF!</definedName>
    <definedName name="S_1" localSheetId="3">#REF!</definedName>
    <definedName name="S_1">#REF!</definedName>
    <definedName name="S_10" localSheetId="3">#REF!</definedName>
    <definedName name="S_10">#REF!</definedName>
    <definedName name="S_11" localSheetId="3">#REF!</definedName>
    <definedName name="S_11">#REF!</definedName>
    <definedName name="S_12" localSheetId="3">#REF!</definedName>
    <definedName name="S_12">#REF!</definedName>
    <definedName name="S_13" localSheetId="3">#REF!</definedName>
    <definedName name="S_13">#REF!</definedName>
    <definedName name="S_14" localSheetId="3">#REF!</definedName>
    <definedName name="S_14">#REF!</definedName>
    <definedName name="S_15" localSheetId="3">#REF!</definedName>
    <definedName name="S_15">#REF!</definedName>
    <definedName name="S_16" localSheetId="3">#REF!</definedName>
    <definedName name="S_16">#REF!</definedName>
    <definedName name="S_17" localSheetId="3">#REF!</definedName>
    <definedName name="S_17">#REF!</definedName>
    <definedName name="S_18" localSheetId="3">#REF!</definedName>
    <definedName name="S_18">#REF!</definedName>
    <definedName name="S_19" localSheetId="3">#REF!</definedName>
    <definedName name="S_19">#REF!</definedName>
    <definedName name="S_2" localSheetId="3">#REF!</definedName>
    <definedName name="S_2">#REF!</definedName>
    <definedName name="S_20" localSheetId="3">#REF!</definedName>
    <definedName name="S_20">#REF!</definedName>
    <definedName name="S_21" localSheetId="3">#REF!</definedName>
    <definedName name="S_21">#REF!</definedName>
    <definedName name="S_22" localSheetId="3">#REF!</definedName>
    <definedName name="S_22">#REF!</definedName>
    <definedName name="S_23" localSheetId="3">#REF!</definedName>
    <definedName name="S_23">#REF!</definedName>
    <definedName name="S_24" localSheetId="3">#REF!</definedName>
    <definedName name="S_24">#REF!</definedName>
    <definedName name="S_25" localSheetId="3">#REF!</definedName>
    <definedName name="S_25">#REF!</definedName>
    <definedName name="S_26" localSheetId="3">#REF!</definedName>
    <definedName name="S_26">#REF!</definedName>
    <definedName name="S_27" localSheetId="3">#REF!</definedName>
    <definedName name="S_27">#REF!</definedName>
    <definedName name="S_28" localSheetId="3">#REF!</definedName>
    <definedName name="S_28">#REF!</definedName>
    <definedName name="S_29" localSheetId="3">#REF!</definedName>
    <definedName name="S_29">#REF!</definedName>
    <definedName name="S_3" localSheetId="3">#REF!</definedName>
    <definedName name="S_3">#REF!</definedName>
    <definedName name="S_30" localSheetId="3">#REF!</definedName>
    <definedName name="S_30">#REF!</definedName>
    <definedName name="S_4" localSheetId="3">#REF!</definedName>
    <definedName name="S_4">#REF!</definedName>
    <definedName name="S_5" localSheetId="3">#REF!</definedName>
    <definedName name="S_5">#REF!</definedName>
    <definedName name="S_6" localSheetId="3">#REF!</definedName>
    <definedName name="S_6">#REF!</definedName>
    <definedName name="S_7" localSheetId="3">#REF!</definedName>
    <definedName name="S_7">#REF!</definedName>
    <definedName name="S_8" localSheetId="3">#REF!</definedName>
    <definedName name="S_8">#REF!</definedName>
    <definedName name="S_9" localSheetId="3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 localSheetId="3">'[39]04REL'!#REF!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[80]Net!#REF!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1">#REF!</definedName>
    <definedName name="sdsdsdsd" localSheetId="3">#REF!</definedName>
    <definedName name="sdsdsdsd" localSheetId="6">#REF!</definedName>
    <definedName name="sdsdsdsd">#REF!</definedName>
    <definedName name="sdsfszsfzs" localSheetId="1">#REF!,#REF!</definedName>
    <definedName name="sdsfszsfzs" localSheetId="3">#REF!,#REF!</definedName>
    <definedName name="sdsfszsfzs" localSheetId="6">#REF!,#REF!</definedName>
    <definedName name="sdsfszsfzs">#REF!,#REF!</definedName>
    <definedName name="SE_NAME">""</definedName>
    <definedName name="SECOAL" localSheetId="1">#REF!</definedName>
    <definedName name="SECOAL" localSheetId="3">#REF!</definedName>
    <definedName name="SECOAL" localSheetId="6">#REF!</definedName>
    <definedName name="SECOAL">#REF!</definedName>
    <definedName name="SECTOR_LIST">[71]SECTOR!$A$2:$A$65536</definedName>
    <definedName name="SELECT" localSheetId="1">#REF!</definedName>
    <definedName name="SELECT" localSheetId="3">#REF!</definedName>
    <definedName name="SELECT" localSheetId="6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1">#REF!</definedName>
    <definedName name="SEOREP" localSheetId="3">#REF!</definedName>
    <definedName name="SEOREP" localSheetId="6">#REF!</definedName>
    <definedName name="SEOREP">#REF!</definedName>
    <definedName name="SEREPORT" localSheetId="1">#REF!</definedName>
    <definedName name="SEREPORT" localSheetId="3">#REF!</definedName>
    <definedName name="SEREPORT" localSheetId="6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[81]SUMMERY!$P$1</definedName>
    <definedName name="shshshsh" localSheetId="1">#REF!,#REF!</definedName>
    <definedName name="shshshsh" localSheetId="3">#REF!,#REF!</definedName>
    <definedName name="shshshsh" localSheetId="6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1">[11]Input!#REF!</definedName>
    <definedName name="SL" localSheetId="3">[11]Input!#REF!</definedName>
    <definedName name="SL" localSheetId="6">[11]Input!#REF!</definedName>
    <definedName name="SL">[11]Input!#REF!</definedName>
    <definedName name="SL_Base" localSheetId="1">#REF!</definedName>
    <definedName name="SL_Base" localSheetId="3">#REF!</definedName>
    <definedName name="SL_Base" localSheetId="6">#REF!</definedName>
    <definedName name="SL_Base">#REF!</definedName>
    <definedName name="SL_SEN" localSheetId="1">#REF!</definedName>
    <definedName name="SL_SEN" localSheetId="3">#REF!</definedName>
    <definedName name="SL_SEN" localSheetId="6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1">#REF!</definedName>
    <definedName name="SPV_DSCR" localSheetId="3">#REF!</definedName>
    <definedName name="SPV_DSCR" localSheetId="6">#REF!</definedName>
    <definedName name="SPV_DSCR">#REF!</definedName>
    <definedName name="SPV_Loan" localSheetId="3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1">#REF!</definedName>
    <definedName name="Stock" localSheetId="3">#REF!</definedName>
    <definedName name="Stock" localSheetId="6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[82]Assumptions!#REF!</definedName>
    <definedName name="STTC.STTPaid">'[6]80_'!$G$63</definedName>
    <definedName name="STTC.TaxPaySTTAvgRate">'[6]80_'!$G$62</definedName>
    <definedName name="sub_total" localSheetId="1">#REF!</definedName>
    <definedName name="sub_total" localSheetId="3">#REF!</definedName>
    <definedName name="sub_total" localSheetId="6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[83]BSPL!$A$655:$D$692</definedName>
    <definedName name="t" localSheetId="1">#REF!</definedName>
    <definedName name="t" localSheetId="3">#REF!</definedName>
    <definedName name="t" localSheetId="6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1">#REF!</definedName>
    <definedName name="Target" localSheetId="3">#REF!</definedName>
    <definedName name="Target" localSheetId="6">#REF!</definedName>
    <definedName name="Target">#REF!</definedName>
    <definedName name="Tariff">[23]Assumptions!$H$8</definedName>
    <definedName name="tariff_var_mod">[23]Assumptions!$L$37</definedName>
    <definedName name="TAX_DIFF" localSheetId="1">#REF!</definedName>
    <definedName name="TAX_DIFF" localSheetId="3">#REF!</definedName>
    <definedName name="TAX_DIFF" localSheetId="6">#REF!</definedName>
    <definedName name="TAX_DIFF">#REF!</definedName>
    <definedName name="TAX_PAS" localSheetId="1">#REF!</definedName>
    <definedName name="TAX_PAS" localSheetId="3">#REF!</definedName>
    <definedName name="TAX_PAS" localSheetId="6">#REF!</definedName>
    <definedName name="TAX_PAS">#REF!</definedName>
    <definedName name="Tax_Rate">'[84]TJC - Total'!$N$172</definedName>
    <definedName name="taxes">[85]wwww!$C$59:$C$62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1">#REF!</definedName>
    <definedName name="Taxrate12" localSheetId="3">#REF!</definedName>
    <definedName name="Taxrate12" localSheetId="6">#REF!</definedName>
    <definedName name="Taxrate12">#REF!</definedName>
    <definedName name="TCS.AmtTCSClaimedThisYear">[6]DDT_TDS_TCS!$F$1540:$F$1542</definedName>
    <definedName name="TDS">'[85]Consolidated-31-03-00'!#REF!</definedName>
    <definedName name="TDS2.ClaimOutOfTotTDSOnAmtPaid">[6]DDT_TDS_TCS!$H$21:$H$1533</definedName>
    <definedName name="TDSCR_FCSPV" localSheetId="1">#REF!</definedName>
    <definedName name="TDSCR_FCSPV" localSheetId="3">#REF!</definedName>
    <definedName name="TDSCR_FCSPV" localSheetId="6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1">#REF!</definedName>
    <definedName name="Tgt" localSheetId="3">#REF!</definedName>
    <definedName name="Tgt" localSheetId="6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1">#REF!</definedName>
    <definedName name="title" localSheetId="3">#REF!</definedName>
    <definedName name="title" localSheetId="6">#REF!</definedName>
    <definedName name="title">#REF!</definedName>
    <definedName name="Tolerance">0.0025</definedName>
    <definedName name="total_A" localSheetId="1">#REF!</definedName>
    <definedName name="total_A" localSheetId="3">#REF!</definedName>
    <definedName name="total_A" localSheetId="6">#REF!</definedName>
    <definedName name="total_A">#REF!</definedName>
    <definedName name="total_B" localSheetId="1">#REF!</definedName>
    <definedName name="total_B" localSheetId="3">#REF!</definedName>
    <definedName name="total_B" localSheetId="6">#REF!</definedName>
    <definedName name="total_B">#REF!</definedName>
    <definedName name="total_budget" localSheetId="1">#REF!</definedName>
    <definedName name="total_budget" localSheetId="3">#REF!</definedName>
    <definedName name="total_budget" localSheetId="6">#REF!</definedName>
    <definedName name="total_budget">#REF!</definedName>
    <definedName name="total_C" localSheetId="3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1">[11]Assumptions!#REF!</definedName>
    <definedName name="TPS" localSheetId="3">[11]Assumptions!#REF!</definedName>
    <definedName name="TPS" localSheetId="6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1">#REF!</definedName>
    <definedName name="Transportation_Base" localSheetId="3">#REF!</definedName>
    <definedName name="Transportation_Base" localSheetId="6">#REF!</definedName>
    <definedName name="Transportation_Base">#REF!</definedName>
    <definedName name="Transportation_SEN" localSheetId="1">#REF!</definedName>
    <definedName name="Transportation_SEN" localSheetId="3">#REF!</definedName>
    <definedName name="Transportation_SEN" localSheetId="6">#REF!</definedName>
    <definedName name="Transportation_SEN">#REF!</definedName>
    <definedName name="TRAVEL">#REF!</definedName>
    <definedName name="tripping" localSheetId="1">#REF!</definedName>
    <definedName name="tripping" localSheetId="3">#REF!</definedName>
    <definedName name="tripping" localSheetId="6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[86]Input!$D$385</definedName>
    <definedName name="uNIT1" localSheetId="1">#REF!</definedName>
    <definedName name="uNIT1" localSheetId="3">#REF!</definedName>
    <definedName name="uNIT1" localSheetId="6">#REF!</definedName>
    <definedName name="uNIT1">#REF!</definedName>
    <definedName name="uNIT2" localSheetId="1">#REF!</definedName>
    <definedName name="uNIT2" localSheetId="3">#REF!</definedName>
    <definedName name="uNIT2" localSheetId="6">#REF!</definedName>
    <definedName name="uNIT2">#REF!</definedName>
    <definedName name="uNIT3" localSheetId="1">#REF!</definedName>
    <definedName name="uNIT3" localSheetId="3">#REF!</definedName>
    <definedName name="uNIT3" localSheetId="6">#REF!</definedName>
    <definedName name="uNIT3">#REF!</definedName>
    <definedName name="units">[66]Company!$J$16</definedName>
    <definedName name="usa2data">#REF!</definedName>
    <definedName name="UScompanies">#REF!</definedName>
    <definedName name="USD" localSheetId="3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'[87]Determination of Threshold'!$B$3,'[87]Determination of Threshold'!$B$4,'[87]Determination of Threshold'!$B$15</definedName>
    <definedName name="Values_Entered">IF(Loan_Amount*Interest_Rate*Loan_Years*Loan_Start&gt;0,1,0)</definedName>
    <definedName name="ValuesBSA">[88]BS!$B$2:$O$3,[88]BS!$B$7:$O$13,[88]BS!$C$16:$O$17,[88]BS!$B$20:$O$20,[88]BS!$B$35:$O$37,[88]BS!$B$55:$O$55</definedName>
    <definedName name="ValuesBSL">#REF!,[87]BS!$C$24:$O$28,#REF!,#REF!,[87]BS!$B$42:$O$44</definedName>
    <definedName name="ValuesChecks">'[88]Checks &amp; Inputs'!$C$16:$O$17,'[88]Checks &amp; Inputs'!$B$2</definedName>
    <definedName name="ValuesIS">[87]IS!$B$2:$N$4,[87]IS!$B$7:$N$54,[87]IS!$B$60:$N$61,[87]IS!#REF!,[87]IS!$B$75:$N$75,[87]IS!#REF!,[87]IS!#REF!</definedName>
    <definedName name="VAR_1" localSheetId="1">#REF!</definedName>
    <definedName name="VAR_1" localSheetId="3">#REF!</definedName>
    <definedName name="VAR_1" localSheetId="6">#REF!</definedName>
    <definedName name="VAR_1">#REF!</definedName>
    <definedName name="VAR_10" localSheetId="1">#REF!</definedName>
    <definedName name="VAR_10" localSheetId="3">#REF!</definedName>
    <definedName name="VAR_10" localSheetId="6">#REF!</definedName>
    <definedName name="VAR_10">#REF!</definedName>
    <definedName name="VAR_11" localSheetId="1">#REF!</definedName>
    <definedName name="VAR_11" localSheetId="3">#REF!</definedName>
    <definedName name="VAR_11" localSheetId="6">#REF!</definedName>
    <definedName name="VAR_11">#REF!</definedName>
    <definedName name="VAR_12" localSheetId="3">#REF!</definedName>
    <definedName name="VAR_12">#REF!</definedName>
    <definedName name="VAR_13" localSheetId="3">#REF!</definedName>
    <definedName name="VAR_13">#REF!</definedName>
    <definedName name="VAR_14" localSheetId="3">#REF!</definedName>
    <definedName name="VAR_14">#REF!</definedName>
    <definedName name="VAR_15" localSheetId="3">#REF!</definedName>
    <definedName name="VAR_15">#REF!</definedName>
    <definedName name="VAR_16" localSheetId="3">#REF!</definedName>
    <definedName name="VAR_16">#REF!</definedName>
    <definedName name="VAR_17" localSheetId="3">#REF!</definedName>
    <definedName name="VAR_17">#REF!</definedName>
    <definedName name="VAR_18" localSheetId="3">#REF!</definedName>
    <definedName name="VAR_18">#REF!</definedName>
    <definedName name="VAR_19" localSheetId="3">#REF!</definedName>
    <definedName name="VAR_19">#REF!</definedName>
    <definedName name="VAR_2" localSheetId="3">#REF!</definedName>
    <definedName name="VAR_2">#REF!</definedName>
    <definedName name="VAR_20" localSheetId="3">#REF!</definedName>
    <definedName name="VAR_20">#REF!</definedName>
    <definedName name="VAR_21" localSheetId="3">#REF!</definedName>
    <definedName name="VAR_21">#REF!</definedName>
    <definedName name="VAR_22" localSheetId="3">#REF!</definedName>
    <definedName name="VAR_22">#REF!</definedName>
    <definedName name="VAR_23" localSheetId="3">#REF!</definedName>
    <definedName name="VAR_23">#REF!</definedName>
    <definedName name="VAR_24" localSheetId="3">#REF!</definedName>
    <definedName name="VAR_24">#REF!</definedName>
    <definedName name="VAR_25" localSheetId="3">#REF!</definedName>
    <definedName name="VAR_25">#REF!</definedName>
    <definedName name="VAR_26" localSheetId="3">#REF!</definedName>
    <definedName name="VAR_26">#REF!</definedName>
    <definedName name="VAR_27" localSheetId="3">#REF!</definedName>
    <definedName name="VAR_27">#REF!</definedName>
    <definedName name="VAR_28" localSheetId="3">#REF!</definedName>
    <definedName name="VAR_28">#REF!</definedName>
    <definedName name="VAR_29" localSheetId="3">#REF!</definedName>
    <definedName name="VAR_29">#REF!</definedName>
    <definedName name="VAR_3" localSheetId="3">#REF!</definedName>
    <definedName name="VAR_3">#REF!</definedName>
    <definedName name="VAR_30" localSheetId="3">#REF!</definedName>
    <definedName name="VAR_30">#REF!</definedName>
    <definedName name="VAR_4" localSheetId="3">#REF!</definedName>
    <definedName name="VAR_4">#REF!</definedName>
    <definedName name="VAR_5" localSheetId="3">#REF!</definedName>
    <definedName name="VAR_5">#REF!</definedName>
    <definedName name="VAR_6" localSheetId="3">#REF!</definedName>
    <definedName name="VAR_6">#REF!</definedName>
    <definedName name="VAR_7" localSheetId="3">#REF!</definedName>
    <definedName name="VAR_7">#REF!</definedName>
    <definedName name="VAR_8" localSheetId="3">#REF!</definedName>
    <definedName name="VAR_8">#REF!</definedName>
    <definedName name="VAR_9" localSheetId="3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[89]wwww!$C$59:$C$62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1">#REF!</definedName>
    <definedName name="W" localSheetId="3">#REF!</definedName>
    <definedName name="W" localSheetId="6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1">#REF!</definedName>
    <definedName name="WEEK_1A" localSheetId="3">#REF!</definedName>
    <definedName name="WEEK_1A" localSheetId="6">#REF!</definedName>
    <definedName name="WEEK_1A">#REF!</definedName>
    <definedName name="WEEK_1B" localSheetId="1">#REF!</definedName>
    <definedName name="WEEK_1B" localSheetId="3">#REF!</definedName>
    <definedName name="WEEK_1B" localSheetId="6">#REF!</definedName>
    <definedName name="WEEK_1B">#REF!</definedName>
    <definedName name="WEEK_2A" localSheetId="3">#REF!</definedName>
    <definedName name="WEEK_2A">#REF!</definedName>
    <definedName name="WEEK_2B" localSheetId="3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1">#REF!</definedName>
    <definedName name="X1_" localSheetId="3">#REF!</definedName>
    <definedName name="X1_" localSheetId="6">#REF!</definedName>
    <definedName name="X1_">#REF!</definedName>
    <definedName name="X11__?___QUIT_" localSheetId="1">#REF!</definedName>
    <definedName name="X11__?___QUIT_" localSheetId="3">#REF!</definedName>
    <definedName name="X11__?___QUIT_" localSheetId="6">#REF!</definedName>
    <definedName name="X11__?___QUIT_">#REF!</definedName>
    <definedName name="xc">[90]Company!$J$16</definedName>
    <definedName name="xcxcxcc" localSheetId="1">#REF!</definedName>
    <definedName name="xcxcxcc" localSheetId="3">#REF!</definedName>
    <definedName name="xcxcxcc" localSheetId="6">#REF!</definedName>
    <definedName name="xcxcxcc">#REF!</definedName>
    <definedName name="xcxvxv" localSheetId="1">'[39]04REL'!#REF!</definedName>
    <definedName name="xcxvxv" localSheetId="3">'[39]04REL'!#REF!</definedName>
    <definedName name="xcxvxv" localSheetId="6">'[39]04REL'!#REF!</definedName>
    <definedName name="xcxvxv">'[39]04REL'!#REF!</definedName>
    <definedName name="xczczczc" localSheetId="1">#REF!</definedName>
    <definedName name="xczczczc" localSheetId="3">#REF!</definedName>
    <definedName name="xczczczc" localSheetId="6">#REF!</definedName>
    <definedName name="xczczczc">#REF!</definedName>
    <definedName name="xczxzxz" localSheetId="1">#REF!,#REF!</definedName>
    <definedName name="xczxzxz" localSheetId="3">#REF!,#REF!</definedName>
    <definedName name="xczxzxz" localSheetId="6">#REF!,#REF!</definedName>
    <definedName name="xczxzxz">#REF!,#REF!</definedName>
    <definedName name="xfzdsfzsf" localSheetId="1">#REF!</definedName>
    <definedName name="xfzdsfzsf" localSheetId="3">#REF!</definedName>
    <definedName name="xfzdsfzsf" localSheetId="6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'[90]cost of sales'!#REF!</definedName>
    <definedName name="XRefCopy21" hidden="1">'[90]cost of sales'!#REF!</definedName>
    <definedName name="XRefCopy22" hidden="1">'[90]cost of sales'!#REF!</definedName>
    <definedName name="XRefCopy23" hidden="1">'[90]cost of sales'!#REF!</definedName>
    <definedName name="XRefCopy24" hidden="1">'[90]cost of sales'!#REF!</definedName>
    <definedName name="XRefCopy24Row" hidden="1">[91]XREF!#REF!</definedName>
    <definedName name="XRefCopy25" hidden="1">'[90]cost of sales'!#REF!</definedName>
    <definedName name="XRefCopy26" hidden="1">'[90]cost of sales'!#REF!</definedName>
    <definedName name="XRefCopy2Row" hidden="1">[92]XREF!#REF!</definedName>
    <definedName name="XRefCopy3" hidden="1">#REF!</definedName>
    <definedName name="XRefCopy3Row" hidden="1">[92]XREF!#REF!</definedName>
    <definedName name="XRefCopy4" hidden="1">#REF!</definedName>
    <definedName name="XRefCopy4Row" hidden="1">#REF!</definedName>
    <definedName name="XRefCopy5" hidden="1">#REF!</definedName>
    <definedName name="XRefCopy59" hidden="1">'[90]cost of sales'!#REF!</definedName>
    <definedName name="XRefCopy5Row" hidden="1">#REF!</definedName>
    <definedName name="XRefCopy6" hidden="1">#REF!</definedName>
    <definedName name="XRefCopy62" hidden="1">'[90]cost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[92]XREF!#REF!</definedName>
    <definedName name="XRefPaste2" hidden="1">#REF!</definedName>
    <definedName name="XRefPaste2Row" hidden="1">[92]XREF!#REF!</definedName>
    <definedName name="XRefPaste3" hidden="1">#REF!</definedName>
    <definedName name="XRefPaste31Row" hidden="1">#REF!</definedName>
    <definedName name="XRefPaste3Row" hidden="1">[92]XREF!#REF!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1" hidden="1">[93]CE!#REF!</definedName>
    <definedName name="xxxx" localSheetId="3" hidden="1">[93]CE!#REF!</definedName>
    <definedName name="xxxx" localSheetId="6" hidden="1">[93]CE!#REF!</definedName>
    <definedName name="xxxx" hidden="1">[93]CE!#REF!</definedName>
    <definedName name="xzxzxcxc" localSheetId="1">#REF!</definedName>
    <definedName name="xzxzxcxc" localSheetId="3">#REF!</definedName>
    <definedName name="xzxzxcxc" localSheetId="6">#REF!</definedName>
    <definedName name="xzxzxcxc">#REF!</definedName>
    <definedName name="year" localSheetId="1">#REF!</definedName>
    <definedName name="year" localSheetId="3">#REF!</definedName>
    <definedName name="year" localSheetId="6">#REF!</definedName>
    <definedName name="year">#REF!</definedName>
    <definedName name="Year1" localSheetId="1">#REF!</definedName>
    <definedName name="Year1" localSheetId="3">#REF!</definedName>
    <definedName name="Year1" localSheetId="6">#REF!</definedName>
    <definedName name="Year1">#REF!</definedName>
    <definedName name="year2011" localSheetId="3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1">#REF!</definedName>
    <definedName name="ygshjshua" localSheetId="3">#REF!</definedName>
    <definedName name="ygshjshua" localSheetId="6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1">#REF!</definedName>
    <definedName name="zbhh" localSheetId="3">#REF!</definedName>
    <definedName name="zbhh">#REF!</definedName>
    <definedName name="zzxxx" localSheetId="1">#REF!,#REF!</definedName>
    <definedName name="zzxxx" localSheetId="3">#REF!,#REF!</definedName>
    <definedName name="zzxxx" localSheetId="6">#REF!,#REF!</definedName>
    <definedName name="zzxxx">#REF!,#REF!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I23" i="9" l="1"/>
  <c r="H23" i="9"/>
  <c r="G23" i="9"/>
  <c r="F23" i="9"/>
  <c r="E23" i="9"/>
  <c r="D23" i="9"/>
  <c r="C23" i="9"/>
  <c r="I20" i="9"/>
  <c r="H20" i="9"/>
  <c r="G20" i="9"/>
  <c r="F20" i="9"/>
  <c r="E20" i="9"/>
  <c r="D20" i="9"/>
  <c r="C20" i="9"/>
  <c r="I16" i="9"/>
  <c r="H16" i="9"/>
  <c r="G16" i="9"/>
  <c r="F16" i="9"/>
  <c r="E16" i="9"/>
  <c r="D16" i="9"/>
  <c r="C16" i="9"/>
  <c r="I11" i="9"/>
  <c r="H11" i="9"/>
  <c r="G11" i="9"/>
  <c r="F11" i="9"/>
  <c r="E11" i="9"/>
  <c r="D11" i="9"/>
  <c r="C11" i="9"/>
  <c r="I6" i="9"/>
  <c r="H6" i="9"/>
  <c r="G6" i="9"/>
  <c r="F6" i="9"/>
  <c r="E6" i="9"/>
  <c r="D6" i="9"/>
  <c r="C6" i="9"/>
  <c r="I4" i="9"/>
  <c r="I8" i="9" s="1"/>
  <c r="I9" i="9" s="1"/>
  <c r="H4" i="9"/>
  <c r="H8" i="9" s="1"/>
  <c r="G4" i="9"/>
  <c r="F4" i="9"/>
  <c r="F8" i="9" s="1"/>
  <c r="E4" i="9"/>
  <c r="E8" i="9" s="1"/>
  <c r="E9" i="9" s="1"/>
  <c r="D4" i="9"/>
  <c r="D8" i="9" s="1"/>
  <c r="C4" i="9"/>
  <c r="F13" i="9" l="1"/>
  <c r="F9" i="9"/>
  <c r="C8" i="9"/>
  <c r="C13" i="9" s="1"/>
  <c r="G8" i="9"/>
  <c r="G13" i="9" s="1"/>
  <c r="F18" i="9"/>
  <c r="F14" i="9"/>
  <c r="C9" i="9"/>
  <c r="D9" i="9"/>
  <c r="D13" i="9"/>
  <c r="H9" i="9"/>
  <c r="H13" i="9"/>
  <c r="E13" i="9"/>
  <c r="I13" i="9"/>
  <c r="G9" i="9" l="1"/>
  <c r="I14" i="9"/>
  <c r="I18" i="9"/>
  <c r="C14" i="9"/>
  <c r="C18" i="9"/>
  <c r="H14" i="9"/>
  <c r="H18" i="9"/>
  <c r="D14" i="9"/>
  <c r="D18" i="9"/>
  <c r="E14" i="9"/>
  <c r="E18" i="9"/>
  <c r="G18" i="9"/>
  <c r="G14" i="9"/>
  <c r="F22" i="9"/>
  <c r="F25" i="9" s="1"/>
  <c r="F26" i="9" s="1"/>
  <c r="F19" i="9"/>
  <c r="D19" i="9" l="1"/>
  <c r="D22" i="9"/>
  <c r="D25" i="9" s="1"/>
  <c r="D26" i="9" s="1"/>
  <c r="C19" i="9"/>
  <c r="C22" i="9"/>
  <c r="C25" i="9" s="1"/>
  <c r="C26" i="9" s="1"/>
  <c r="G19" i="9"/>
  <c r="G22" i="9"/>
  <c r="G25" i="9" s="1"/>
  <c r="G26" i="9" s="1"/>
  <c r="E22" i="9"/>
  <c r="E25" i="9" s="1"/>
  <c r="E26" i="9" s="1"/>
  <c r="E19" i="9"/>
  <c r="H22" i="9"/>
  <c r="H25" i="9" s="1"/>
  <c r="H26" i="9" s="1"/>
  <c r="H19" i="9"/>
  <c r="I22" i="9"/>
  <c r="I25" i="9" s="1"/>
  <c r="I26" i="9" s="1"/>
  <c r="I19" i="9"/>
  <c r="D44" i="8" l="1"/>
  <c r="B33" i="8" s="1"/>
  <c r="N126" i="1"/>
  <c r="N121" i="1"/>
  <c r="N116" i="1"/>
  <c r="C98" i="1"/>
  <c r="C99" i="1"/>
  <c r="C95" i="1"/>
  <c r="B76" i="1" l="1"/>
  <c r="C75" i="1"/>
  <c r="C77" i="1" s="1"/>
  <c r="B41" i="8" s="1"/>
  <c r="B75" i="1"/>
  <c r="M78" i="7"/>
  <c r="N76" i="7" s="1"/>
  <c r="H120" i="1"/>
  <c r="I120" i="1"/>
  <c r="J120" i="1"/>
  <c r="G120" i="1"/>
  <c r="B77" i="1" l="1"/>
  <c r="M84" i="7"/>
  <c r="M89" i="7" s="1"/>
  <c r="D41" i="8" l="1"/>
  <c r="B32" i="8"/>
  <c r="N38" i="7"/>
  <c r="N37" i="7"/>
  <c r="N36" i="7"/>
  <c r="N77" i="7" s="1"/>
  <c r="B61" i="7"/>
  <c r="C5" i="6" l="1"/>
  <c r="C67" i="1"/>
  <c r="B72" i="1"/>
  <c r="D75" i="6" s="1"/>
  <c r="B67" i="1"/>
  <c r="L125" i="1"/>
  <c r="L120" i="1" s="1"/>
  <c r="M125" i="1"/>
  <c r="M120" i="1" s="1"/>
  <c r="K125" i="1"/>
  <c r="K120" i="1" s="1"/>
  <c r="B83" i="1"/>
  <c r="B84" i="1" s="1"/>
  <c r="M82" i="1"/>
  <c r="L82" i="1"/>
  <c r="K82" i="1"/>
  <c r="J82" i="1"/>
  <c r="I82" i="1"/>
  <c r="H82" i="1"/>
  <c r="G82" i="1"/>
  <c r="F82" i="1"/>
  <c r="E82" i="1"/>
  <c r="D82" i="1"/>
  <c r="C82" i="1"/>
  <c r="D74" i="6" l="1"/>
  <c r="C92" i="1"/>
  <c r="C109" i="1"/>
  <c r="C104" i="1"/>
  <c r="M57" i="1"/>
  <c r="M58" i="1" s="1"/>
  <c r="L57" i="1"/>
  <c r="L58" i="1" s="1"/>
  <c r="K57" i="1"/>
  <c r="K58" i="1" s="1"/>
  <c r="D108" i="3" l="1"/>
  <c r="D109" i="3" s="1"/>
  <c r="B104" i="3"/>
  <c r="E102" i="3"/>
  <c r="D98" i="3"/>
  <c r="D99" i="3" s="1"/>
  <c r="B94" i="3"/>
  <c r="E92" i="3"/>
  <c r="D88" i="3"/>
  <c r="D89" i="3" s="1"/>
  <c r="B84" i="3"/>
  <c r="E82" i="3"/>
  <c r="F82" i="3" s="1"/>
  <c r="G2" i="9"/>
  <c r="H2" i="9" s="1"/>
  <c r="I2" i="9" s="1"/>
  <c r="F102" i="3" l="1"/>
  <c r="F92" i="3"/>
  <c r="F84" i="3"/>
  <c r="F104" i="3" l="1"/>
  <c r="F94" i="3"/>
  <c r="F26" i="1" l="1"/>
  <c r="F24" i="1"/>
  <c r="B35" i="8" l="1"/>
  <c r="R140" i="3" l="1"/>
  <c r="O140" i="3"/>
  <c r="N140" i="3"/>
  <c r="M140" i="3"/>
  <c r="K140" i="3"/>
  <c r="J140" i="3"/>
  <c r="I140" i="3"/>
  <c r="H140" i="3"/>
  <c r="E140" i="3"/>
  <c r="D140" i="3"/>
  <c r="S139" i="3"/>
  <c r="R139" i="3"/>
  <c r="O139" i="3"/>
  <c r="N139" i="3"/>
  <c r="M139" i="3"/>
  <c r="K139" i="3"/>
  <c r="J139" i="3"/>
  <c r="I139" i="3"/>
  <c r="H139" i="3"/>
  <c r="E139" i="3"/>
  <c r="D139" i="3"/>
  <c r="C74" i="6" l="1"/>
  <c r="C76" i="6" s="1"/>
  <c r="D61" i="6"/>
  <c r="D60" i="6"/>
  <c r="C60" i="6"/>
  <c r="C62" i="6" s="1"/>
  <c r="B65" i="6" s="1"/>
  <c r="D47" i="6"/>
  <c r="D46" i="6"/>
  <c r="C46" i="6"/>
  <c r="C48" i="6" s="1"/>
  <c r="B51" i="6" s="1"/>
  <c r="D33" i="6"/>
  <c r="D32" i="6"/>
  <c r="C32" i="6"/>
  <c r="C34" i="6" s="1"/>
  <c r="B37" i="6" s="1"/>
  <c r="D19" i="6"/>
  <c r="D18" i="6"/>
  <c r="C19" i="6"/>
  <c r="C18" i="6"/>
  <c r="F76" i="6"/>
  <c r="E75" i="6"/>
  <c r="E74" i="6"/>
  <c r="F62" i="6"/>
  <c r="E61" i="6"/>
  <c r="E60" i="6"/>
  <c r="F48" i="6"/>
  <c r="E47" i="6"/>
  <c r="E46" i="6"/>
  <c r="F34" i="6"/>
  <c r="E33" i="6"/>
  <c r="E32" i="6"/>
  <c r="B74" i="3"/>
  <c r="B66" i="3"/>
  <c r="K80" i="6" l="1"/>
  <c r="D80" i="6"/>
  <c r="H80" i="6"/>
  <c r="L80" i="6"/>
  <c r="E80" i="6"/>
  <c r="I80" i="6"/>
  <c r="M80" i="6"/>
  <c r="B80" i="6"/>
  <c r="F80" i="6"/>
  <c r="J80" i="6"/>
  <c r="B79" i="6"/>
  <c r="C80" i="6"/>
  <c r="G80" i="6"/>
  <c r="D76" i="6"/>
  <c r="N81" i="6" s="1"/>
  <c r="D62" i="6"/>
  <c r="B67" i="6" s="1"/>
  <c r="D48" i="6"/>
  <c r="B53" i="6" s="1"/>
  <c r="D34" i="6"/>
  <c r="B39" i="6" s="1"/>
  <c r="B81" i="6" l="1"/>
  <c r="B82" i="6"/>
  <c r="C79" i="6" s="1"/>
  <c r="E64" i="3"/>
  <c r="C82" i="6" l="1"/>
  <c r="D79" i="6" s="1"/>
  <c r="C81" i="6"/>
  <c r="D70" i="3"/>
  <c r="N83" i="7"/>
  <c r="D78" i="3"/>
  <c r="E72" i="3"/>
  <c r="E75" i="3" s="1"/>
  <c r="E67" i="3"/>
  <c r="F64" i="3"/>
  <c r="D82" i="6" l="1"/>
  <c r="E79" i="6" s="1"/>
  <c r="D81" i="6"/>
  <c r="E69" i="3"/>
  <c r="E70" i="3" s="1"/>
  <c r="O36" i="7"/>
  <c r="F72" i="3"/>
  <c r="F75" i="3" s="1"/>
  <c r="E77" i="3"/>
  <c r="D79" i="3"/>
  <c r="F67" i="3"/>
  <c r="G64" i="3"/>
  <c r="E82" i="6" l="1"/>
  <c r="F79" i="6" s="1"/>
  <c r="E81" i="6"/>
  <c r="O83" i="7"/>
  <c r="O77" i="7"/>
  <c r="F69" i="3"/>
  <c r="F70" i="3" s="1"/>
  <c r="P36" i="7"/>
  <c r="G72" i="3"/>
  <c r="G75" i="3" s="1"/>
  <c r="F77" i="3"/>
  <c r="E78" i="3"/>
  <c r="E79" i="3" s="1"/>
  <c r="H64" i="3"/>
  <c r="G67" i="3"/>
  <c r="F82" i="6" l="1"/>
  <c r="G79" i="6" s="1"/>
  <c r="F81" i="6"/>
  <c r="P83" i="7"/>
  <c r="P77" i="7"/>
  <c r="G69" i="3"/>
  <c r="G70" i="3" s="1"/>
  <c r="Q36" i="7"/>
  <c r="G77" i="3"/>
  <c r="G78" i="3" s="1"/>
  <c r="H72" i="3"/>
  <c r="H75" i="3" s="1"/>
  <c r="F78" i="3"/>
  <c r="F79" i="3" s="1"/>
  <c r="I64" i="3"/>
  <c r="H67" i="3"/>
  <c r="G82" i="6" l="1"/>
  <c r="H79" i="6" s="1"/>
  <c r="G81" i="6"/>
  <c r="Q83" i="7"/>
  <c r="Q77" i="7"/>
  <c r="H69" i="3"/>
  <c r="H70" i="3" s="1"/>
  <c r="R36" i="7"/>
  <c r="H77" i="3"/>
  <c r="H78" i="3" s="1"/>
  <c r="I72" i="3"/>
  <c r="I75" i="3" s="1"/>
  <c r="G79" i="3"/>
  <c r="I67" i="3"/>
  <c r="J64" i="3"/>
  <c r="H82" i="6" l="1"/>
  <c r="I79" i="6" s="1"/>
  <c r="H81" i="6"/>
  <c r="R83" i="7"/>
  <c r="R77" i="7"/>
  <c r="I69" i="3"/>
  <c r="I70" i="3" s="1"/>
  <c r="S36" i="7"/>
  <c r="J72" i="3"/>
  <c r="J75" i="3" s="1"/>
  <c r="I77" i="3"/>
  <c r="H79" i="3"/>
  <c r="K64" i="3"/>
  <c r="J67" i="3"/>
  <c r="J69" i="3" s="1"/>
  <c r="J70" i="3" s="1"/>
  <c r="I82" i="6" l="1"/>
  <c r="J79" i="6" s="1"/>
  <c r="I81" i="6"/>
  <c r="S83" i="7"/>
  <c r="S77" i="7"/>
  <c r="T36" i="7"/>
  <c r="K72" i="3"/>
  <c r="K75" i="3" s="1"/>
  <c r="J77" i="3"/>
  <c r="I78" i="3"/>
  <c r="I79" i="3" s="1"/>
  <c r="L64" i="3"/>
  <c r="K67" i="3"/>
  <c r="K69" i="3" s="1"/>
  <c r="K70" i="3" s="1"/>
  <c r="J82" i="6" l="1"/>
  <c r="K79" i="6" s="1"/>
  <c r="J81" i="6"/>
  <c r="T83" i="7"/>
  <c r="T77" i="7"/>
  <c r="U36" i="7"/>
  <c r="J78" i="3"/>
  <c r="J79" i="3" s="1"/>
  <c r="K77" i="3"/>
  <c r="L72" i="3"/>
  <c r="L75" i="3" s="1"/>
  <c r="M64" i="3"/>
  <c r="L67" i="3"/>
  <c r="L69" i="3" s="1"/>
  <c r="L70" i="3" s="1"/>
  <c r="K82" i="6" l="1"/>
  <c r="L79" i="6" s="1"/>
  <c r="K81" i="6"/>
  <c r="U83" i="7"/>
  <c r="U77" i="7"/>
  <c r="V36" i="7"/>
  <c r="K78" i="3"/>
  <c r="K79" i="3" s="1"/>
  <c r="L77" i="3"/>
  <c r="L78" i="3" s="1"/>
  <c r="M72" i="3"/>
  <c r="M75" i="3" s="1"/>
  <c r="M67" i="3"/>
  <c r="M69" i="3" s="1"/>
  <c r="M70" i="3" s="1"/>
  <c r="N64" i="3"/>
  <c r="L82" i="6" l="1"/>
  <c r="M79" i="6" s="1"/>
  <c r="L81" i="6"/>
  <c r="V83" i="7"/>
  <c r="V77" i="7"/>
  <c r="W36" i="7"/>
  <c r="L79" i="3"/>
  <c r="N72" i="3"/>
  <c r="N75" i="3" s="1"/>
  <c r="M77" i="3"/>
  <c r="O64" i="3"/>
  <c r="N67" i="3"/>
  <c r="N69" i="3" s="1"/>
  <c r="N70" i="3" s="1"/>
  <c r="M82" i="6" l="1"/>
  <c r="M81" i="6"/>
  <c r="W83" i="7"/>
  <c r="W77" i="7"/>
  <c r="X36" i="7"/>
  <c r="O72" i="3"/>
  <c r="O75" i="3" s="1"/>
  <c r="N77" i="3"/>
  <c r="N78" i="3" s="1"/>
  <c r="M78" i="3"/>
  <c r="M79" i="3" s="1"/>
  <c r="P64" i="3"/>
  <c r="O67" i="3"/>
  <c r="O69" i="3" s="1"/>
  <c r="O70" i="3" s="1"/>
  <c r="X83" i="7" l="1"/>
  <c r="X77" i="7"/>
  <c r="Y36" i="7"/>
  <c r="N79" i="3"/>
  <c r="O77" i="3"/>
  <c r="P72" i="3"/>
  <c r="Q64" i="3"/>
  <c r="P67" i="3"/>
  <c r="P69" i="3" s="1"/>
  <c r="P70" i="3" s="1"/>
  <c r="Y83" i="7" l="1"/>
  <c r="Y77" i="7"/>
  <c r="Z36" i="7"/>
  <c r="P75" i="3"/>
  <c r="P74" i="3"/>
  <c r="Q72" i="3" s="1"/>
  <c r="Q75" i="3" s="1"/>
  <c r="O78" i="3"/>
  <c r="Q67" i="3"/>
  <c r="Q69" i="3" s="1"/>
  <c r="Q70" i="3" s="1"/>
  <c r="R64" i="3"/>
  <c r="Z83" i="7" l="1"/>
  <c r="Z77" i="7"/>
  <c r="AA36" i="7"/>
  <c r="O79" i="3"/>
  <c r="P76" i="3"/>
  <c r="P77" i="3" s="1"/>
  <c r="P78" i="3" s="1"/>
  <c r="R72" i="3"/>
  <c r="R75" i="3" s="1"/>
  <c r="S64" i="3"/>
  <c r="R67" i="3"/>
  <c r="R69" i="3" s="1"/>
  <c r="R70" i="3" s="1"/>
  <c r="AA83" i="7" l="1"/>
  <c r="AA77" i="7"/>
  <c r="P79" i="3"/>
  <c r="Q77" i="3"/>
  <c r="Q78" i="3" s="1"/>
  <c r="Q79" i="3" s="1"/>
  <c r="S72" i="3"/>
  <c r="S75" i="3" s="1"/>
  <c r="R77" i="3" l="1"/>
  <c r="R78" i="3" s="1"/>
  <c r="S74" i="3"/>
  <c r="R79" i="3" l="1"/>
  <c r="S76" i="3"/>
  <c r="S77" i="3" s="1"/>
  <c r="S79" i="3" l="1"/>
  <c r="S78" i="3"/>
  <c r="C61" i="1" l="1"/>
  <c r="J57" i="1"/>
  <c r="J58" i="1" s="1"/>
  <c r="I57" i="1"/>
  <c r="I58" i="1" s="1"/>
  <c r="H57" i="1"/>
  <c r="H58" i="1" s="1"/>
  <c r="G57" i="1"/>
  <c r="G58" i="1" s="1"/>
  <c r="A19" i="7"/>
  <c r="A12" i="7"/>
  <c r="P31" i="7" l="1"/>
  <c r="T31" i="7"/>
  <c r="X31" i="7"/>
  <c r="Q31" i="7"/>
  <c r="U31" i="7"/>
  <c r="Y31" i="7"/>
  <c r="N31" i="7"/>
  <c r="R31" i="7"/>
  <c r="V31" i="7"/>
  <c r="Z31" i="7"/>
  <c r="O31" i="7"/>
  <c r="S31" i="7"/>
  <c r="W31" i="7"/>
  <c r="AA31" i="7"/>
  <c r="S2" i="8"/>
  <c r="S1" i="8"/>
  <c r="C43" i="1" l="1"/>
  <c r="C47" i="1"/>
  <c r="N48" i="1" s="1"/>
  <c r="O48" i="1" s="1"/>
  <c r="P48" i="1" s="1"/>
  <c r="Q48" i="1" s="1"/>
  <c r="R48" i="1" s="1"/>
  <c r="P14" i="7" l="1"/>
  <c r="O14" i="7"/>
  <c r="R14" i="7"/>
  <c r="N14" i="7"/>
  <c r="Q14" i="7"/>
  <c r="W21" i="7"/>
  <c r="S21" i="7"/>
  <c r="O21" i="7"/>
  <c r="V21" i="7"/>
  <c r="R21" i="7"/>
  <c r="N21" i="7"/>
  <c r="U21" i="7"/>
  <c r="Q21" i="7"/>
  <c r="T21" i="7"/>
  <c r="P21" i="7"/>
  <c r="S48" i="1"/>
  <c r="T48" i="1" s="1"/>
  <c r="U48" i="1" s="1"/>
  <c r="V48" i="1" s="1"/>
  <c r="W48" i="1" s="1"/>
  <c r="C33" i="1"/>
  <c r="C35" i="1" s="1"/>
  <c r="C36" i="1" s="1"/>
  <c r="C31" i="1"/>
  <c r="C37" i="1" l="1"/>
  <c r="T14" i="7"/>
  <c r="U14" i="7"/>
  <c r="W14" i="7"/>
  <c r="S14" i="7"/>
  <c r="V14" i="7"/>
  <c r="C32" i="1"/>
  <c r="X48" i="1"/>
  <c r="Y48" i="1" s="1"/>
  <c r="Z48" i="1" s="1"/>
  <c r="AA48" i="1" s="1"/>
  <c r="AB48" i="1" s="1"/>
  <c r="O38" i="7"/>
  <c r="P38" i="7" s="1"/>
  <c r="Q38" i="7" s="1"/>
  <c r="R38" i="7" s="1"/>
  <c r="S38" i="7" s="1"/>
  <c r="T38" i="7" s="1"/>
  <c r="U38" i="7" s="1"/>
  <c r="V38" i="7" s="1"/>
  <c r="W38" i="7" s="1"/>
  <c r="X38" i="7" s="1"/>
  <c r="Y38" i="7" s="1"/>
  <c r="Z38" i="7" s="1"/>
  <c r="AA38" i="7" s="1"/>
  <c r="O37" i="7"/>
  <c r="P37" i="7" s="1"/>
  <c r="Q37" i="7" s="1"/>
  <c r="R37" i="7" s="1"/>
  <c r="S37" i="7" s="1"/>
  <c r="T37" i="7" s="1"/>
  <c r="U37" i="7" s="1"/>
  <c r="V37" i="7" s="1"/>
  <c r="W37" i="7" s="1"/>
  <c r="X37" i="7" s="1"/>
  <c r="Y37" i="7" s="1"/>
  <c r="Z37" i="7" s="1"/>
  <c r="AA37" i="7" s="1"/>
  <c r="AA21" i="7" l="1"/>
  <c r="AB21" i="7"/>
  <c r="Z21" i="7"/>
  <c r="X21" i="7"/>
  <c r="Y21" i="7"/>
  <c r="B132" i="3"/>
  <c r="B114" i="3"/>
  <c r="E105" i="3" l="1"/>
  <c r="E107" i="3" s="1"/>
  <c r="F105" i="3"/>
  <c r="E95" i="3"/>
  <c r="E97" i="3" s="1"/>
  <c r="F95" i="3"/>
  <c r="F85" i="3"/>
  <c r="E85" i="3"/>
  <c r="E87" i="3" s="1"/>
  <c r="E108" i="3" l="1"/>
  <c r="F106" i="3" s="1"/>
  <c r="F107" i="3" s="1"/>
  <c r="E98" i="3"/>
  <c r="F96" i="3" s="1"/>
  <c r="F97" i="3" s="1"/>
  <c r="F99" i="3" s="1"/>
  <c r="E88" i="3"/>
  <c r="E89" i="3" s="1"/>
  <c r="E112" i="3"/>
  <c r="E115" i="3" s="1"/>
  <c r="F109" i="3" l="1"/>
  <c r="E109" i="3"/>
  <c r="E99" i="3"/>
  <c r="F86" i="3"/>
  <c r="F87" i="3" s="1"/>
  <c r="E130" i="3"/>
  <c r="E133" i="3" s="1"/>
  <c r="F89" i="3" l="1"/>
  <c r="F130" i="3"/>
  <c r="F133" i="3" s="1"/>
  <c r="F112" i="3"/>
  <c r="F115" i="3" l="1"/>
  <c r="F114" i="3"/>
  <c r="G130" i="3"/>
  <c r="G132" i="3" s="1"/>
  <c r="G133" i="3" l="1"/>
  <c r="C105" i="1" l="1"/>
  <c r="E55" i="3"/>
  <c r="F55" i="3" s="1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C20" i="6"/>
  <c r="F20" i="6"/>
  <c r="E19" i="6"/>
  <c r="E18" i="6"/>
  <c r="B68" i="6" l="1"/>
  <c r="C65" i="6" s="1"/>
  <c r="B54" i="6"/>
  <c r="C51" i="6" s="1"/>
  <c r="B40" i="6"/>
  <c r="C37" i="6" s="1"/>
  <c r="C39" i="6" s="1"/>
  <c r="S59" i="3"/>
  <c r="S57" i="3"/>
  <c r="S61" i="3" s="1"/>
  <c r="B23" i="6"/>
  <c r="D20" i="6"/>
  <c r="C54" i="6" l="1"/>
  <c r="D51" i="6" s="1"/>
  <c r="C53" i="6"/>
  <c r="B25" i="6"/>
  <c r="C68" i="6"/>
  <c r="D65" i="6" s="1"/>
  <c r="D67" i="6" s="1"/>
  <c r="C67" i="6"/>
  <c r="C40" i="6"/>
  <c r="D37" i="6" s="1"/>
  <c r="D68" i="6" l="1"/>
  <c r="E65" i="6" s="1"/>
  <c r="D40" i="6"/>
  <c r="E37" i="6" s="1"/>
  <c r="E39" i="6" s="1"/>
  <c r="D39" i="6"/>
  <c r="D54" i="6"/>
  <c r="E51" i="6" s="1"/>
  <c r="D53" i="6"/>
  <c r="F1" i="1"/>
  <c r="G1" i="1" s="1"/>
  <c r="E40" i="6" l="1"/>
  <c r="F37" i="6" s="1"/>
  <c r="F40" i="6" s="1"/>
  <c r="G37" i="6" s="1"/>
  <c r="E54" i="6"/>
  <c r="F51" i="6" s="1"/>
  <c r="E53" i="6"/>
  <c r="E68" i="6"/>
  <c r="F65" i="6" s="1"/>
  <c r="E67" i="6"/>
  <c r="F39" i="6"/>
  <c r="N80" i="6"/>
  <c r="N82" i="6" s="1"/>
  <c r="O79" i="6" s="1"/>
  <c r="O80" i="6" s="1"/>
  <c r="O82" i="6" s="1"/>
  <c r="P79" i="6" s="1"/>
  <c r="P80" i="6" s="1"/>
  <c r="P82" i="6" s="1"/>
  <c r="F68" i="6" l="1"/>
  <c r="G65" i="6" s="1"/>
  <c r="F67" i="6"/>
  <c r="F54" i="6"/>
  <c r="G51" i="6" s="1"/>
  <c r="F53" i="6"/>
  <c r="G40" i="6"/>
  <c r="H37" i="6" s="1"/>
  <c r="G39" i="6"/>
  <c r="A41" i="8"/>
  <c r="A40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G1" i="7"/>
  <c r="F1" i="7"/>
  <c r="A4" i="7"/>
  <c r="A3" i="7"/>
  <c r="A2" i="7"/>
  <c r="A1" i="7"/>
  <c r="G54" i="6" l="1"/>
  <c r="H51" i="6" s="1"/>
  <c r="G53" i="6"/>
  <c r="G68" i="6"/>
  <c r="H65" i="6" s="1"/>
  <c r="G67" i="6"/>
  <c r="H40" i="6"/>
  <c r="I37" i="6" s="1"/>
  <c r="H39" i="6"/>
  <c r="C86" i="1"/>
  <c r="C12" i="1"/>
  <c r="C18" i="1" s="1"/>
  <c r="C14" i="1"/>
  <c r="C16" i="1" s="1"/>
  <c r="C17" i="1" s="1"/>
  <c r="H68" i="6" l="1"/>
  <c r="I65" i="6" s="1"/>
  <c r="H67" i="6"/>
  <c r="H54" i="6"/>
  <c r="I51" i="6" s="1"/>
  <c r="H53" i="6"/>
  <c r="I40" i="6"/>
  <c r="J37" i="6" s="1"/>
  <c r="I39" i="6"/>
  <c r="F83" i="3"/>
  <c r="F103" i="3"/>
  <c r="F93" i="3"/>
  <c r="F113" i="3"/>
  <c r="C13" i="1"/>
  <c r="G131" i="3"/>
  <c r="F6" i="6"/>
  <c r="E5" i="6"/>
  <c r="E4" i="6"/>
  <c r="D5" i="6"/>
  <c r="D4" i="6"/>
  <c r="J39" i="6" l="1"/>
  <c r="I54" i="6"/>
  <c r="I53" i="6"/>
  <c r="I68" i="6"/>
  <c r="J65" i="6" s="1"/>
  <c r="I67" i="6"/>
  <c r="J38" i="6"/>
  <c r="J40" i="6" s="1"/>
  <c r="K37" i="6" s="1"/>
  <c r="G92" i="3"/>
  <c r="F98" i="3"/>
  <c r="G102" i="3"/>
  <c r="F108" i="3"/>
  <c r="F139" i="3"/>
  <c r="G112" i="3"/>
  <c r="G82" i="3"/>
  <c r="F88" i="3"/>
  <c r="H130" i="3"/>
  <c r="H133" i="3" s="1"/>
  <c r="G139" i="3"/>
  <c r="G4" i="1"/>
  <c r="F4" i="7"/>
  <c r="B26" i="6"/>
  <c r="C23" i="6" s="1"/>
  <c r="C25" i="6" s="1"/>
  <c r="K40" i="6" l="1"/>
  <c r="L37" i="6" s="1"/>
  <c r="J67" i="6"/>
  <c r="J66" i="6"/>
  <c r="J68" i="6" s="1"/>
  <c r="K65" i="6" s="1"/>
  <c r="K68" i="6" s="1"/>
  <c r="L65" i="6" s="1"/>
  <c r="L68" i="6" s="1"/>
  <c r="M65" i="6" s="1"/>
  <c r="M66" i="6" s="1"/>
  <c r="M68" i="6" s="1"/>
  <c r="N65" i="6" s="1"/>
  <c r="N66" i="6" s="1"/>
  <c r="N68" i="6" s="1"/>
  <c r="O65" i="6" s="1"/>
  <c r="O66" i="6" s="1"/>
  <c r="O68" i="6" s="1"/>
  <c r="P65" i="6" s="1"/>
  <c r="P66" i="6" s="1"/>
  <c r="P68" i="6" s="1"/>
  <c r="J51" i="6"/>
  <c r="J52" i="6"/>
  <c r="H82" i="3"/>
  <c r="G85" i="3"/>
  <c r="G87" i="3" s="1"/>
  <c r="G88" i="3" s="1"/>
  <c r="H102" i="3"/>
  <c r="G105" i="3"/>
  <c r="G107" i="3" s="1"/>
  <c r="G108" i="3" s="1"/>
  <c r="G109" i="3" s="1"/>
  <c r="G115" i="3"/>
  <c r="H112" i="3"/>
  <c r="H92" i="3"/>
  <c r="G95" i="3"/>
  <c r="G97" i="3" s="1"/>
  <c r="G98" i="3" s="1"/>
  <c r="G99" i="3" s="1"/>
  <c r="I130" i="3"/>
  <c r="I133" i="3" s="1"/>
  <c r="G4" i="7"/>
  <c r="G3" i="1"/>
  <c r="G121" i="1" s="1"/>
  <c r="C26" i="6"/>
  <c r="D23" i="6" s="1"/>
  <c r="D25" i="6" s="1"/>
  <c r="L40" i="6" l="1"/>
  <c r="M37" i="6"/>
  <c r="M40" i="6" s="1"/>
  <c r="J53" i="6"/>
  <c r="J54" i="6"/>
  <c r="K51" i="6" s="1"/>
  <c r="G126" i="1"/>
  <c r="G116" i="1"/>
  <c r="H115" i="3"/>
  <c r="I112" i="3"/>
  <c r="I102" i="3"/>
  <c r="H105" i="3"/>
  <c r="H107" i="3" s="1"/>
  <c r="G89" i="3"/>
  <c r="H95" i="3"/>
  <c r="H97" i="3" s="1"/>
  <c r="I92" i="3"/>
  <c r="I82" i="3"/>
  <c r="H85" i="3"/>
  <c r="H87" i="3" s="1"/>
  <c r="J130" i="3"/>
  <c r="K130" i="3" s="1"/>
  <c r="D26" i="6"/>
  <c r="E23" i="6" s="1"/>
  <c r="E25" i="6" s="1"/>
  <c r="N37" i="6" l="1"/>
  <c r="N40" i="6" s="1"/>
  <c r="O37" i="6" s="1"/>
  <c r="O40" i="6" s="1"/>
  <c r="P37" i="6" s="1"/>
  <c r="P40" i="6" s="1"/>
  <c r="K54" i="6"/>
  <c r="L51" i="6" s="1"/>
  <c r="H88" i="3"/>
  <c r="H89" i="3" s="1"/>
  <c r="J133" i="3"/>
  <c r="H98" i="3"/>
  <c r="H99" i="3" s="1"/>
  <c r="I105" i="3"/>
  <c r="I107" i="3" s="1"/>
  <c r="J102" i="3"/>
  <c r="I115" i="3"/>
  <c r="J112" i="3"/>
  <c r="I95" i="3"/>
  <c r="I97" i="3" s="1"/>
  <c r="J92" i="3"/>
  <c r="J82" i="3"/>
  <c r="I85" i="3"/>
  <c r="I87" i="3" s="1"/>
  <c r="H108" i="3"/>
  <c r="H109" i="3" s="1"/>
  <c r="K133" i="3"/>
  <c r="L130" i="3"/>
  <c r="E26" i="6"/>
  <c r="F23" i="6" s="1"/>
  <c r="F25" i="6" s="1"/>
  <c r="L54" i="6" l="1"/>
  <c r="M51" i="6" s="1"/>
  <c r="M54" i="6" s="1"/>
  <c r="N51" i="6" s="1"/>
  <c r="N54" i="6" s="1"/>
  <c r="O51" i="6" s="1"/>
  <c r="O54" i="6" s="1"/>
  <c r="P51" i="6" s="1"/>
  <c r="P54" i="6" s="1"/>
  <c r="I98" i="3"/>
  <c r="I99" i="3" s="1"/>
  <c r="I108" i="3"/>
  <c r="I109" i="3" s="1"/>
  <c r="I88" i="3"/>
  <c r="I89" i="3" s="1"/>
  <c r="J85" i="3"/>
  <c r="J87" i="3" s="1"/>
  <c r="K82" i="3"/>
  <c r="J115" i="3"/>
  <c r="K112" i="3"/>
  <c r="K102" i="3"/>
  <c r="J105" i="3"/>
  <c r="J107" i="3" s="1"/>
  <c r="J95" i="3"/>
  <c r="J97" i="3" s="1"/>
  <c r="K92" i="3"/>
  <c r="L133" i="3"/>
  <c r="L132" i="3"/>
  <c r="L131" i="3"/>
  <c r="L139" i="3" s="1"/>
  <c r="F26" i="6"/>
  <c r="G23" i="6" s="1"/>
  <c r="G25" i="6" s="1"/>
  <c r="J88" i="3" l="1"/>
  <c r="J89" i="3" s="1"/>
  <c r="J98" i="3"/>
  <c r="J99" i="3" s="1"/>
  <c r="J108" i="3"/>
  <c r="J109" i="3" s="1"/>
  <c r="K95" i="3"/>
  <c r="K97" i="3" s="1"/>
  <c r="L92" i="3"/>
  <c r="L102" i="3"/>
  <c r="K105" i="3"/>
  <c r="K107" i="3" s="1"/>
  <c r="L82" i="3"/>
  <c r="K85" i="3"/>
  <c r="K87" i="3" s="1"/>
  <c r="K115" i="3"/>
  <c r="L112" i="3"/>
  <c r="M130" i="3"/>
  <c r="M133" i="3" s="1"/>
  <c r="G26" i="6"/>
  <c r="H23" i="6" s="1"/>
  <c r="H25" i="6" s="1"/>
  <c r="B6" i="6"/>
  <c r="C6" i="6"/>
  <c r="C10" i="5" l="1"/>
  <c r="B42" i="8" s="1"/>
  <c r="L10" i="6"/>
  <c r="I10" i="6"/>
  <c r="M10" i="6"/>
  <c r="J10" i="6"/>
  <c r="K10" i="6"/>
  <c r="K98" i="3"/>
  <c r="K99" i="3" s="1"/>
  <c r="K108" i="3"/>
  <c r="K109" i="3" s="1"/>
  <c r="K88" i="3"/>
  <c r="K89" i="3" s="1"/>
  <c r="M92" i="3"/>
  <c r="L95" i="3"/>
  <c r="L97" i="3" s="1"/>
  <c r="L105" i="3"/>
  <c r="L107" i="3" s="1"/>
  <c r="M102" i="3"/>
  <c r="L115" i="3"/>
  <c r="M112" i="3"/>
  <c r="M82" i="3"/>
  <c r="L85" i="3"/>
  <c r="L87" i="3" s="1"/>
  <c r="C41" i="8"/>
  <c r="C40" i="8"/>
  <c r="H10" i="6"/>
  <c r="G10" i="6"/>
  <c r="C10" i="6"/>
  <c r="F10" i="6"/>
  <c r="E10" i="6"/>
  <c r="B10" i="6"/>
  <c r="D10" i="6"/>
  <c r="N130" i="3"/>
  <c r="N133" i="3" s="1"/>
  <c r="H26" i="6"/>
  <c r="I23" i="6" s="1"/>
  <c r="I25" i="6" s="1"/>
  <c r="B9" i="6"/>
  <c r="D6" i="6"/>
  <c r="I3" i="5"/>
  <c r="J6" i="5"/>
  <c r="D6" i="5"/>
  <c r="K39" i="6" l="1"/>
  <c r="L39" i="6"/>
  <c r="C12" i="5"/>
  <c r="C21" i="5" s="1"/>
  <c r="C24" i="5" s="1"/>
  <c r="K53" i="6"/>
  <c r="L53" i="6"/>
  <c r="L88" i="3"/>
  <c r="L89" i="3" s="1"/>
  <c r="L108" i="3"/>
  <c r="L109" i="3" s="1"/>
  <c r="L98" i="3"/>
  <c r="L99" i="3" s="1"/>
  <c r="M85" i="3"/>
  <c r="M87" i="3" s="1"/>
  <c r="N82" i="3"/>
  <c r="M105" i="3"/>
  <c r="M107" i="3" s="1"/>
  <c r="N102" i="3"/>
  <c r="M95" i="3"/>
  <c r="M97" i="3" s="1"/>
  <c r="N92" i="3"/>
  <c r="M115" i="3"/>
  <c r="N112" i="3"/>
  <c r="O81" i="6"/>
  <c r="P81" i="6"/>
  <c r="K67" i="6"/>
  <c r="L67" i="6"/>
  <c r="M67" i="6"/>
  <c r="N67" i="6"/>
  <c r="O67" i="6"/>
  <c r="P67" i="6"/>
  <c r="M53" i="6"/>
  <c r="N53" i="6"/>
  <c r="O53" i="6"/>
  <c r="P53" i="6"/>
  <c r="M39" i="6"/>
  <c r="N39" i="6"/>
  <c r="O39" i="6"/>
  <c r="P39" i="6"/>
  <c r="O130" i="3"/>
  <c r="O133" i="3" s="1"/>
  <c r="I26" i="6"/>
  <c r="B11" i="6"/>
  <c r="B12" i="6"/>
  <c r="C9" i="6" s="1"/>
  <c r="K3" i="5"/>
  <c r="M88" i="3" l="1"/>
  <c r="M89" i="3" s="1"/>
  <c r="M98" i="3"/>
  <c r="M99" i="3" s="1"/>
  <c r="M108" i="3"/>
  <c r="M109" i="3" s="1"/>
  <c r="O102" i="3"/>
  <c r="N105" i="3"/>
  <c r="N107" i="3" s="1"/>
  <c r="N85" i="3"/>
  <c r="N87" i="3" s="1"/>
  <c r="O82" i="3"/>
  <c r="N95" i="3"/>
  <c r="N97" i="3" s="1"/>
  <c r="O92" i="3"/>
  <c r="N115" i="3"/>
  <c r="O112" i="3"/>
  <c r="B84" i="6"/>
  <c r="N45" i="7" s="1"/>
  <c r="J24" i="6"/>
  <c r="J23" i="6"/>
  <c r="J26" i="6" s="1"/>
  <c r="K23" i="6" s="1"/>
  <c r="K26" i="6" s="1"/>
  <c r="L23" i="6" s="1"/>
  <c r="L26" i="6" s="1"/>
  <c r="M23" i="6" s="1"/>
  <c r="M26" i="6" s="1"/>
  <c r="P130" i="3"/>
  <c r="P133" i="3" s="1"/>
  <c r="C12" i="6"/>
  <c r="J25" i="6" l="1"/>
  <c r="N98" i="3"/>
  <c r="N99" i="3" s="1"/>
  <c r="N88" i="3"/>
  <c r="N89" i="3" s="1"/>
  <c r="N108" i="3"/>
  <c r="N109" i="3" s="1"/>
  <c r="P82" i="3"/>
  <c r="O85" i="3"/>
  <c r="O87" i="3" s="1"/>
  <c r="O88" i="3" s="1"/>
  <c r="P102" i="3"/>
  <c r="O105" i="3"/>
  <c r="O107" i="3" s="1"/>
  <c r="O95" i="3"/>
  <c r="O97" i="3" s="1"/>
  <c r="P92" i="3"/>
  <c r="O115" i="3"/>
  <c r="P112" i="3"/>
  <c r="Q130" i="3"/>
  <c r="Q133" i="3" s="1"/>
  <c r="D9" i="6"/>
  <c r="C11" i="6"/>
  <c r="K25" i="6" l="1"/>
  <c r="O108" i="3"/>
  <c r="O98" i="3"/>
  <c r="O89" i="3"/>
  <c r="P83" i="3"/>
  <c r="Q82" i="3" s="1"/>
  <c r="P84" i="3"/>
  <c r="P85" i="3"/>
  <c r="P86" i="3" s="1"/>
  <c r="P87" i="3" s="1"/>
  <c r="P94" i="3"/>
  <c r="P93" i="3"/>
  <c r="P95" i="3"/>
  <c r="P104" i="3"/>
  <c r="P103" i="3"/>
  <c r="P105" i="3"/>
  <c r="P114" i="3"/>
  <c r="P113" i="3"/>
  <c r="P115" i="3"/>
  <c r="C84" i="6"/>
  <c r="O45" i="7" s="1"/>
  <c r="Q132" i="3"/>
  <c r="Q131" i="3"/>
  <c r="Q139" i="3" s="1"/>
  <c r="L25" i="6"/>
  <c r="D12" i="6"/>
  <c r="D11" i="6"/>
  <c r="Q102" i="3" l="1"/>
  <c r="Q105" i="3" s="1"/>
  <c r="P96" i="3"/>
  <c r="P97" i="3" s="1"/>
  <c r="Q92" i="3"/>
  <c r="P139" i="3"/>
  <c r="Q85" i="3"/>
  <c r="R82" i="3"/>
  <c r="R92" i="3"/>
  <c r="Q95" i="3"/>
  <c r="Q87" i="3"/>
  <c r="Q88" i="3" s="1"/>
  <c r="Q89" i="3" s="1"/>
  <c r="P89" i="3"/>
  <c r="R102" i="3"/>
  <c r="P106" i="3"/>
  <c r="P107" i="3" s="1"/>
  <c r="P88" i="3"/>
  <c r="O99" i="3"/>
  <c r="Q112" i="3"/>
  <c r="O109" i="3"/>
  <c r="D84" i="6"/>
  <c r="P45" i="7" s="1"/>
  <c r="R130" i="3"/>
  <c r="R133" i="3" s="1"/>
  <c r="E9" i="6"/>
  <c r="E121" i="3"/>
  <c r="R105" i="3" l="1"/>
  <c r="S102" i="3"/>
  <c r="R85" i="3"/>
  <c r="R87" i="3" s="1"/>
  <c r="R88" i="3" s="1"/>
  <c r="S82" i="3"/>
  <c r="P99" i="3"/>
  <c r="Q97" i="3"/>
  <c r="P98" i="3"/>
  <c r="Q107" i="3"/>
  <c r="P109" i="3"/>
  <c r="Q115" i="3"/>
  <c r="R112" i="3"/>
  <c r="R95" i="3"/>
  <c r="S92" i="3"/>
  <c r="P108" i="3"/>
  <c r="S130" i="3"/>
  <c r="E12" i="6"/>
  <c r="E11" i="6"/>
  <c r="N23" i="6" l="1"/>
  <c r="N25" i="6" s="1"/>
  <c r="M25" i="6"/>
  <c r="R89" i="3"/>
  <c r="S94" i="3"/>
  <c r="R97" i="3"/>
  <c r="Q98" i="3"/>
  <c r="Q99" i="3" s="1"/>
  <c r="R107" i="3"/>
  <c r="Q108" i="3"/>
  <c r="Q109" i="3" s="1"/>
  <c r="S112" i="3"/>
  <c r="S114" i="3" s="1"/>
  <c r="R115" i="3"/>
  <c r="S104" i="3"/>
  <c r="S84" i="3"/>
  <c r="E84" i="6"/>
  <c r="Q45" i="7" s="1"/>
  <c r="S132" i="3"/>
  <c r="F121" i="3"/>
  <c r="G121" i="3" s="1"/>
  <c r="F9" i="6"/>
  <c r="R108" i="3" l="1"/>
  <c r="R98" i="3"/>
  <c r="N26" i="6"/>
  <c r="O23" i="6" s="1"/>
  <c r="O25" i="6" s="1"/>
  <c r="N84" i="6"/>
  <c r="Z45" i="7" s="1"/>
  <c r="F12" i="6"/>
  <c r="F11" i="6"/>
  <c r="H121" i="3"/>
  <c r="R109" i="3" l="1"/>
  <c r="R99" i="3"/>
  <c r="F84" i="6"/>
  <c r="R45" i="7" s="1"/>
  <c r="O26" i="6"/>
  <c r="P23" i="6" s="1"/>
  <c r="P25" i="6" s="1"/>
  <c r="O84" i="6"/>
  <c r="AA45" i="7" s="1"/>
  <c r="G9" i="6"/>
  <c r="I121" i="3"/>
  <c r="P26" i="6" l="1"/>
  <c r="P84" i="6"/>
  <c r="AB45" i="7" s="1"/>
  <c r="G11" i="6"/>
  <c r="G12" i="6"/>
  <c r="C106" i="1"/>
  <c r="AB33" i="7" s="1"/>
  <c r="A50" i="3"/>
  <c r="H1" i="1"/>
  <c r="B123" i="3"/>
  <c r="F38" i="3"/>
  <c r="F42" i="3" s="1"/>
  <c r="F37" i="3"/>
  <c r="F41" i="3" s="1"/>
  <c r="F36" i="3"/>
  <c r="F40" i="3" s="1"/>
  <c r="F33" i="3"/>
  <c r="F45" i="3" s="1"/>
  <c r="F32" i="3"/>
  <c r="F44" i="3" s="1"/>
  <c r="F29" i="3"/>
  <c r="L28" i="3"/>
  <c r="L27" i="3"/>
  <c r="L25" i="3"/>
  <c r="L24" i="3"/>
  <c r="K23" i="3"/>
  <c r="K26" i="3" s="1"/>
  <c r="K29" i="3" s="1"/>
  <c r="J23" i="3"/>
  <c r="J26" i="3" s="1"/>
  <c r="J29" i="3" s="1"/>
  <c r="I23" i="3"/>
  <c r="I26" i="3" s="1"/>
  <c r="I29" i="3" s="1"/>
  <c r="H23" i="3"/>
  <c r="H26" i="3" s="1"/>
  <c r="H29" i="3" s="1"/>
  <c r="G23" i="3"/>
  <c r="G26" i="3" s="1"/>
  <c r="G29" i="3" s="1"/>
  <c r="E23" i="3"/>
  <c r="E26" i="3" s="1"/>
  <c r="E29" i="3" s="1"/>
  <c r="D23" i="3"/>
  <c r="D26" i="3" s="1"/>
  <c r="D29" i="3" s="1"/>
  <c r="L22" i="3"/>
  <c r="L21" i="3"/>
  <c r="L20" i="3"/>
  <c r="F17" i="3"/>
  <c r="F34" i="3" s="1"/>
  <c r="F46" i="3" s="1"/>
  <c r="L16" i="3"/>
  <c r="L14" i="3"/>
  <c r="L12" i="3"/>
  <c r="L10" i="3"/>
  <c r="K9" i="3"/>
  <c r="K36" i="3" s="1"/>
  <c r="K40" i="3" s="1"/>
  <c r="J9" i="3"/>
  <c r="J36" i="3" s="1"/>
  <c r="J40" i="3" s="1"/>
  <c r="I9" i="3"/>
  <c r="I37" i="3" s="1"/>
  <c r="I41" i="3" s="1"/>
  <c r="H9" i="3"/>
  <c r="H36" i="3" s="1"/>
  <c r="H40" i="3" s="1"/>
  <c r="G9" i="3"/>
  <c r="G36" i="3" s="1"/>
  <c r="G40" i="3" s="1"/>
  <c r="E9" i="3"/>
  <c r="E37" i="3" s="1"/>
  <c r="E41" i="3" s="1"/>
  <c r="D9" i="3"/>
  <c r="D36" i="3" s="1"/>
  <c r="D40" i="3" s="1"/>
  <c r="L8" i="3"/>
  <c r="L7" i="3"/>
  <c r="L6" i="3"/>
  <c r="L5" i="3"/>
  <c r="G84" i="6" l="1"/>
  <c r="S45" i="7" s="1"/>
  <c r="I1" i="1"/>
  <c r="I1" i="7" s="1"/>
  <c r="H1" i="7"/>
  <c r="H9" i="6"/>
  <c r="K2" i="7"/>
  <c r="D141" i="3"/>
  <c r="E124" i="3"/>
  <c r="E141" i="3" s="1"/>
  <c r="F124" i="3"/>
  <c r="F141" i="3" s="1"/>
  <c r="G124" i="3"/>
  <c r="G141" i="3" s="1"/>
  <c r="H124" i="3"/>
  <c r="H141" i="3" s="1"/>
  <c r="I124" i="3"/>
  <c r="I141" i="3" s="1"/>
  <c r="L9" i="3"/>
  <c r="L37" i="3" s="1"/>
  <c r="L41" i="3" s="1"/>
  <c r="D61" i="3"/>
  <c r="L26" i="3"/>
  <c r="L29" i="3"/>
  <c r="D13" i="3"/>
  <c r="I13" i="3"/>
  <c r="L23" i="3"/>
  <c r="J32" i="3"/>
  <c r="J44" i="3" s="1"/>
  <c r="E36" i="3"/>
  <c r="E40" i="3" s="1"/>
  <c r="I36" i="3"/>
  <c r="I40" i="3" s="1"/>
  <c r="J37" i="3"/>
  <c r="J41" i="3" s="1"/>
  <c r="E13" i="3"/>
  <c r="J13" i="3"/>
  <c r="G32" i="3"/>
  <c r="G44" i="3" s="1"/>
  <c r="K32" i="3"/>
  <c r="K44" i="3" s="1"/>
  <c r="G37" i="3"/>
  <c r="G41" i="3" s="1"/>
  <c r="K37" i="3"/>
  <c r="K41" i="3" s="1"/>
  <c r="G13" i="3"/>
  <c r="K13" i="3"/>
  <c r="D32" i="3"/>
  <c r="D44" i="3" s="1"/>
  <c r="H32" i="3"/>
  <c r="H44" i="3" s="1"/>
  <c r="D37" i="3"/>
  <c r="D41" i="3" s="1"/>
  <c r="H37" i="3"/>
  <c r="H41" i="3" s="1"/>
  <c r="H13" i="3"/>
  <c r="E32" i="3"/>
  <c r="E44" i="3" s="1"/>
  <c r="I32" i="3"/>
  <c r="I44" i="3" s="1"/>
  <c r="J1" i="1" l="1"/>
  <c r="J1" i="7" s="1"/>
  <c r="J17" i="8"/>
  <c r="H12" i="6"/>
  <c r="H11" i="6"/>
  <c r="L2" i="7"/>
  <c r="L13" i="3"/>
  <c r="L38" i="3" s="1"/>
  <c r="L42" i="3" s="1"/>
  <c r="L36" i="3"/>
  <c r="L40" i="3" s="1"/>
  <c r="G17" i="3"/>
  <c r="G34" i="3" s="1"/>
  <c r="G46" i="3" s="1"/>
  <c r="G38" i="3"/>
  <c r="G42" i="3" s="1"/>
  <c r="G33" i="3"/>
  <c r="G45" i="3" s="1"/>
  <c r="E61" i="3"/>
  <c r="H38" i="3"/>
  <c r="H42" i="3" s="1"/>
  <c r="H33" i="3"/>
  <c r="H45" i="3" s="1"/>
  <c r="H17" i="3"/>
  <c r="H34" i="3" s="1"/>
  <c r="H46" i="3" s="1"/>
  <c r="J38" i="3"/>
  <c r="J42" i="3" s="1"/>
  <c r="J33" i="3"/>
  <c r="J45" i="3" s="1"/>
  <c r="J17" i="3"/>
  <c r="J34" i="3" s="1"/>
  <c r="J46" i="3" s="1"/>
  <c r="I38" i="3"/>
  <c r="I42" i="3" s="1"/>
  <c r="I33" i="3"/>
  <c r="I45" i="3" s="1"/>
  <c r="I17" i="3"/>
  <c r="I34" i="3" s="1"/>
  <c r="I46" i="3" s="1"/>
  <c r="E38" i="3"/>
  <c r="E42" i="3" s="1"/>
  <c r="E33" i="3"/>
  <c r="E45" i="3" s="1"/>
  <c r="E17" i="3"/>
  <c r="E34" i="3" s="1"/>
  <c r="E46" i="3" s="1"/>
  <c r="D38" i="3"/>
  <c r="D42" i="3" s="1"/>
  <c r="D33" i="3"/>
  <c r="D45" i="3" s="1"/>
  <c r="D17" i="3"/>
  <c r="D34" i="3" s="1"/>
  <c r="D46" i="3" s="1"/>
  <c r="K38" i="3"/>
  <c r="K42" i="3" s="1"/>
  <c r="K17" i="3"/>
  <c r="K34" i="3" s="1"/>
  <c r="K46" i="3" s="1"/>
  <c r="K33" i="3"/>
  <c r="K45" i="3" s="1"/>
  <c r="L32" i="3"/>
  <c r="L44" i="3" s="1"/>
  <c r="H84" i="6" l="1"/>
  <c r="T45" i="7" s="1"/>
  <c r="K1" i="1"/>
  <c r="K1" i="7" s="1"/>
  <c r="I9" i="6"/>
  <c r="E13" i="8"/>
  <c r="N42" i="7"/>
  <c r="M2" i="7"/>
  <c r="L17" i="3"/>
  <c r="F61" i="3"/>
  <c r="L34" i="3"/>
  <c r="L33" i="3"/>
  <c r="L45" i="3" s="1"/>
  <c r="L1" i="1" l="1"/>
  <c r="L1" i="7" s="1"/>
  <c r="D136" i="3"/>
  <c r="D137" i="3" s="1"/>
  <c r="E135" i="3"/>
  <c r="I12" i="6"/>
  <c r="I11" i="6"/>
  <c r="O2" i="1"/>
  <c r="N2" i="7"/>
  <c r="D127" i="3"/>
  <c r="E126" i="3" s="1"/>
  <c r="E17" i="8"/>
  <c r="L46" i="3"/>
  <c r="G61" i="3"/>
  <c r="I84" i="6" l="1"/>
  <c r="U45" i="7" s="1"/>
  <c r="M1" i="1"/>
  <c r="M1" i="7" s="1"/>
  <c r="E136" i="3"/>
  <c r="E137" i="3" s="1"/>
  <c r="F135" i="3"/>
  <c r="J9" i="6"/>
  <c r="O42" i="7"/>
  <c r="F13" i="8"/>
  <c r="P2" i="1"/>
  <c r="O2" i="7"/>
  <c r="E127" i="3"/>
  <c r="E128" i="3" s="1"/>
  <c r="F126" i="3"/>
  <c r="D128" i="3"/>
  <c r="H61" i="3"/>
  <c r="D118" i="3" l="1"/>
  <c r="E117" i="3" s="1"/>
  <c r="N1" i="1"/>
  <c r="N1" i="7" s="1"/>
  <c r="D50" i="3"/>
  <c r="F136" i="3"/>
  <c r="J11" i="6"/>
  <c r="J12" i="6"/>
  <c r="Q2" i="1"/>
  <c r="P2" i="7"/>
  <c r="G126" i="3"/>
  <c r="F127" i="3"/>
  <c r="F128" i="3" s="1"/>
  <c r="I61" i="3"/>
  <c r="J84" i="6" l="1"/>
  <c r="V45" i="7" s="1"/>
  <c r="O1" i="1"/>
  <c r="O1" i="7" s="1"/>
  <c r="E118" i="3"/>
  <c r="D119" i="3"/>
  <c r="E50" i="3"/>
  <c r="F137" i="3"/>
  <c r="G134" i="3"/>
  <c r="K9" i="6"/>
  <c r="R2" i="1"/>
  <c r="Q2" i="7"/>
  <c r="H126" i="3"/>
  <c r="H127" i="3" s="1"/>
  <c r="G127" i="3"/>
  <c r="G128" i="3" s="1"/>
  <c r="J61" i="3"/>
  <c r="H17" i="8"/>
  <c r="F50" i="3" l="1"/>
  <c r="G135" i="3"/>
  <c r="G136" i="3" s="1"/>
  <c r="G137" i="3" s="1"/>
  <c r="G140" i="3"/>
  <c r="E119" i="3"/>
  <c r="F116" i="3"/>
  <c r="P1" i="1"/>
  <c r="P1" i="7" s="1"/>
  <c r="H135" i="3"/>
  <c r="H136" i="3" s="1"/>
  <c r="H137" i="3" s="1"/>
  <c r="K12" i="6"/>
  <c r="K11" i="6"/>
  <c r="S2" i="1"/>
  <c r="R2" i="7"/>
  <c r="I126" i="3"/>
  <c r="I127" i="3" s="1"/>
  <c r="H128" i="3"/>
  <c r="J121" i="3"/>
  <c r="K61" i="3"/>
  <c r="G50" i="3" l="1"/>
  <c r="Q1" i="1"/>
  <c r="Q1" i="7" s="1"/>
  <c r="F117" i="3"/>
  <c r="F140" i="3"/>
  <c r="F17" i="8" s="1"/>
  <c r="K84" i="6"/>
  <c r="W45" i="7" s="1"/>
  <c r="I135" i="3"/>
  <c r="J135" i="3" s="1"/>
  <c r="G17" i="8"/>
  <c r="G13" i="8"/>
  <c r="P42" i="7"/>
  <c r="L9" i="6"/>
  <c r="H13" i="8"/>
  <c r="Q42" i="7"/>
  <c r="I128" i="3"/>
  <c r="R1" i="1"/>
  <c r="R1" i="7" s="1"/>
  <c r="T2" i="1"/>
  <c r="S2" i="7"/>
  <c r="K121" i="3"/>
  <c r="J124" i="3"/>
  <c r="L61" i="3"/>
  <c r="H50" i="3" l="1"/>
  <c r="J126" i="3"/>
  <c r="J127" i="3" s="1"/>
  <c r="J128" i="3" s="1"/>
  <c r="J141" i="3"/>
  <c r="F118" i="3"/>
  <c r="F119" i="3" s="1"/>
  <c r="G117" i="3"/>
  <c r="I17" i="8"/>
  <c r="I136" i="3"/>
  <c r="I137" i="3" s="1"/>
  <c r="K135" i="3"/>
  <c r="J136" i="3"/>
  <c r="J137" i="3" s="1"/>
  <c r="L11" i="6"/>
  <c r="L84" i="6" s="1"/>
  <c r="X45" i="7" s="1"/>
  <c r="L12" i="6"/>
  <c r="M9" i="6" s="1"/>
  <c r="R42" i="7"/>
  <c r="I13" i="8"/>
  <c r="U2" i="1"/>
  <c r="T2" i="7"/>
  <c r="S1" i="1"/>
  <c r="S1" i="7" s="1"/>
  <c r="I50" i="3"/>
  <c r="L121" i="3"/>
  <c r="K124" i="3"/>
  <c r="M61" i="3"/>
  <c r="K126" i="3" l="1"/>
  <c r="K141" i="3"/>
  <c r="G118" i="3"/>
  <c r="G119" i="3" s="1"/>
  <c r="H117" i="3"/>
  <c r="J13" i="8"/>
  <c r="M11" i="6"/>
  <c r="M12" i="6"/>
  <c r="K136" i="3"/>
  <c r="T1" i="1"/>
  <c r="T1" i="7" s="1"/>
  <c r="J50" i="3"/>
  <c r="V2" i="1"/>
  <c r="U2" i="7"/>
  <c r="K127" i="3"/>
  <c r="K128" i="3" s="1"/>
  <c r="M121" i="3"/>
  <c r="L124" i="3"/>
  <c r="N61" i="3"/>
  <c r="L126" i="3" l="1"/>
  <c r="L127" i="3" s="1"/>
  <c r="L128" i="3" s="1"/>
  <c r="L141" i="3"/>
  <c r="I117" i="3"/>
  <c r="H118" i="3"/>
  <c r="H119" i="3" s="1"/>
  <c r="M84" i="6"/>
  <c r="Y45" i="7" s="1"/>
  <c r="S42" i="7"/>
  <c r="K137" i="3"/>
  <c r="L134" i="3"/>
  <c r="K17" i="8"/>
  <c r="K13" i="8"/>
  <c r="T42" i="7"/>
  <c r="W2" i="1"/>
  <c r="V2" i="7"/>
  <c r="U1" i="1"/>
  <c r="U1" i="7" s="1"/>
  <c r="K50" i="3"/>
  <c r="N121" i="3"/>
  <c r="M124" i="3"/>
  <c r="O61" i="3"/>
  <c r="M126" i="3" l="1"/>
  <c r="M127" i="3" s="1"/>
  <c r="M128" i="3" s="1"/>
  <c r="M141" i="3"/>
  <c r="J117" i="3"/>
  <c r="I118" i="3"/>
  <c r="I119" i="3" s="1"/>
  <c r="L135" i="3"/>
  <c r="L136" i="3" s="1"/>
  <c r="L137" i="3" s="1"/>
  <c r="L140" i="3"/>
  <c r="V1" i="1"/>
  <c r="V1" i="7" s="1"/>
  <c r="L50" i="3"/>
  <c r="X2" i="1"/>
  <c r="W2" i="7"/>
  <c r="O121" i="3"/>
  <c r="N124" i="3"/>
  <c r="P61" i="3"/>
  <c r="N126" i="3" l="1"/>
  <c r="N141" i="3"/>
  <c r="J118" i="3"/>
  <c r="J119" i="3" s="1"/>
  <c r="K117" i="3"/>
  <c r="M135" i="3"/>
  <c r="N135" i="3" s="1"/>
  <c r="O135" i="3" s="1"/>
  <c r="L17" i="8"/>
  <c r="M17" i="8"/>
  <c r="L13" i="8"/>
  <c r="U42" i="7"/>
  <c r="Y2" i="1"/>
  <c r="X2" i="7"/>
  <c r="W1" i="1"/>
  <c r="W1" i="7" s="1"/>
  <c r="M50" i="3"/>
  <c r="N127" i="3"/>
  <c r="N128" i="3" s="1"/>
  <c r="O124" i="3"/>
  <c r="O141" i="3" s="1"/>
  <c r="Q61" i="3"/>
  <c r="K118" i="3" l="1"/>
  <c r="K119" i="3" s="1"/>
  <c r="L117" i="3"/>
  <c r="N136" i="3"/>
  <c r="N137" i="3" s="1"/>
  <c r="M136" i="3"/>
  <c r="M137" i="3" s="1"/>
  <c r="N13" i="8"/>
  <c r="O136" i="3"/>
  <c r="O137" i="3" s="1"/>
  <c r="P135" i="3"/>
  <c r="V42" i="7"/>
  <c r="M13" i="8"/>
  <c r="X1" i="1"/>
  <c r="X1" i="7" s="1"/>
  <c r="N50" i="3"/>
  <c r="Z2" i="1"/>
  <c r="Y2" i="7"/>
  <c r="P121" i="3"/>
  <c r="P124" i="3" s="1"/>
  <c r="P141" i="3" s="1"/>
  <c r="O126" i="3"/>
  <c r="O127" i="3" s="1"/>
  <c r="O128" i="3" s="1"/>
  <c r="N17" i="8"/>
  <c r="R61" i="3"/>
  <c r="L118" i="3" l="1"/>
  <c r="L119" i="3" s="1"/>
  <c r="M117" i="3"/>
  <c r="W42" i="7"/>
  <c r="P136" i="3"/>
  <c r="AA2" i="1"/>
  <c r="AB2" i="1" s="1"/>
  <c r="AB2" i="7" s="1"/>
  <c r="Z2" i="7"/>
  <c r="Y1" i="1"/>
  <c r="Y1" i="7" s="1"/>
  <c r="O50" i="3"/>
  <c r="Q121" i="3"/>
  <c r="R121" i="3" s="1"/>
  <c r="S121" i="3" s="1"/>
  <c r="S123" i="3" s="1"/>
  <c r="P126" i="3"/>
  <c r="P127" i="3" s="1"/>
  <c r="P128" i="3" s="1"/>
  <c r="N117" i="3" l="1"/>
  <c r="M118" i="3"/>
  <c r="M119" i="3" s="1"/>
  <c r="P137" i="3"/>
  <c r="Q134" i="3"/>
  <c r="O13" i="8"/>
  <c r="X42" i="7"/>
  <c r="Z1" i="1"/>
  <c r="Z1" i="7" s="1"/>
  <c r="P50" i="3"/>
  <c r="AA2" i="7"/>
  <c r="Q124" i="3"/>
  <c r="R124" i="3"/>
  <c r="R141" i="3" s="1"/>
  <c r="Q126" i="3" l="1"/>
  <c r="Q141" i="3"/>
  <c r="N118" i="3"/>
  <c r="N119" i="3" s="1"/>
  <c r="O117" i="3"/>
  <c r="O118" i="3" s="1"/>
  <c r="P116" i="3" s="1"/>
  <c r="Q135" i="3"/>
  <c r="Q136" i="3" s="1"/>
  <c r="Q137" i="3" s="1"/>
  <c r="Q140" i="3"/>
  <c r="O17" i="8"/>
  <c r="P13" i="8"/>
  <c r="Y42" i="7"/>
  <c r="AA1" i="1"/>
  <c r="Q50" i="3"/>
  <c r="R126" i="3"/>
  <c r="Q127" i="3"/>
  <c r="Q128" i="3" s="1"/>
  <c r="O119" i="3" l="1"/>
  <c r="R135" i="3"/>
  <c r="R136" i="3" s="1"/>
  <c r="R137" i="3" s="1"/>
  <c r="P117" i="3"/>
  <c r="P140" i="3"/>
  <c r="P17" i="8" s="1"/>
  <c r="AA1" i="7"/>
  <c r="AB1" i="1"/>
  <c r="Z42" i="7"/>
  <c r="R50" i="3"/>
  <c r="R127" i="3"/>
  <c r="P118" i="3" l="1"/>
  <c r="P119" i="3" s="1"/>
  <c r="Q117" i="3"/>
  <c r="S50" i="3"/>
  <c r="AB1" i="7"/>
  <c r="Q13" i="8"/>
  <c r="Q17" i="8"/>
  <c r="R128" i="3"/>
  <c r="R117" i="3" l="1"/>
  <c r="Q118" i="3"/>
  <c r="Q119" i="3" s="1"/>
  <c r="R13" i="8"/>
  <c r="R118" i="3" l="1"/>
  <c r="AA42" i="7"/>
  <c r="R17" i="8"/>
  <c r="R119" i="3" l="1"/>
  <c r="H4" i="1" l="1"/>
  <c r="I4" i="5"/>
  <c r="I5" i="5"/>
  <c r="K5" i="5" s="1"/>
  <c r="H3" i="1" l="1"/>
  <c r="H121" i="1" s="1"/>
  <c r="H4" i="7"/>
  <c r="I4" i="1"/>
  <c r="I6" i="5"/>
  <c r="K4" i="5"/>
  <c r="H126" i="1" l="1"/>
  <c r="H116" i="1"/>
  <c r="J4" i="1"/>
  <c r="I4" i="7"/>
  <c r="I3" i="1"/>
  <c r="I121" i="1" s="1"/>
  <c r="L4" i="5"/>
  <c r="N4" i="5" s="1"/>
  <c r="L3" i="5"/>
  <c r="L5" i="5"/>
  <c r="N5" i="5" s="1"/>
  <c r="I126" i="1" l="1"/>
  <c r="I116" i="1"/>
  <c r="K4" i="1"/>
  <c r="J3" i="1"/>
  <c r="J121" i="1" s="1"/>
  <c r="J4" i="7"/>
  <c r="N3" i="5"/>
  <c r="O3" i="5"/>
  <c r="J126" i="1" l="1"/>
  <c r="J116" i="1"/>
  <c r="K4" i="7"/>
  <c r="K3" i="1"/>
  <c r="K121" i="1" s="1"/>
  <c r="L4" i="1"/>
  <c r="N6" i="5"/>
  <c r="K116" i="1" l="1"/>
  <c r="K126" i="1"/>
  <c r="L4" i="7"/>
  <c r="L3" i="1"/>
  <c r="L121" i="1" s="1"/>
  <c r="M4" i="1"/>
  <c r="K3" i="7"/>
  <c r="H5" i="5"/>
  <c r="H4" i="5"/>
  <c r="H3" i="5"/>
  <c r="L116" i="1" l="1"/>
  <c r="L126" i="1"/>
  <c r="M4" i="7"/>
  <c r="N4" i="1"/>
  <c r="M3" i="1"/>
  <c r="M121" i="1" s="1"/>
  <c r="D53" i="3"/>
  <c r="L3" i="7"/>
  <c r="K6" i="5"/>
  <c r="C19" i="5" s="1"/>
  <c r="C32" i="5" s="1"/>
  <c r="H6" i="5"/>
  <c r="M116" i="1" l="1"/>
  <c r="M126" i="1"/>
  <c r="E3" i="8"/>
  <c r="E22" i="8" s="1"/>
  <c r="B78" i="6"/>
  <c r="B64" i="6"/>
  <c r="B50" i="6"/>
  <c r="B36" i="6"/>
  <c r="D40" i="8"/>
  <c r="D42" i="8" s="1"/>
  <c r="D51" i="3"/>
  <c r="M3" i="7"/>
  <c r="N4" i="7"/>
  <c r="B8" i="6"/>
  <c r="O4" i="1"/>
  <c r="N3" i="1"/>
  <c r="E53" i="3"/>
  <c r="B22" i="6"/>
  <c r="F3" i="8" l="1"/>
  <c r="F22" i="8" s="1"/>
  <c r="C36" i="6"/>
  <c r="C64" i="6"/>
  <c r="C50" i="6"/>
  <c r="C78" i="6"/>
  <c r="B49" i="8"/>
  <c r="E51" i="3"/>
  <c r="N3" i="7"/>
  <c r="N78" i="7" s="1"/>
  <c r="O4" i="7"/>
  <c r="C8" i="6"/>
  <c r="P4" i="1"/>
  <c r="C22" i="6"/>
  <c r="F53" i="3"/>
  <c r="O3" i="1"/>
  <c r="N84" i="7" l="1"/>
  <c r="G3" i="8"/>
  <c r="G22" i="8" s="1"/>
  <c r="D64" i="6"/>
  <c r="D50" i="6"/>
  <c r="D36" i="6"/>
  <c r="D78" i="6"/>
  <c r="N18" i="7"/>
  <c r="D26" i="8"/>
  <c r="B50" i="8"/>
  <c r="D27" i="8" s="1"/>
  <c r="B48" i="8"/>
  <c r="D25" i="8" s="1"/>
  <c r="F51" i="3"/>
  <c r="O3" i="7"/>
  <c r="P4" i="7"/>
  <c r="D22" i="6"/>
  <c r="P3" i="1"/>
  <c r="D8" i="6"/>
  <c r="Q4" i="1"/>
  <c r="G53" i="3"/>
  <c r="N11" i="7"/>
  <c r="N12" i="7" s="1"/>
  <c r="O78" i="7" l="1"/>
  <c r="O84" i="7"/>
  <c r="N19" i="7"/>
  <c r="H3" i="8"/>
  <c r="H22" i="8" s="1"/>
  <c r="E64" i="6"/>
  <c r="E50" i="6"/>
  <c r="E36" i="6"/>
  <c r="E78" i="6"/>
  <c r="O18" i="7"/>
  <c r="N13" i="7"/>
  <c r="N15" i="7" s="1"/>
  <c r="G51" i="3"/>
  <c r="P3" i="7"/>
  <c r="O11" i="7"/>
  <c r="O12" i="7" s="1"/>
  <c r="Q4" i="7"/>
  <c r="E22" i="6"/>
  <c r="R4" i="1"/>
  <c r="Q3" i="1"/>
  <c r="H53" i="3"/>
  <c r="E8" i="6"/>
  <c r="P78" i="7" l="1"/>
  <c r="P84" i="7"/>
  <c r="O19" i="7"/>
  <c r="O20" i="7" s="1"/>
  <c r="O22" i="7" s="1"/>
  <c r="P76" i="7"/>
  <c r="O76" i="7"/>
  <c r="I3" i="8"/>
  <c r="I22" i="8" s="1"/>
  <c r="F78" i="6"/>
  <c r="F36" i="6"/>
  <c r="F64" i="6"/>
  <c r="F50" i="6"/>
  <c r="P18" i="7"/>
  <c r="O13" i="7"/>
  <c r="O15" i="7" s="1"/>
  <c r="N20" i="7"/>
  <c r="N22" i="7" s="1"/>
  <c r="N26" i="7" s="1"/>
  <c r="N27" i="7" s="1"/>
  <c r="H51" i="3"/>
  <c r="Q3" i="7"/>
  <c r="P11" i="7"/>
  <c r="P12" i="7" s="1"/>
  <c r="R4" i="7"/>
  <c r="F8" i="6"/>
  <c r="S4" i="1"/>
  <c r="I53" i="3"/>
  <c r="F22" i="6"/>
  <c r="R3" i="1"/>
  <c r="Q78" i="7" l="1"/>
  <c r="Q84" i="7"/>
  <c r="R82" i="7" s="1"/>
  <c r="O79" i="7"/>
  <c r="N79" i="7"/>
  <c r="P19" i="7"/>
  <c r="Q76" i="7"/>
  <c r="J3" i="8"/>
  <c r="J22" i="8" s="1"/>
  <c r="G78" i="6"/>
  <c r="G64" i="6"/>
  <c r="G50" i="6"/>
  <c r="G36" i="6"/>
  <c r="Q18" i="7"/>
  <c r="O26" i="7"/>
  <c r="O27" i="7" s="1"/>
  <c r="N29" i="7"/>
  <c r="N32" i="7" s="1"/>
  <c r="P13" i="7"/>
  <c r="S4" i="7"/>
  <c r="G8" i="6"/>
  <c r="S3" i="1"/>
  <c r="T4" i="1"/>
  <c r="J53" i="3"/>
  <c r="G22" i="6"/>
  <c r="I51" i="3"/>
  <c r="R3" i="7"/>
  <c r="Q11" i="7"/>
  <c r="Q12" i="7" s="1"/>
  <c r="R78" i="7" l="1"/>
  <c r="R84" i="7"/>
  <c r="P79" i="7"/>
  <c r="Q19" i="7"/>
  <c r="R76" i="7"/>
  <c r="K3" i="8"/>
  <c r="K22" i="8" s="1"/>
  <c r="H64" i="6"/>
  <c r="H50" i="6"/>
  <c r="H36" i="6"/>
  <c r="H78" i="6"/>
  <c r="O82" i="7"/>
  <c r="R18" i="7"/>
  <c r="N67" i="7"/>
  <c r="N68" i="7" s="1"/>
  <c r="N89" i="7" s="1"/>
  <c r="N34" i="7"/>
  <c r="E5" i="8" s="1"/>
  <c r="E14" i="8" s="1"/>
  <c r="P15" i="7"/>
  <c r="O29" i="7"/>
  <c r="O32" i="7" s="1"/>
  <c r="Q13" i="7"/>
  <c r="P20" i="7"/>
  <c r="P22" i="7" s="1"/>
  <c r="N39" i="7"/>
  <c r="T4" i="7"/>
  <c r="K53" i="3"/>
  <c r="H22" i="6"/>
  <c r="H8" i="6"/>
  <c r="U4" i="1"/>
  <c r="T3" i="1"/>
  <c r="R11" i="7"/>
  <c r="R12" i="7" s="1"/>
  <c r="J51" i="3"/>
  <c r="S3" i="7"/>
  <c r="S78" i="7" l="1"/>
  <c r="S84" i="7"/>
  <c r="R19" i="7"/>
  <c r="S76" i="7"/>
  <c r="Q79" i="7"/>
  <c r="L3" i="8"/>
  <c r="L22" i="8" s="1"/>
  <c r="I64" i="6"/>
  <c r="I50" i="6"/>
  <c r="I36" i="6"/>
  <c r="I78" i="6"/>
  <c r="P82" i="7"/>
  <c r="N82" i="7"/>
  <c r="N85" i="7" s="1"/>
  <c r="S18" i="7"/>
  <c r="O66" i="7"/>
  <c r="Q15" i="7"/>
  <c r="O67" i="7"/>
  <c r="O68" i="7" s="1"/>
  <c r="O89" i="7" s="1"/>
  <c r="O34" i="7"/>
  <c r="P26" i="7"/>
  <c r="P27" i="7" s="1"/>
  <c r="P29" i="7" s="1"/>
  <c r="P32" i="7" s="1"/>
  <c r="N40" i="7"/>
  <c r="N41" i="7" s="1"/>
  <c r="E18" i="8"/>
  <c r="R13" i="7"/>
  <c r="Q20" i="7"/>
  <c r="Q22" i="7" s="1"/>
  <c r="O39" i="7"/>
  <c r="S11" i="7"/>
  <c r="S12" i="7" s="1"/>
  <c r="K51" i="3"/>
  <c r="T3" i="7"/>
  <c r="U4" i="7"/>
  <c r="V4" i="1"/>
  <c r="L53" i="3"/>
  <c r="I22" i="6"/>
  <c r="U3" i="1"/>
  <c r="I8" i="6"/>
  <c r="T78" i="7" l="1"/>
  <c r="T84" i="7"/>
  <c r="R79" i="7"/>
  <c r="S19" i="7"/>
  <c r="S20" i="7" s="1"/>
  <c r="S22" i="7" s="1"/>
  <c r="T76" i="7"/>
  <c r="O91" i="7"/>
  <c r="F15" i="8" s="1"/>
  <c r="M3" i="8"/>
  <c r="M22" i="8" s="1"/>
  <c r="J78" i="6"/>
  <c r="J64" i="6"/>
  <c r="J50" i="6"/>
  <c r="J36" i="6"/>
  <c r="O69" i="7"/>
  <c r="O85" i="7"/>
  <c r="P39" i="7"/>
  <c r="T18" i="7"/>
  <c r="P66" i="7"/>
  <c r="F5" i="8"/>
  <c r="R15" i="7"/>
  <c r="P67" i="7"/>
  <c r="P68" i="7" s="1"/>
  <c r="P89" i="7" s="1"/>
  <c r="P34" i="7"/>
  <c r="N66" i="7"/>
  <c r="N69" i="7" s="1"/>
  <c r="Q26" i="7"/>
  <c r="Q27" i="7" s="1"/>
  <c r="Q29" i="7" s="1"/>
  <c r="Q32" i="7" s="1"/>
  <c r="E7" i="8"/>
  <c r="E8" i="8" s="1"/>
  <c r="N43" i="7"/>
  <c r="N46" i="7" s="1"/>
  <c r="N48" i="7" s="1"/>
  <c r="R20" i="7"/>
  <c r="R22" i="7" s="1"/>
  <c r="S13" i="7"/>
  <c r="L51" i="3"/>
  <c r="U3" i="7"/>
  <c r="V4" i="7"/>
  <c r="W4" i="1"/>
  <c r="M53" i="3"/>
  <c r="J22" i="6"/>
  <c r="V3" i="1"/>
  <c r="J8" i="6"/>
  <c r="T11" i="7"/>
  <c r="T12" i="7" s="1"/>
  <c r="U82" i="7"/>
  <c r="U78" i="7" l="1"/>
  <c r="U84" i="7"/>
  <c r="T19" i="7"/>
  <c r="U76" i="7"/>
  <c r="S79" i="7"/>
  <c r="N3" i="8"/>
  <c r="N22" i="8" s="1"/>
  <c r="K36" i="6"/>
  <c r="K78" i="6"/>
  <c r="K64" i="6"/>
  <c r="K50" i="6"/>
  <c r="Q39" i="7"/>
  <c r="U18" i="7"/>
  <c r="O40" i="7"/>
  <c r="O41" i="7" s="1"/>
  <c r="F14" i="8"/>
  <c r="F16" i="8"/>
  <c r="F6" i="8"/>
  <c r="F18" i="8"/>
  <c r="E9" i="8"/>
  <c r="S15" i="7"/>
  <c r="S26" i="7" s="1"/>
  <c r="S27" i="7" s="1"/>
  <c r="S29" i="7" s="1"/>
  <c r="S32" i="7" s="1"/>
  <c r="Q66" i="7"/>
  <c r="N91" i="7"/>
  <c r="E15" i="8" s="1"/>
  <c r="E16" i="8" s="1"/>
  <c r="P69" i="7"/>
  <c r="G5" i="8"/>
  <c r="P40" i="7"/>
  <c r="R26" i="7"/>
  <c r="R27" i="7" s="1"/>
  <c r="R29" i="7" s="1"/>
  <c r="R32" i="7" s="1"/>
  <c r="Q67" i="7"/>
  <c r="Q68" i="7" s="1"/>
  <c r="Q89" i="7" s="1"/>
  <c r="Q34" i="7"/>
  <c r="N44" i="7"/>
  <c r="T13" i="7"/>
  <c r="K22" i="6"/>
  <c r="K8" i="6"/>
  <c r="N47" i="7"/>
  <c r="U11" i="7"/>
  <c r="U12" i="7" s="1"/>
  <c r="W4" i="7"/>
  <c r="W11" i="7" s="1"/>
  <c r="N53" i="3"/>
  <c r="X4" i="1"/>
  <c r="W3" i="1"/>
  <c r="M51" i="3"/>
  <c r="V3" i="7"/>
  <c r="V78" i="7" l="1"/>
  <c r="V84" i="7"/>
  <c r="E10" i="8"/>
  <c r="E11" i="8"/>
  <c r="T79" i="7"/>
  <c r="U19" i="7"/>
  <c r="V76" i="7"/>
  <c r="O43" i="7"/>
  <c r="F9" i="8" s="1"/>
  <c r="O3" i="8"/>
  <c r="O22" i="8" s="1"/>
  <c r="L64" i="6"/>
  <c r="L50" i="6"/>
  <c r="L36" i="6"/>
  <c r="L78" i="6"/>
  <c r="S39" i="7"/>
  <c r="T82" i="7"/>
  <c r="T85" i="7" s="1"/>
  <c r="R39" i="7"/>
  <c r="V18" i="7"/>
  <c r="F7" i="8"/>
  <c r="F8" i="8" s="1"/>
  <c r="H5" i="8"/>
  <c r="Q40" i="7"/>
  <c r="S67" i="7"/>
  <c r="S68" i="7" s="1"/>
  <c r="S89" i="7" s="1"/>
  <c r="S34" i="7"/>
  <c r="G6" i="8"/>
  <c r="G18" i="8"/>
  <c r="G14" i="8"/>
  <c r="R66" i="7"/>
  <c r="Q69" i="7"/>
  <c r="T15" i="7"/>
  <c r="R67" i="7"/>
  <c r="R68" i="7" s="1"/>
  <c r="R89" i="7" s="1"/>
  <c r="R34" i="7"/>
  <c r="G7" i="8"/>
  <c r="G8" i="8" s="1"/>
  <c r="P41" i="7"/>
  <c r="P43" i="7"/>
  <c r="U13" i="7"/>
  <c r="T20" i="7"/>
  <c r="T22" i="7" s="1"/>
  <c r="L8" i="6"/>
  <c r="L22" i="6"/>
  <c r="V11" i="7"/>
  <c r="V12" i="7" s="1"/>
  <c r="N51" i="3"/>
  <c r="W3" i="7"/>
  <c r="X4" i="7"/>
  <c r="O53" i="3"/>
  <c r="Y4" i="1"/>
  <c r="X3" i="1"/>
  <c r="F10" i="8" l="1"/>
  <c r="F11" i="8"/>
  <c r="O44" i="7"/>
  <c r="W78" i="7"/>
  <c r="W84" i="7"/>
  <c r="V19" i="7"/>
  <c r="W76" i="7"/>
  <c r="O46" i="7"/>
  <c r="O47" i="7" s="1"/>
  <c r="U79" i="7"/>
  <c r="P3" i="8"/>
  <c r="P22" i="8" s="1"/>
  <c r="M64" i="6"/>
  <c r="M50" i="6"/>
  <c r="M36" i="6"/>
  <c r="M78" i="6"/>
  <c r="R91" i="7"/>
  <c r="I15" i="8" s="1"/>
  <c r="P91" i="7"/>
  <c r="G15" i="8" s="1"/>
  <c r="G16" i="8" s="1"/>
  <c r="Q91" i="7"/>
  <c r="H15" i="8" s="1"/>
  <c r="H16" i="8" s="1"/>
  <c r="Q82" i="7"/>
  <c r="Q85" i="7" s="1"/>
  <c r="P85" i="7"/>
  <c r="W18" i="7"/>
  <c r="I5" i="8"/>
  <c r="R40" i="7"/>
  <c r="J5" i="8"/>
  <c r="S40" i="7"/>
  <c r="J7" i="8" s="1"/>
  <c r="T26" i="7"/>
  <c r="T27" i="7" s="1"/>
  <c r="T29" i="7" s="1"/>
  <c r="T32" i="7" s="1"/>
  <c r="R69" i="7"/>
  <c r="T66" i="7"/>
  <c r="U15" i="7"/>
  <c r="Q41" i="7"/>
  <c r="H7" i="8"/>
  <c r="H8" i="8" s="1"/>
  <c r="Q43" i="7"/>
  <c r="S66" i="7"/>
  <c r="S69" i="7" s="1"/>
  <c r="G9" i="8"/>
  <c r="P46" i="7"/>
  <c r="P48" i="7" s="1"/>
  <c r="P44" i="7"/>
  <c r="H18" i="8"/>
  <c r="H14" i="8"/>
  <c r="H6" i="8"/>
  <c r="U20" i="7"/>
  <c r="U22" i="7" s="1"/>
  <c r="V13" i="7"/>
  <c r="M22" i="6"/>
  <c r="M8" i="6"/>
  <c r="W12" i="7"/>
  <c r="O51" i="3"/>
  <c r="X3" i="7"/>
  <c r="Y4" i="7"/>
  <c r="Z4" i="1"/>
  <c r="P53" i="3"/>
  <c r="Y3" i="1"/>
  <c r="X78" i="7" l="1"/>
  <c r="X84" i="7"/>
  <c r="G10" i="8"/>
  <c r="G11" i="8"/>
  <c r="O48" i="7"/>
  <c r="V79" i="7"/>
  <c r="W19" i="7"/>
  <c r="W20" i="7" s="1"/>
  <c r="W22" i="7" s="1"/>
  <c r="X76" i="7"/>
  <c r="Q3" i="8"/>
  <c r="Q22" i="8" s="1"/>
  <c r="N78" i="6"/>
  <c r="N64" i="6"/>
  <c r="N50" i="6"/>
  <c r="N36" i="6"/>
  <c r="R85" i="7"/>
  <c r="S82" i="7"/>
  <c r="S85" i="7" s="1"/>
  <c r="T39" i="7"/>
  <c r="X18" i="7"/>
  <c r="J8" i="8"/>
  <c r="S43" i="7"/>
  <c r="S46" i="7" s="1"/>
  <c r="S48" i="7" s="1"/>
  <c r="S41" i="7"/>
  <c r="U26" i="7"/>
  <c r="U27" i="7" s="1"/>
  <c r="U29" i="7" s="1"/>
  <c r="U32" i="7" s="1"/>
  <c r="I7" i="8"/>
  <c r="I8" i="8" s="1"/>
  <c r="R43" i="7"/>
  <c r="R41" i="7"/>
  <c r="P47" i="7"/>
  <c r="Q46" i="7"/>
  <c r="Q48" i="7" s="1"/>
  <c r="Q44" i="7"/>
  <c r="H9" i="8"/>
  <c r="T67" i="7"/>
  <c r="T68" i="7" s="1"/>
  <c r="T89" i="7" s="1"/>
  <c r="T34" i="7"/>
  <c r="I6" i="8"/>
  <c r="I18" i="8"/>
  <c r="I14" i="8"/>
  <c r="V15" i="7"/>
  <c r="I16" i="8"/>
  <c r="S91" i="7"/>
  <c r="J15" i="8" s="1"/>
  <c r="J16" i="8" s="1"/>
  <c r="J14" i="8"/>
  <c r="J6" i="8"/>
  <c r="J18" i="8"/>
  <c r="V20" i="7"/>
  <c r="V22" i="7" s="1"/>
  <c r="W13" i="7"/>
  <c r="N22" i="6"/>
  <c r="N8" i="6"/>
  <c r="P51" i="3"/>
  <c r="Y3" i="7"/>
  <c r="Z4" i="7"/>
  <c r="AA4" i="1"/>
  <c r="AB3" i="1" s="1"/>
  <c r="Q53" i="3"/>
  <c r="Z3" i="1"/>
  <c r="H10" i="8" l="1"/>
  <c r="H11" i="8"/>
  <c r="Y78" i="7"/>
  <c r="Y84" i="7"/>
  <c r="Z82" i="7" s="1"/>
  <c r="W79" i="7"/>
  <c r="X19" i="7"/>
  <c r="Y76" i="7"/>
  <c r="S44" i="7"/>
  <c r="O36" i="6"/>
  <c r="O64" i="6"/>
  <c r="O50" i="6"/>
  <c r="O78" i="6"/>
  <c r="U39" i="7"/>
  <c r="S47" i="7"/>
  <c r="Y18" i="7"/>
  <c r="V26" i="7"/>
  <c r="V27" i="7" s="1"/>
  <c r="V29" i="7" s="1"/>
  <c r="V32" i="7" s="1"/>
  <c r="J9" i="8"/>
  <c r="K5" i="8"/>
  <c r="T40" i="7"/>
  <c r="Q47" i="7"/>
  <c r="W15" i="7"/>
  <c r="W26" i="7" s="1"/>
  <c r="W27" i="7" s="1"/>
  <c r="W29" i="7" s="1"/>
  <c r="W32" i="7" s="1"/>
  <c r="U66" i="7"/>
  <c r="R46" i="7"/>
  <c r="R48" i="7" s="1"/>
  <c r="R44" i="7"/>
  <c r="I9" i="8"/>
  <c r="T69" i="7"/>
  <c r="U67" i="7"/>
  <c r="U68" i="7" s="1"/>
  <c r="U89" i="7" s="1"/>
  <c r="U34" i="7"/>
  <c r="R3" i="8"/>
  <c r="R22" i="8" s="1"/>
  <c r="AB4" i="1"/>
  <c r="O22" i="6"/>
  <c r="O8" i="6"/>
  <c r="AA4" i="7"/>
  <c r="R53" i="3"/>
  <c r="AA3" i="1"/>
  <c r="N49" i="7"/>
  <c r="N50" i="7" s="1"/>
  <c r="Q51" i="3"/>
  <c r="Z3" i="7"/>
  <c r="Z78" i="7" l="1"/>
  <c r="Z84" i="7"/>
  <c r="I10" i="8"/>
  <c r="I11" i="8"/>
  <c r="J10" i="8"/>
  <c r="J11" i="8"/>
  <c r="Y19" i="7"/>
  <c r="Z76" i="7"/>
  <c r="X79" i="7"/>
  <c r="P64" i="6"/>
  <c r="P8" i="6"/>
  <c r="P78" i="6"/>
  <c r="P50" i="6"/>
  <c r="P36" i="6"/>
  <c r="P22" i="6"/>
  <c r="T91" i="7"/>
  <c r="K15" i="8" s="1"/>
  <c r="K16" i="8" s="1"/>
  <c r="V82" i="7"/>
  <c r="U85" i="7"/>
  <c r="W39" i="7"/>
  <c r="V67" i="7"/>
  <c r="Z18" i="7"/>
  <c r="V34" i="7"/>
  <c r="U69" i="7"/>
  <c r="W67" i="7"/>
  <c r="W68" i="7" s="1"/>
  <c r="W89" i="7" s="1"/>
  <c r="K18" i="8"/>
  <c r="K6" i="8"/>
  <c r="K14" i="8"/>
  <c r="L5" i="8"/>
  <c r="U40" i="7"/>
  <c r="V66" i="7"/>
  <c r="R47" i="7"/>
  <c r="K7" i="8"/>
  <c r="K8" i="8" s="1"/>
  <c r="T41" i="7"/>
  <c r="T43" i="7"/>
  <c r="S3" i="8"/>
  <c r="S22" i="8" s="1"/>
  <c r="AB4" i="7"/>
  <c r="S53" i="3"/>
  <c r="S51" i="3" s="1"/>
  <c r="X20" i="7"/>
  <c r="X22" i="7" s="1"/>
  <c r="X26" i="7" s="1"/>
  <c r="X27" i="7" s="1"/>
  <c r="X29" i="7" s="1"/>
  <c r="X32" i="7" s="1"/>
  <c r="O49" i="7"/>
  <c r="O50" i="7" s="1"/>
  <c r="R51" i="3"/>
  <c r="AA3" i="7"/>
  <c r="E12" i="8"/>
  <c r="E19" i="8"/>
  <c r="AA78" i="7" l="1"/>
  <c r="AA84" i="7"/>
  <c r="V68" i="7"/>
  <c r="V89" i="7" s="1"/>
  <c r="S85" i="3"/>
  <c r="S105" i="3"/>
  <c r="S106" i="3" s="1"/>
  <c r="S107" i="3" s="1"/>
  <c r="S95" i="3"/>
  <c r="S96" i="3" s="1"/>
  <c r="S97" i="3" s="1"/>
  <c r="Z19" i="7"/>
  <c r="AA76" i="7"/>
  <c r="Y79" i="7"/>
  <c r="W34" i="7"/>
  <c r="N5" i="8" s="1"/>
  <c r="U91" i="7"/>
  <c r="L15" i="8" s="1"/>
  <c r="L16" i="8" s="1"/>
  <c r="Y82" i="7"/>
  <c r="Y85" i="7" s="1"/>
  <c r="V39" i="7"/>
  <c r="V40" i="7" s="1"/>
  <c r="X39" i="7"/>
  <c r="AA18" i="7"/>
  <c r="S124" i="3"/>
  <c r="S67" i="3"/>
  <c r="S115" i="3"/>
  <c r="S133" i="3"/>
  <c r="M5" i="8"/>
  <c r="M14" i="8" s="1"/>
  <c r="AB3" i="7"/>
  <c r="X67" i="7"/>
  <c r="X68" i="7" s="1"/>
  <c r="X89" i="7" s="1"/>
  <c r="X34" i="7"/>
  <c r="U41" i="7"/>
  <c r="L7" i="8"/>
  <c r="L8" i="8" s="1"/>
  <c r="U43" i="7"/>
  <c r="X66" i="7"/>
  <c r="T44" i="7"/>
  <c r="K9" i="8"/>
  <c r="T46" i="7"/>
  <c r="T48" i="7" s="1"/>
  <c r="L14" i="8"/>
  <c r="L6" i="8"/>
  <c r="L18" i="8"/>
  <c r="Y20" i="7"/>
  <c r="Y22" i="7" s="1"/>
  <c r="Y26" i="7" s="1"/>
  <c r="Y27" i="7" s="1"/>
  <c r="Y29" i="7" s="1"/>
  <c r="Y32" i="7" s="1"/>
  <c r="F19" i="8"/>
  <c r="E27" i="8"/>
  <c r="E25" i="8"/>
  <c r="E26" i="8"/>
  <c r="B52" i="3"/>
  <c r="AB18" i="7" l="1"/>
  <c r="AB31" i="7"/>
  <c r="W66" i="7"/>
  <c r="W69" i="7" s="1"/>
  <c r="K10" i="8"/>
  <c r="K11" i="8"/>
  <c r="W40" i="7"/>
  <c r="N7" i="8" s="1"/>
  <c r="N8" i="8" s="1"/>
  <c r="V69" i="7"/>
  <c r="S99" i="3"/>
  <c r="S98" i="3"/>
  <c r="S109" i="3"/>
  <c r="S108" i="3"/>
  <c r="S86" i="3"/>
  <c r="S87" i="3" s="1"/>
  <c r="N18" i="8"/>
  <c r="N14" i="8"/>
  <c r="AA19" i="7"/>
  <c r="AB76" i="7"/>
  <c r="Z79" i="7"/>
  <c r="Y39" i="7"/>
  <c r="M6" i="8"/>
  <c r="M7" i="8"/>
  <c r="M8" i="8" s="1"/>
  <c r="V41" i="7"/>
  <c r="V43" i="7"/>
  <c r="M9" i="8" s="1"/>
  <c r="N6" i="8"/>
  <c r="M18" i="8"/>
  <c r="S125" i="3"/>
  <c r="S126" i="3" s="1"/>
  <c r="S127" i="3" s="1"/>
  <c r="S128" i="3" s="1"/>
  <c r="S134" i="3"/>
  <c r="S135" i="3" s="1"/>
  <c r="S136" i="3" s="1"/>
  <c r="S137" i="3" s="1"/>
  <c r="S116" i="3"/>
  <c r="S117" i="3" s="1"/>
  <c r="S118" i="3" s="1"/>
  <c r="S119" i="3" s="1"/>
  <c r="S141" i="3"/>
  <c r="S68" i="3"/>
  <c r="S140" i="3" s="1"/>
  <c r="S17" i="8" s="1"/>
  <c r="X40" i="7"/>
  <c r="X43" i="7" s="1"/>
  <c r="X44" i="7" s="1"/>
  <c r="AB36" i="7"/>
  <c r="AB19" i="7"/>
  <c r="AB38" i="7"/>
  <c r="AB37" i="7"/>
  <c r="Y66" i="7"/>
  <c r="Y67" i="7"/>
  <c r="Y68" i="7" s="1"/>
  <c r="Y89" i="7" s="1"/>
  <c r="Y34" i="7"/>
  <c r="T47" i="7"/>
  <c r="U46" i="7"/>
  <c r="U48" i="7" s="1"/>
  <c r="L9" i="8"/>
  <c r="U44" i="7"/>
  <c r="X69" i="7"/>
  <c r="Z20" i="7"/>
  <c r="Z22" i="7" s="1"/>
  <c r="Z26" i="7" s="1"/>
  <c r="Z27" i="7" s="1"/>
  <c r="Z29" i="7" s="1"/>
  <c r="Z32" i="7" s="1"/>
  <c r="AA20" i="7"/>
  <c r="AA22" i="7" s="1"/>
  <c r="AA26" i="7" s="1"/>
  <c r="AA27" i="7" s="1"/>
  <c r="AA29" i="7" s="1"/>
  <c r="AA32" i="7" s="1"/>
  <c r="F12" i="8"/>
  <c r="P49" i="7"/>
  <c r="P50" i="7" s="1"/>
  <c r="F20" i="8"/>
  <c r="F25" i="8"/>
  <c r="F27" i="8"/>
  <c r="F26" i="8"/>
  <c r="G12" i="8"/>
  <c r="G19" i="8"/>
  <c r="W43" i="7" l="1"/>
  <c r="W46" i="7" s="1"/>
  <c r="W48" i="7" s="1"/>
  <c r="W41" i="7"/>
  <c r="L10" i="8"/>
  <c r="L11" i="8"/>
  <c r="AB83" i="7"/>
  <c r="AB84" i="7" s="1"/>
  <c r="AB77" i="7"/>
  <c r="AB78" i="7" s="1"/>
  <c r="M10" i="8"/>
  <c r="M11" i="8"/>
  <c r="S89" i="3"/>
  <c r="S88" i="3"/>
  <c r="AA79" i="7"/>
  <c r="V46" i="7"/>
  <c r="V48" i="7" s="1"/>
  <c r="AB82" i="7"/>
  <c r="W82" i="7"/>
  <c r="V85" i="7"/>
  <c r="V44" i="7"/>
  <c r="Z39" i="7"/>
  <c r="O7" i="8"/>
  <c r="AB42" i="7"/>
  <c r="S13" i="8"/>
  <c r="O9" i="8"/>
  <c r="O11" i="8" s="1"/>
  <c r="S69" i="3"/>
  <c r="S70" i="3" s="1"/>
  <c r="X46" i="7"/>
  <c r="X41" i="7"/>
  <c r="Y69" i="7"/>
  <c r="O5" i="8"/>
  <c r="AA34" i="7"/>
  <c r="P5" i="8"/>
  <c r="Y40" i="7"/>
  <c r="P7" i="8" s="1"/>
  <c r="Z67" i="7"/>
  <c r="Z68" i="7" s="1"/>
  <c r="Z89" i="7" s="1"/>
  <c r="Z34" i="7"/>
  <c r="U47" i="7"/>
  <c r="Z66" i="7"/>
  <c r="Y91" i="7"/>
  <c r="P15" i="8" s="1"/>
  <c r="AA67" i="7"/>
  <c r="AA68" i="7" s="1"/>
  <c r="AA89" i="7" s="1"/>
  <c r="Q49" i="7"/>
  <c r="Q50" i="7" s="1"/>
  <c r="G25" i="8"/>
  <c r="G26" i="8"/>
  <c r="G20" i="8"/>
  <c r="G27" i="8"/>
  <c r="AA39" i="7"/>
  <c r="H19" i="8"/>
  <c r="H12" i="8"/>
  <c r="W44" i="7" l="1"/>
  <c r="W47" i="7"/>
  <c r="N9" i="8"/>
  <c r="N10" i="8" s="1"/>
  <c r="AB79" i="7"/>
  <c r="Q5" i="8"/>
  <c r="Q18" i="8" s="1"/>
  <c r="R5" i="8"/>
  <c r="X47" i="7"/>
  <c r="X48" i="7"/>
  <c r="P16" i="8"/>
  <c r="V47" i="7"/>
  <c r="X82" i="7"/>
  <c r="X85" i="7" s="1"/>
  <c r="X91" i="7"/>
  <c r="O15" i="8" s="1"/>
  <c r="O16" i="8" s="1"/>
  <c r="P8" i="8"/>
  <c r="W85" i="7"/>
  <c r="AA82" i="7"/>
  <c r="AA85" i="7" s="1"/>
  <c r="Z85" i="7"/>
  <c r="O10" i="8"/>
  <c r="V91" i="7"/>
  <c r="M15" i="8" s="1"/>
  <c r="M16" i="8" s="1"/>
  <c r="AB66" i="7"/>
  <c r="O8" i="8"/>
  <c r="O6" i="8"/>
  <c r="O18" i="8"/>
  <c r="O14" i="8"/>
  <c r="Y41" i="7"/>
  <c r="Q14" i="8"/>
  <c r="Y43" i="7"/>
  <c r="Y46" i="7" s="1"/>
  <c r="Z91" i="7"/>
  <c r="Q15" i="8" s="1"/>
  <c r="AA66" i="7"/>
  <c r="AA69" i="7" s="1"/>
  <c r="Z40" i="7"/>
  <c r="Z43" i="7" s="1"/>
  <c r="Z46" i="7" s="1"/>
  <c r="Z48" i="7" s="1"/>
  <c r="Z69" i="7"/>
  <c r="P14" i="8"/>
  <c r="P6" i="8"/>
  <c r="P18" i="8"/>
  <c r="AB20" i="7"/>
  <c r="AB22" i="7" s="1"/>
  <c r="AB26" i="7" s="1"/>
  <c r="AB27" i="7" s="1"/>
  <c r="AB29" i="7" s="1"/>
  <c r="AB32" i="7" s="1"/>
  <c r="AA40" i="7"/>
  <c r="AA41" i="7" s="1"/>
  <c r="H20" i="8"/>
  <c r="H25" i="8"/>
  <c r="H27" i="8"/>
  <c r="H26" i="8"/>
  <c r="R18" i="8"/>
  <c r="R14" i="8"/>
  <c r="N11" i="8" l="1"/>
  <c r="R6" i="8"/>
  <c r="Q16" i="8"/>
  <c r="Q6" i="8"/>
  <c r="Y47" i="7"/>
  <c r="Y48" i="7"/>
  <c r="W91" i="7"/>
  <c r="N15" i="8" s="1"/>
  <c r="N16" i="8" s="1"/>
  <c r="AB39" i="7"/>
  <c r="P9" i="8"/>
  <c r="Z44" i="7"/>
  <c r="Y44" i="7"/>
  <c r="Q9" i="8"/>
  <c r="Q7" i="8"/>
  <c r="Q8" i="8" s="1"/>
  <c r="Z41" i="7"/>
  <c r="AB67" i="7"/>
  <c r="AB68" i="7" s="1"/>
  <c r="AB89" i="7" s="1"/>
  <c r="AA91" i="7"/>
  <c r="R15" i="8" s="1"/>
  <c r="R16" i="8" s="1"/>
  <c r="AA43" i="7"/>
  <c r="R9" i="8" s="1"/>
  <c r="R7" i="8"/>
  <c r="R8" i="8" s="1"/>
  <c r="S49" i="7"/>
  <c r="S50" i="7" s="1"/>
  <c r="Z47" i="7"/>
  <c r="R49" i="7"/>
  <c r="R50" i="7" s="1"/>
  <c r="P10" i="8" l="1"/>
  <c r="P11" i="8"/>
  <c r="Q10" i="8"/>
  <c r="Q11" i="8"/>
  <c r="R10" i="8"/>
  <c r="R11" i="8"/>
  <c r="AB34" i="7"/>
  <c r="S5" i="8" s="1"/>
  <c r="AB85" i="7"/>
  <c r="AB69" i="7"/>
  <c r="AA44" i="7"/>
  <c r="AA46" i="7"/>
  <c r="AA48" i="7" s="1"/>
  <c r="T49" i="7"/>
  <c r="T50" i="7" s="1"/>
  <c r="J12" i="8"/>
  <c r="I19" i="8"/>
  <c r="I12" i="8"/>
  <c r="S18" i="8" l="1"/>
  <c r="S14" i="8"/>
  <c r="S6" i="8"/>
  <c r="AB40" i="7"/>
  <c r="S7" i="8" s="1"/>
  <c r="S8" i="8" s="1"/>
  <c r="AB91" i="7"/>
  <c r="S15" i="8" s="1"/>
  <c r="S16" i="8" s="1"/>
  <c r="AA47" i="7"/>
  <c r="K12" i="8"/>
  <c r="J19" i="8"/>
  <c r="J25" i="8" s="1"/>
  <c r="I27" i="8"/>
  <c r="I25" i="8"/>
  <c r="I26" i="8"/>
  <c r="I20" i="8"/>
  <c r="AB41" i="7" l="1"/>
  <c r="AB43" i="7"/>
  <c r="S9" i="8" s="1"/>
  <c r="K19" i="8"/>
  <c r="K26" i="8" s="1"/>
  <c r="J20" i="8"/>
  <c r="J26" i="8"/>
  <c r="J27" i="8"/>
  <c r="S10" i="8" l="1"/>
  <c r="S11" i="8"/>
  <c r="AB44" i="7"/>
  <c r="AB46" i="7"/>
  <c r="AB48" i="7" s="1"/>
  <c r="K27" i="8"/>
  <c r="K20" i="8"/>
  <c r="K25" i="8"/>
  <c r="U49" i="7"/>
  <c r="U50" i="7" s="1"/>
  <c r="L12" i="8"/>
  <c r="L19" i="8"/>
  <c r="AB47" i="7" l="1"/>
  <c r="V49" i="7"/>
  <c r="V50" i="7" s="1"/>
  <c r="W49" i="7"/>
  <c r="W50" i="7" s="1"/>
  <c r="N12" i="8"/>
  <c r="N19" i="8"/>
  <c r="M19" i="8"/>
  <c r="M12" i="8"/>
  <c r="X49" i="7"/>
  <c r="X50" i="7" s="1"/>
  <c r="L27" i="8"/>
  <c r="L20" i="8"/>
  <c r="L25" i="8"/>
  <c r="L26" i="8"/>
  <c r="M20" i="8" l="1"/>
  <c r="M26" i="8"/>
  <c r="M25" i="8"/>
  <c r="M27" i="8"/>
  <c r="N25" i="8"/>
  <c r="N26" i="8"/>
  <c r="N27" i="8"/>
  <c r="N20" i="8"/>
  <c r="O19" i="8"/>
  <c r="O12" i="8"/>
  <c r="Y49" i="7" l="1"/>
  <c r="Y50" i="7" s="1"/>
  <c r="O20" i="8"/>
  <c r="O25" i="8"/>
  <c r="O27" i="8"/>
  <c r="O26" i="8"/>
  <c r="P19" i="8" l="1"/>
  <c r="P12" i="8"/>
  <c r="P26" i="8" l="1"/>
  <c r="P20" i="8"/>
  <c r="P25" i="8"/>
  <c r="P27" i="8"/>
  <c r="Z49" i="7"/>
  <c r="Z50" i="7" s="1"/>
  <c r="Q12" i="8" l="1"/>
  <c r="Q19" i="8"/>
  <c r="Q25" i="8" l="1"/>
  <c r="Q26" i="8"/>
  <c r="Q20" i="8"/>
  <c r="Q27" i="8"/>
  <c r="AA49" i="7"/>
  <c r="AA50" i="7" s="1"/>
  <c r="R12" i="8" l="1"/>
  <c r="R19" i="8"/>
  <c r="AB49" i="7" l="1"/>
  <c r="AB50" i="7" s="1"/>
  <c r="R26" i="8"/>
  <c r="R27" i="8"/>
  <c r="R20" i="8"/>
  <c r="R25" i="8"/>
  <c r="S12" i="8" l="1"/>
  <c r="S19" i="8"/>
  <c r="S27" i="8" l="1"/>
  <c r="C50" i="8" s="1"/>
  <c r="S20" i="8"/>
  <c r="S26" i="8"/>
  <c r="C49" i="8" s="1"/>
  <c r="A53" i="8" s="1"/>
  <c r="S25" i="8"/>
  <c r="C48" i="8" s="1"/>
  <c r="A57" i="8" l="1"/>
  <c r="A59" i="8"/>
  <c r="C5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Vipin Dagar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Vipin Dagur:</t>
        </r>
        <r>
          <rPr>
            <sz val="9"/>
            <color indexed="81"/>
            <rFont val="Tahoma"/>
            <family val="2"/>
          </rPr>
          <t xml:space="preserve">
Long Term Beta - Calculated on Mthly period calculated over 4 Yr, updated daily</t>
        </r>
      </text>
    </comment>
  </commentList>
</comments>
</file>

<file path=xl/sharedStrings.xml><?xml version="1.0" encoding="utf-8"?>
<sst xmlns="http://schemas.openxmlformats.org/spreadsheetml/2006/main" count="590" uniqueCount="290">
  <si>
    <t>No. of Days</t>
  </si>
  <si>
    <t>Year End</t>
  </si>
  <si>
    <t>Computers</t>
  </si>
  <si>
    <t>Previous Data</t>
  </si>
  <si>
    <t>Description of Asset</t>
  </si>
  <si>
    <t>Buildings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</si>
  <si>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</si>
  <si>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</si>
  <si>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</si>
  <si>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</si>
  <si>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</si>
  <si>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</si>
  <si>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</si>
  <si>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</si>
  <si>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</si>
  <si>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</si>
  <si>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</si>
  <si>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</si>
  <si>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</si>
  <si>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</si>
  <si>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</si>
  <si>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</si>
  <si>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</si>
  <si>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</si>
  <si>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</si>
  <si>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</si>
  <si>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</si>
  <si>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</si>
  <si>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</si>
  <si>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</si>
  <si>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</si>
  <si>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</si>
  <si>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</si>
  <si>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</si>
  <si>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</si>
  <si>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</si>
  <si>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</si>
  <si>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</si>
  <si>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</si>
  <si>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</si>
  <si>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</si>
  <si>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</si>
  <si>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</si>
  <si>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</si>
  <si>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</si>
  <si>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</si>
  <si>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</si>
  <si>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</si>
  <si>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</si>
  <si>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</si>
  <si>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</si>
  <si>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</si>
  <si>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</si>
  <si>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</si>
  <si>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Escalation Rate for Land price</t>
  </si>
  <si>
    <t>%</t>
  </si>
  <si>
    <t>Cost of Land</t>
  </si>
  <si>
    <t>INR Crore</t>
  </si>
  <si>
    <t>Sale Price of Land</t>
  </si>
  <si>
    <t>Profit on Sale of land</t>
  </si>
  <si>
    <t>WPI Calculations</t>
  </si>
  <si>
    <t>COMM_NAME</t>
  </si>
  <si>
    <t>INDEX2011-2012 (Base Case)</t>
  </si>
  <si>
    <t>All commodities</t>
  </si>
  <si>
    <t>Compounded WPI from 2012-13 to 2018-19 is 2.61%</t>
  </si>
  <si>
    <t>Expected WPI</t>
  </si>
  <si>
    <t>Escalation Rate for Capital Assets</t>
  </si>
  <si>
    <t>S. No.</t>
  </si>
  <si>
    <t>Company</t>
  </si>
  <si>
    <t>Tax Rate</t>
  </si>
  <si>
    <t>Total Asset</t>
  </si>
  <si>
    <t>Equity</t>
  </si>
  <si>
    <t>Comparable Weightage</t>
  </si>
  <si>
    <t>D/E</t>
  </si>
  <si>
    <t>Levered Beta</t>
  </si>
  <si>
    <t>Unlevered Beta</t>
  </si>
  <si>
    <t>Weighted Average</t>
  </si>
  <si>
    <t>Calculation of Company Beta</t>
  </si>
  <si>
    <t>Unlevered Beta of Comparable Companies</t>
  </si>
  <si>
    <t>Company Debt/ Equity Ratio</t>
  </si>
  <si>
    <t>Company Tax Rate</t>
  </si>
  <si>
    <t>Company Beta</t>
  </si>
  <si>
    <t>Calculation of Cost of Equity According to CAPM</t>
  </si>
  <si>
    <t>Risk Free Rate</t>
  </si>
  <si>
    <t>Equity Risk Premium</t>
  </si>
  <si>
    <t>Cost of Equity</t>
  </si>
  <si>
    <t>Indowind Energy Ltd.</t>
  </si>
  <si>
    <t>Wind Energy Producer Comparable Companies</t>
  </si>
  <si>
    <t>Inox Wind Ltd.</t>
  </si>
  <si>
    <t>Orient Green Power Company Limited</t>
  </si>
  <si>
    <t>Debt</t>
  </si>
  <si>
    <t>Revenue from OperationsFY19</t>
  </si>
  <si>
    <t>Phoolwadi Data as on 31.03.2019</t>
  </si>
  <si>
    <t>Debt/ Equity Ratio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</si>
  <si>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</si>
  <si>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</si>
  <si>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</si>
  <si>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</si>
  <si>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</si>
  <si>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</si>
  <si>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</si>
  <si>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</si>
  <si>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</si>
  <si>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</si>
  <si>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</si>
  <si>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Debt Related Asumptions</t>
  </si>
  <si>
    <t>Total Interest payment</t>
  </si>
  <si>
    <t>₹/ Kwh</t>
  </si>
  <si>
    <t>Auxiliary Consumption</t>
  </si>
  <si>
    <t>Plant COD Achieving Date</t>
  </si>
  <si>
    <t>Life of Plant</t>
  </si>
  <si>
    <t>Years</t>
  </si>
  <si>
    <t>End of Plant Life</t>
  </si>
  <si>
    <t>Start of Long Term PPA</t>
  </si>
  <si>
    <t>PPA Life</t>
  </si>
  <si>
    <t>End of Long Term PPA</t>
  </si>
  <si>
    <t>Short Term PPA Start Date</t>
  </si>
  <si>
    <t>End of Short Term PPA</t>
  </si>
  <si>
    <t>FY Ending Plant Life</t>
  </si>
  <si>
    <t>Escalation Rate</t>
  </si>
  <si>
    <t>₹ in Cr.s</t>
  </si>
  <si>
    <t>Not Considered</t>
  </si>
  <si>
    <t>Tax Rates</t>
  </si>
  <si>
    <t>After 31-03-2022 as per Normal Rate</t>
  </si>
  <si>
    <t>Cost of Debt</t>
  </si>
  <si>
    <t>Expenses</t>
  </si>
  <si>
    <t>Plant Capacity</t>
  </si>
  <si>
    <t>MW</t>
  </si>
  <si>
    <t>Working Capital Cycle</t>
  </si>
  <si>
    <t>Trade Receivables</t>
  </si>
  <si>
    <t>Operating Income</t>
  </si>
  <si>
    <t>Trade Payables</t>
  </si>
  <si>
    <t>O&amp;M Expenses</t>
  </si>
  <si>
    <t>D_S_O</t>
  </si>
  <si>
    <t>D_P_O</t>
  </si>
  <si>
    <t>Days</t>
  </si>
  <si>
    <t>Other Income</t>
  </si>
  <si>
    <t>Power Generation</t>
  </si>
  <si>
    <t>Gross Generation</t>
  </si>
  <si>
    <t>Net Generation</t>
  </si>
  <si>
    <t>Tariff Rate</t>
  </si>
  <si>
    <t>Profit &amp; Loss</t>
  </si>
  <si>
    <t>PLF %</t>
  </si>
  <si>
    <t>PLF's Range</t>
  </si>
  <si>
    <t>PLF of FY 21 due to low demand for COVID-19</t>
  </si>
  <si>
    <t>Total Income</t>
  </si>
  <si>
    <t>Expenses:</t>
  </si>
  <si>
    <t>Operation and Maintenance Expenses</t>
  </si>
  <si>
    <t>Employee Benefit Expenses</t>
  </si>
  <si>
    <t>Other Costs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</si>
  <si>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</si>
  <si>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</si>
  <si>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</si>
  <si>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</si>
  <si>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</si>
  <si>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</si>
  <si>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</si>
  <si>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</si>
  <si>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Tax rate Calculation</t>
  </si>
  <si>
    <t>Tax rate:</t>
  </si>
  <si>
    <t>Education Cess</t>
  </si>
  <si>
    <t>Surcharge</t>
  </si>
  <si>
    <t>Applicable Tax Rate</t>
  </si>
  <si>
    <t>C. Tax</t>
  </si>
  <si>
    <t>PAT</t>
  </si>
  <si>
    <t>PAT %</t>
  </si>
  <si>
    <t xml:space="preserve">Operating Summary </t>
  </si>
  <si>
    <t>Proj</t>
  </si>
  <si>
    <t>Total Revenue</t>
  </si>
  <si>
    <t>% Growth</t>
  </si>
  <si>
    <t>EBITDA</t>
  </si>
  <si>
    <t>% Sales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</si>
  <si>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</si>
  <si>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</si>
  <si>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</si>
  <si>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</si>
  <si>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</si>
  <si>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</si>
  <si>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</si>
  <si>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</si>
  <si>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</si>
  <si>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</si>
  <si>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</si>
  <si>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</si>
  <si>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</si>
  <si>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</si>
  <si>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</si>
  <si>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</si>
  <si>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</si>
  <si>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</si>
  <si>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</si>
  <si>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</si>
  <si>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</si>
  <si>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</si>
  <si>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</si>
  <si>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</si>
  <si>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</si>
  <si>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</si>
  <si>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</si>
  <si>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Raw Material paid cost</t>
  </si>
  <si>
    <t>Working Capital</t>
  </si>
  <si>
    <t>Change in Working Capital</t>
  </si>
  <si>
    <t>VALUE OF EQUITY</t>
  </si>
  <si>
    <t>O&amp;M Cost as per MERC Order</t>
  </si>
  <si>
    <t>O&amp;M Cost per MW</t>
  </si>
  <si>
    <t>Interest</t>
  </si>
  <si>
    <t>O/S Amount</t>
  </si>
  <si>
    <t>For ICDs</t>
  </si>
  <si>
    <t>Long-term Debt</t>
  </si>
  <si>
    <t>Interest Due</t>
  </si>
  <si>
    <t>Intangible Asset- Concession Agreement</t>
  </si>
  <si>
    <t>From Sale of Power</t>
  </si>
  <si>
    <t>From GBI</t>
  </si>
  <si>
    <t>Revenue from Operation:</t>
  </si>
  <si>
    <t>Other Income:</t>
  </si>
  <si>
    <t>Incentive Receivables</t>
  </si>
  <si>
    <t>Intangible Asset- Computer Software</t>
  </si>
  <si>
    <t>Total O&amp;M Cost</t>
  </si>
  <si>
    <t>Average Employee Benefit expenses</t>
  </si>
  <si>
    <t>Average Other expenses</t>
  </si>
  <si>
    <t>Escalation Rate for Employee Benefit &amp; Other Expenses</t>
  </si>
  <si>
    <t>Sales Voluntary Emission Reduction (VER) as a % of Income from Sale of Power</t>
  </si>
  <si>
    <t>From VERs</t>
  </si>
  <si>
    <t>Phase I</t>
  </si>
  <si>
    <t>Phase II</t>
  </si>
  <si>
    <t>Tariff Rate for 1st 10 Years i.e. from 30-09-2006 upto 29-09-2016</t>
  </si>
  <si>
    <t>Tariff Rate for Next 10 Years i.e. from 30-09-2016 upto 29-09-2026</t>
  </si>
  <si>
    <t>Tariff Rate for Last 5 Years i.e. 30-09-2026 upto 29-09-2031</t>
  </si>
  <si>
    <t>Tariff Rate for 1st 10 Years i.e. from 30-09-2011 upto 29-09-2021</t>
  </si>
  <si>
    <t>Tariff Rate for Next 10 Years i.e. from 30-09-2021 upto 29-09-2031</t>
  </si>
  <si>
    <t>Tariff Rate for Last 5 Years i.e. 30-09-2031 upto 29-09-2036</t>
  </si>
  <si>
    <t>Tariff Rate as per KERC order for HESCOM</t>
  </si>
  <si>
    <t>PLF as per CREC</t>
  </si>
  <si>
    <t>Tariff Growth/ (Contraction) Rate</t>
  </si>
  <si>
    <t>Estimated Tariff Rates</t>
  </si>
  <si>
    <t>Interest Income</t>
  </si>
  <si>
    <t>Interest Bearing Securities</t>
  </si>
  <si>
    <t>% of Interest Income</t>
  </si>
  <si>
    <t>Estimated Interest Income %</t>
  </si>
  <si>
    <t>Estimated Outstanding Interest Brearing Securities</t>
  </si>
  <si>
    <t>Estimated Amount of Interest Income</t>
  </si>
  <si>
    <t>Miscellaneous Income as a % of Operating Income</t>
  </si>
  <si>
    <t>Generation Based Incentive based on Net Generation upto 31.03.2022 for Phase II</t>
  </si>
  <si>
    <t>On Borrowing from Financial Institutions</t>
  </si>
  <si>
    <t>On Convertible Corporate Preference Shares 1</t>
  </si>
  <si>
    <t>On Convertible Corporate Preference Shares 2</t>
  </si>
  <si>
    <t>Series B CCD 1</t>
  </si>
  <si>
    <t>Series B CCD 2</t>
  </si>
  <si>
    <t>Inter Corporate Deposits</t>
  </si>
  <si>
    <t>Escalation Rate as per CERC</t>
  </si>
  <si>
    <t>Plant &amp; Machinery</t>
  </si>
  <si>
    <t>For Borrowing from Financial Institutions</t>
  </si>
  <si>
    <t>Converted and not repaid</t>
  </si>
  <si>
    <t>For Convertible Corporate Preference Shares 1:</t>
  </si>
  <si>
    <t>For Convertible Corporate Preference Shares 2:</t>
  </si>
  <si>
    <t>Series B CCD 1:</t>
  </si>
  <si>
    <t>Series B CCD 2:</t>
  </si>
  <si>
    <t>Revenue from Sale of Power</t>
  </si>
  <si>
    <t>Miscellaneous Income</t>
  </si>
  <si>
    <t>Interest Receivables</t>
  </si>
  <si>
    <t>Other Current Liabilities</t>
  </si>
  <si>
    <t>Cash &amp; Cash Equivalents</t>
  </si>
  <si>
    <t>Previuos PLF</t>
  </si>
  <si>
    <t>(₹ in Crores)</t>
  </si>
  <si>
    <t>Total Expense</t>
  </si>
  <si>
    <t>Depreciation and amortization expense</t>
  </si>
  <si>
    <t>Finance costs</t>
  </si>
  <si>
    <t>Tax expense</t>
  </si>
  <si>
    <t>Motor Vehicle</t>
  </si>
  <si>
    <t>Furniture and Fixtures</t>
  </si>
  <si>
    <t>Estimated Miscellaneous Income as a % of Operating Income (2016 to 2021)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</si>
  <si>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</si>
  <si>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</si>
  <si>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</si>
  <si>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</si>
  <si>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</si>
  <si>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</si>
  <si>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</si>
  <si>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</si>
  <si>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</si>
  <si>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</si>
  <si>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</si>
  <si>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Inventories</t>
  </si>
  <si>
    <t>Amount Payable</t>
  </si>
  <si>
    <t>D_I_O</t>
  </si>
  <si>
    <t>Nifty-50 20 Year Return</t>
  </si>
  <si>
    <t>Calculation of cost of debt and Weight of Debt</t>
  </si>
  <si>
    <t>Average O&amp;M Cost between FY 2020 To FY 2022</t>
  </si>
  <si>
    <t>Company Risk Premium</t>
  </si>
  <si>
    <t>Less: Exceptional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</si>
</sst>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0.000000%"/>
    <numFmt numFmtId="167" formatCode="&quot;Remaining Life on &quot;\ dd/mm/yyyy"/>
    <numFmt numFmtId="168" formatCode="0.0%"/>
    <numFmt numFmtId="169" formatCode="0.0"/>
    <numFmt numFmtId="170" formatCode="0.00000"/>
    <numFmt numFmtId="171" formatCode="0.0000"/>
    <numFmt numFmtId="172" formatCode="_(* #,##0.000000000_);_(* \(#,##0.000000000\);_(* &quot;-&quot;??_);_(@_)"/>
    <numFmt numFmtId="173" formatCode="&quot;Less than &quot;0"/>
    <numFmt numFmtId="174" formatCode="_(* #,##0.0_);_(* \(#,##0.0\);_(* &quot;-&quot;??_);_(@_)"/>
    <numFmt numFmtId="175" formatCode="mmm\ yyyy"/>
    <numFmt numFmtId="176" formatCode="[$-409]mmm\-yy;@"/>
    <numFmt numFmtId="177" formatCode="[$-409]d\-mmm\-yy;@"/>
    <numFmt numFmtId="178" formatCode="&quot;₹&quot;\ 0.00&quot; Crores&quot;"/>
    <numFmt numFmtId="179" formatCode="0_ ;\-0\ "/>
    <numFmt numFmtId="180" formatCode="&quot;₹&quot;\ #,##0.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6" fillId="0" borderId="0" xfId="0" applyFont="1"/>
    <xf numFmtId="0" fontId="7" fillId="3" borderId="0" xfId="0" applyFont="1" applyFill="1"/>
    <xf numFmtId="0" fontId="8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0" fontId="6" fillId="0" borderId="2" xfId="0" applyFont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0" fontId="6" fillId="0" borderId="0" xfId="1" applyNumberFormat="1" applyFont="1"/>
    <xf numFmtId="2" fontId="6" fillId="0" borderId="0" xfId="0" applyNumberFormat="1" applyFont="1"/>
    <xf numFmtId="0" fontId="8" fillId="0" borderId="0" xfId="0" applyFont="1"/>
    <xf numFmtId="10" fontId="6" fillId="0" borderId="5" xfId="1" applyNumberFormat="1" applyFont="1" applyBorder="1"/>
    <xf numFmtId="10" fontId="6" fillId="0" borderId="0" xfId="0" applyNumberFormat="1" applyFont="1"/>
    <xf numFmtId="166" fontId="6" fillId="0" borderId="0" xfId="0" applyNumberFormat="1" applyFont="1"/>
    <xf numFmtId="4" fontId="6" fillId="0" borderId="0" xfId="0" applyNumberFormat="1" applyFont="1"/>
    <xf numFmtId="10" fontId="6" fillId="0" borderId="0" xfId="1" applyNumberFormat="1" applyFont="1" applyFill="1"/>
    <xf numFmtId="0" fontId="6" fillId="0" borderId="0" xfId="0" applyFont="1" applyAlignment="1">
      <alignment wrapText="1"/>
    </xf>
    <xf numFmtId="167" fontId="6" fillId="0" borderId="0" xfId="0" applyNumberFormat="1" applyFont="1"/>
    <xf numFmtId="9" fontId="6" fillId="0" borderId="5" xfId="1" applyFont="1" applyBorder="1"/>
    <xf numFmtId="0" fontId="10" fillId="0" borderId="0" xfId="0" applyFont="1"/>
    <xf numFmtId="15" fontId="7" fillId="2" borderId="1" xfId="0" applyNumberFormat="1" applyFont="1" applyFill="1" applyBorder="1"/>
    <xf numFmtId="2" fontId="8" fillId="0" borderId="0" xfId="0" applyNumberFormat="1" applyFont="1"/>
    <xf numFmtId="2" fontId="6" fillId="0" borderId="5" xfId="0" applyNumberFormat="1" applyFont="1" applyBorder="1"/>
    <xf numFmtId="2" fontId="8" fillId="4" borderId="6" xfId="2" applyNumberFormat="1" applyFont="1" applyFill="1" applyBorder="1"/>
    <xf numFmtId="0" fontId="7" fillId="2" borderId="0" xfId="0" applyFont="1" applyFill="1"/>
    <xf numFmtId="0" fontId="8" fillId="4" borderId="1" xfId="0" applyFont="1" applyFill="1" applyBorder="1"/>
    <xf numFmtId="0" fontId="6" fillId="5" borderId="0" xfId="0" applyFont="1" applyFill="1"/>
    <xf numFmtId="0" fontId="0" fillId="5" borderId="0" xfId="0" applyFill="1"/>
    <xf numFmtId="0" fontId="6" fillId="5" borderId="1" xfId="0" applyFont="1" applyFill="1" applyBorder="1"/>
    <xf numFmtId="4" fontId="6" fillId="5" borderId="1" xfId="0" applyNumberFormat="1" applyFont="1" applyFill="1" applyBorder="1"/>
    <xf numFmtId="10" fontId="6" fillId="5" borderId="0" xfId="1" applyNumberFormat="1" applyFont="1" applyFill="1"/>
    <xf numFmtId="2" fontId="6" fillId="5" borderId="0" xfId="0" applyNumberFormat="1" applyFont="1" applyFill="1"/>
    <xf numFmtId="2" fontId="8" fillId="5" borderId="0" xfId="0" applyNumberFormat="1" applyFont="1" applyFill="1"/>
    <xf numFmtId="2" fontId="6" fillId="5" borderId="5" xfId="0" applyNumberFormat="1" applyFont="1" applyFill="1" applyBorder="1"/>
    <xf numFmtId="2" fontId="8" fillId="5" borderId="6" xfId="2" applyNumberFormat="1" applyFont="1" applyFill="1" applyBorder="1"/>
    <xf numFmtId="10" fontId="6" fillId="5" borderId="5" xfId="1" applyNumberFormat="1" applyFont="1" applyFill="1" applyBorder="1"/>
    <xf numFmtId="4" fontId="8" fillId="5" borderId="0" xfId="0" applyNumberFormat="1" applyFont="1" applyFill="1"/>
    <xf numFmtId="4" fontId="6" fillId="5" borderId="0" xfId="0" applyNumberFormat="1" applyFont="1" applyFill="1"/>
    <xf numFmtId="4" fontId="8" fillId="5" borderId="6" xfId="2" applyNumberFormat="1" applyFont="1" applyFill="1" applyBorder="1"/>
    <xf numFmtId="9" fontId="6" fillId="5" borderId="5" xfId="1" applyFont="1" applyFill="1" applyBorder="1"/>
    <xf numFmtId="15" fontId="11" fillId="5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168" fontId="8" fillId="4" borderId="1" xfId="0" applyNumberFormat="1" applyFont="1" applyFill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3" fillId="0" borderId="1" xfId="0" applyFont="1" applyBorder="1"/>
    <xf numFmtId="49" fontId="11" fillId="4" borderId="1" xfId="3" applyNumberFormat="1" applyFont="1" applyFill="1" applyBorder="1"/>
    <xf numFmtId="169" fontId="11" fillId="4" borderId="1" xfId="3" applyNumberFormat="1" applyFont="1" applyFill="1" applyBorder="1"/>
    <xf numFmtId="49" fontId="9" fillId="0" borderId="1" xfId="3" applyNumberFormat="1" applyFont="1" applyBorder="1"/>
    <xf numFmtId="170" fontId="9" fillId="0" borderId="1" xfId="3" applyNumberFormat="1" applyFont="1" applyBorder="1"/>
    <xf numFmtId="169" fontId="9" fillId="0" borderId="1" xfId="3" applyNumberFormat="1" applyFont="1" applyBorder="1"/>
    <xf numFmtId="10" fontId="6" fillId="0" borderId="1" xfId="4" applyNumberFormat="1" applyFont="1" applyBorder="1"/>
    <xf numFmtId="0" fontId="6" fillId="4" borderId="1" xfId="0" applyFont="1" applyFill="1" applyBorder="1"/>
    <xf numFmtId="10" fontId="6" fillId="4" borderId="1" xfId="4" applyNumberFormat="1" applyFont="1" applyFill="1" applyBorder="1" applyAlignment="1"/>
    <xf numFmtId="170" fontId="9" fillId="4" borderId="1" xfId="3" applyNumberFormat="1" applyFont="1" applyFill="1" applyBorder="1"/>
    <xf numFmtId="169" fontId="9" fillId="4" borderId="1" xfId="3" applyNumberFormat="1" applyFont="1" applyFill="1" applyBorder="1"/>
    <xf numFmtId="10" fontId="8" fillId="4" borderId="1" xfId="4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171" fontId="6" fillId="4" borderId="1" xfId="0" applyNumberFormat="1" applyFont="1" applyFill="1" applyBorder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65" fontId="13" fillId="0" borderId="1" xfId="6" applyFont="1" applyBorder="1" applyAlignment="1">
      <alignment vertical="center"/>
    </xf>
    <xf numFmtId="10" fontId="13" fillId="0" borderId="1" xfId="6" applyNumberFormat="1" applyFont="1" applyBorder="1" applyAlignment="1">
      <alignment vertical="center"/>
    </xf>
    <xf numFmtId="17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5" fillId="0" borderId="1" xfId="0" applyFont="1" applyBorder="1"/>
    <xf numFmtId="0" fontId="16" fillId="4" borderId="1" xfId="0" applyFont="1" applyFill="1" applyBorder="1"/>
    <xf numFmtId="10" fontId="16" fillId="4" borderId="1" xfId="0" applyNumberFormat="1" applyFont="1" applyFill="1" applyBorder="1"/>
    <xf numFmtId="165" fontId="16" fillId="4" borderId="1" xfId="0" applyNumberFormat="1" applyFont="1" applyFill="1" applyBorder="1"/>
    <xf numFmtId="165" fontId="13" fillId="0" borderId="0" xfId="0" applyNumberFormat="1" applyFont="1"/>
    <xf numFmtId="10" fontId="13" fillId="0" borderId="0" xfId="0" applyNumberFormat="1" applyFont="1"/>
    <xf numFmtId="0" fontId="17" fillId="4" borderId="0" xfId="0" applyFont="1" applyFill="1"/>
    <xf numFmtId="0" fontId="18" fillId="0" borderId="0" xfId="0" applyFont="1"/>
    <xf numFmtId="165" fontId="0" fillId="0" borderId="0" xfId="0" applyNumberFormat="1"/>
    <xf numFmtId="43" fontId="0" fillId="0" borderId="0" xfId="5" applyFont="1"/>
    <xf numFmtId="10" fontId="0" fillId="0" borderId="0" xfId="0" applyNumberFormat="1"/>
    <xf numFmtId="171" fontId="18" fillId="0" borderId="0" xfId="0" applyNumberFormat="1" applyFont="1"/>
    <xf numFmtId="0" fontId="20" fillId="2" borderId="0" xfId="0" applyFont="1" applyFill="1"/>
    <xf numFmtId="10" fontId="20" fillId="2" borderId="0" xfId="0" applyNumberFormat="1" applyFont="1" applyFill="1"/>
    <xf numFmtId="2" fontId="13" fillId="0" borderId="1" xfId="6" applyNumberFormat="1" applyFont="1" applyBorder="1" applyAlignment="1">
      <alignment vertical="center"/>
    </xf>
    <xf numFmtId="2" fontId="16" fillId="4" borderId="1" xfId="0" applyNumberFormat="1" applyFont="1" applyFill="1" applyBorder="1"/>
    <xf numFmtId="0" fontId="15" fillId="0" borderId="0" xfId="0" applyFont="1"/>
    <xf numFmtId="4" fontId="15" fillId="0" borderId="1" xfId="0" applyNumberFormat="1" applyFont="1" applyBorder="1"/>
    <xf numFmtId="9" fontId="13" fillId="0" borderId="0" xfId="0" applyNumberFormat="1" applyFon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7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8" fillId="4" borderId="1" xfId="0" applyNumberFormat="1" applyFont="1" applyFill="1" applyBorder="1"/>
    <xf numFmtId="0" fontId="13" fillId="0" borderId="1" xfId="0" applyFont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6" borderId="0" xfId="0" applyFill="1"/>
    <xf numFmtId="43" fontId="13" fillId="0" borderId="0" xfId="0" applyNumberFormat="1" applyFo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9" fontId="6" fillId="0" borderId="1" xfId="0" applyNumberFormat="1" applyFont="1" applyBorder="1"/>
    <xf numFmtId="173" fontId="6" fillId="0" borderId="1" xfId="0" applyNumberFormat="1" applyFont="1" applyBorder="1"/>
    <xf numFmtId="174" fontId="6" fillId="0" borderId="0" xfId="0" applyNumberFormat="1" applyFont="1"/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21" fillId="0" borderId="1" xfId="0" applyFont="1" applyBorder="1" applyAlignment="1">
      <alignment horizontal="right"/>
    </xf>
    <xf numFmtId="10" fontId="21" fillId="0" borderId="1" xfId="0" applyNumberFormat="1" applyFont="1" applyBorder="1"/>
    <xf numFmtId="43" fontId="3" fillId="4" borderId="1" xfId="0" applyNumberFormat="1" applyFont="1" applyFill="1" applyBorder="1"/>
    <xf numFmtId="9" fontId="10" fillId="0" borderId="1" xfId="1" applyFont="1" applyFill="1" applyBorder="1" applyAlignment="1">
      <alignment horizontal="right"/>
    </xf>
    <xf numFmtId="15" fontId="8" fillId="4" borderId="1" xfId="0" applyNumberFormat="1" applyFont="1" applyFill="1" applyBorder="1" applyAlignment="1">
      <alignment horizontal="center" vertical="center" wrapText="1"/>
    </xf>
    <xf numFmtId="15" fontId="8" fillId="4" borderId="6" xfId="0" applyNumberFormat="1" applyFont="1" applyFill="1" applyBorder="1" applyAlignment="1">
      <alignment vertical="center" wrapText="1"/>
    </xf>
    <xf numFmtId="15" fontId="8" fillId="4" borderId="7" xfId="0" applyNumberFormat="1" applyFont="1" applyFill="1" applyBorder="1" applyAlignment="1">
      <alignment vertical="center" wrapText="1"/>
    </xf>
    <xf numFmtId="10" fontId="6" fillId="0" borderId="1" xfId="0" applyNumberFormat="1" applyFont="1" applyBorder="1"/>
    <xf numFmtId="177" fontId="8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65" fontId="6" fillId="0" borderId="0" xfId="0" applyNumberFormat="1" applyFont="1"/>
    <xf numFmtId="9" fontId="11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5" fontId="8" fillId="0" borderId="1" xfId="2" applyFont="1" applyBorder="1"/>
    <xf numFmtId="10" fontId="8" fillId="0" borderId="1" xfId="1" applyNumberFormat="1" applyFont="1" applyBorder="1"/>
    <xf numFmtId="10" fontId="8" fillId="0" borderId="1" xfId="0" applyNumberFormat="1" applyFont="1" applyBorder="1"/>
    <xf numFmtId="165" fontId="8" fillId="4" borderId="1" xfId="2" applyFont="1" applyFill="1" applyBorder="1"/>
    <xf numFmtId="9" fontId="8" fillId="4" borderId="1" xfId="1" applyFont="1" applyFill="1" applyBorder="1"/>
    <xf numFmtId="10" fontId="8" fillId="4" borderId="1" xfId="1" applyNumberFormat="1" applyFont="1" applyFill="1" applyBorder="1"/>
    <xf numFmtId="176" fontId="7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165" fontId="6" fillId="0" borderId="1" xfId="2" applyFont="1" applyBorder="1"/>
    <xf numFmtId="178" fontId="8" fillId="0" borderId="1" xfId="0" applyNumberFormat="1" applyFont="1" applyBorder="1" applyAlignment="1">
      <alignment horizontal="center" vertical="center"/>
    </xf>
    <xf numFmtId="175" fontId="7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9" fillId="0" borderId="1" xfId="0" applyFont="1" applyBorder="1"/>
    <xf numFmtId="174" fontId="6" fillId="0" borderId="1" xfId="0" applyNumberFormat="1" applyFont="1" applyBorder="1"/>
    <xf numFmtId="0" fontId="1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74" fontId="8" fillId="4" borderId="1" xfId="0" applyNumberFormat="1" applyFont="1" applyFill="1" applyBorder="1"/>
    <xf numFmtId="9" fontId="10" fillId="0" borderId="0" xfId="1" applyFont="1" applyFill="1" applyBorder="1" applyAlignment="1">
      <alignment horizontal="right"/>
    </xf>
    <xf numFmtId="176" fontId="7" fillId="2" borderId="1" xfId="0" applyNumberFormat="1" applyFont="1" applyFill="1" applyBorder="1" applyAlignment="1">
      <alignment horizontal="center"/>
    </xf>
    <xf numFmtId="0" fontId="19" fillId="4" borderId="0" xfId="0" applyFont="1" applyFill="1"/>
    <xf numFmtId="0" fontId="1" fillId="2" borderId="0" xfId="0" applyFont="1" applyFill="1" applyAlignment="1">
      <alignment horizontal="center"/>
    </xf>
    <xf numFmtId="2" fontId="13" fillId="0" borderId="1" xfId="0" applyNumberFormat="1" applyFont="1" applyBorder="1"/>
    <xf numFmtId="2" fontId="0" fillId="0" borderId="9" xfId="0" applyNumberFormat="1" applyBorder="1"/>
    <xf numFmtId="2" fontId="0" fillId="0" borderId="4" xfId="0" applyNumberFormat="1" applyBorder="1"/>
    <xf numFmtId="2" fontId="3" fillId="0" borderId="4" xfId="0" applyNumberFormat="1" applyFont="1" applyBorder="1"/>
    <xf numFmtId="0" fontId="6" fillId="4" borderId="1" xfId="0" applyFont="1" applyFill="1" applyBorder="1" applyAlignment="1">
      <alignment horizontal="center"/>
    </xf>
    <xf numFmtId="2" fontId="8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/>
    <xf numFmtId="0" fontId="6" fillId="0" borderId="0" xfId="0" applyFont="1" applyAlignment="1">
      <alignment horizontal="center"/>
    </xf>
    <xf numFmtId="2" fontId="3" fillId="4" borderId="4" xfId="0" applyNumberFormat="1" applyFont="1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0" fontId="3" fillId="8" borderId="2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/>
    <xf numFmtId="9" fontId="0" fillId="0" borderId="1" xfId="0" applyNumberFormat="1" applyBorder="1"/>
    <xf numFmtId="2" fontId="6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0" fontId="3" fillId="4" borderId="4" xfId="0" applyNumberFormat="1" applyFont="1" applyFill="1" applyBorder="1"/>
    <xf numFmtId="2" fontId="3" fillId="4" borderId="0" xfId="0" applyNumberFormat="1" applyFont="1" applyFill="1"/>
    <xf numFmtId="0" fontId="3" fillId="0" borderId="1" xfId="0" applyFont="1" applyBorder="1" applyAlignment="1">
      <alignment horizontal="left"/>
    </xf>
    <xf numFmtId="179" fontId="0" fillId="0" borderId="1" xfId="5" applyNumberFormat="1" applyFont="1" applyBorder="1"/>
    <xf numFmtId="180" fontId="6" fillId="0" borderId="0" xfId="0" applyNumberFormat="1" applyFont="1"/>
    <xf numFmtId="0" fontId="18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171" fontId="6" fillId="5" borderId="1" xfId="0" applyNumberFormat="1" applyFont="1" applyFill="1" applyBorder="1"/>
    <xf numFmtId="10" fontId="6" fillId="5" borderId="0" xfId="1" applyNumberFormat="1" applyFont="1" applyFill="1" applyBorder="1"/>
    <xf numFmtId="10" fontId="6" fillId="0" borderId="0" xfId="1" applyNumberFormat="1" applyFont="1" applyBorder="1"/>
    <xf numFmtId="2" fontId="8" fillId="5" borderId="0" xfId="2" applyNumberFormat="1" applyFont="1" applyFill="1" applyBorder="1"/>
    <xf numFmtId="2" fontId="8" fillId="4" borderId="0" xfId="2" applyNumberFormat="1" applyFont="1" applyFill="1" applyBorder="1"/>
    <xf numFmtId="4" fontId="8" fillId="5" borderId="0" xfId="2" applyNumberFormat="1" applyFont="1" applyFill="1" applyBorder="1"/>
    <xf numFmtId="10" fontId="0" fillId="0" borderId="0" xfId="1" applyNumberFormat="1" applyFont="1"/>
    <xf numFmtId="4" fontId="0" fillId="0" borderId="3" xfId="0" applyNumberFormat="1" applyBorder="1"/>
    <xf numFmtId="14" fontId="3" fillId="4" borderId="1" xfId="0" applyNumberFormat="1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/>
    </xf>
    <xf numFmtId="43" fontId="3" fillId="4" borderId="1" xfId="5" applyFont="1" applyFill="1" applyBorder="1"/>
    <xf numFmtId="165" fontId="8" fillId="0" borderId="1" xfId="0" applyNumberFormat="1" applyFont="1" applyBorder="1"/>
    <xf numFmtId="2" fontId="3" fillId="9" borderId="1" xfId="0" applyNumberFormat="1" applyFont="1" applyFill="1" applyBorder="1"/>
    <xf numFmtId="9" fontId="23" fillId="0" borderId="1" xfId="0" applyNumberFormat="1" applyFont="1" applyBorder="1"/>
    <xf numFmtId="0" fontId="24" fillId="8" borderId="1" xfId="0" applyFont="1" applyFill="1" applyBorder="1"/>
    <xf numFmtId="2" fontId="24" fillId="8" borderId="1" xfId="0" applyNumberFormat="1" applyFont="1" applyFill="1" applyBorder="1"/>
    <xf numFmtId="1" fontId="24" fillId="8" borderId="1" xfId="0" applyNumberFormat="1" applyFont="1" applyFill="1" applyBorder="1"/>
    <xf numFmtId="2" fontId="24" fillId="4" borderId="1" xfId="0" applyNumberFormat="1" applyFont="1" applyFill="1" applyBorder="1"/>
    <xf numFmtId="9" fontId="21" fillId="0" borderId="1" xfId="1" applyFont="1" applyFill="1" applyBorder="1" applyAlignment="1">
      <alignment horizontal="center" vertical="center"/>
    </xf>
    <xf numFmtId="10" fontId="21" fillId="0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165" fontId="8" fillId="4" borderId="0" xfId="2" applyFont="1" applyFill="1" applyBorder="1"/>
    <xf numFmtId="9" fontId="8" fillId="4" borderId="0" xfId="1" applyFont="1" applyFill="1" applyBorder="1"/>
    <xf numFmtId="10" fontId="8" fillId="4" borderId="0" xfId="1" applyNumberFormat="1" applyFont="1" applyFill="1" applyBorder="1"/>
    <xf numFmtId="0" fontId="0" fillId="0" borderId="1" xfId="0" applyBorder="1" applyAlignment="1">
      <alignment horizontal="left"/>
    </xf>
    <xf numFmtId="10" fontId="3" fillId="6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</cellXfs>
  <cellStyles count="7">
    <cellStyle name="Comma" xfId="5" builtinId="3"/>
    <cellStyle name="Comma 2" xfId="2" xr:uid="{00000000-0005-0000-0000-000001000000}"/>
    <cellStyle name="Comma 3 76" xfId="6" xr:uid="{00000000-0005-0000-0000-000002000000}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Vipin%20Dagar/Enterprise%20Valuation/Ratan%20India/RKA%20Model%20and%20Report/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ind-pc\Milind\June%202002\Mar%202002\Ma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Mayank%20Sharma/Enterprise%20Valuation/MUM-183%20CGPCPL/RKA%20Model%20&amp;%20Report/Financial%20Model%20CGPCPL%20V4.xlsx" TargetMode="External"/></Relationships>
</file>

<file path=xl/externalLinks/_rels/externalLink9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2\Desktop\NVEPL\RK%20Working%20April%2023\NSL%20Renewable%20Power%20Pvt.Ltd.%20(Standalone)\RK%20Working%20May%2023\NRPPL%20Historicals.xlsx" TargetMode="External"/><Relationship Id="rId1" Type="http://schemas.openxmlformats.org/officeDocument/2006/relationships/externalLinkPath" Target="file:///C:\Users\FA2\Desktop\NVEPL\RK%20Working%20April%2023\NSL%20Renewable%20Power%20Pvt.Ltd.%20(Standalone)\RK%20Working%20May%2023\NRPPL%20Historicals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tax"/>
      <sheetName val="Result"/>
      <sheetName val="P &amp; L (with)"/>
      <sheetName val="Rec-pay"/>
      <sheetName val="Rent"/>
      <sheetName val="Dep co"/>
      <sheetName val="BP&amp;L"/>
      <sheetName val="Dep 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NRPPL RKA P&amp;L"/>
      <sheetName val="Sheet3"/>
    </sheetNames>
    <sheetDataSet>
      <sheetData sheetId="0">
        <row r="9">
          <cell r="D9">
            <v>8324</v>
          </cell>
          <cell r="E9">
            <v>9668</v>
          </cell>
          <cell r="F9">
            <v>14851</v>
          </cell>
          <cell r="G9">
            <v>10840</v>
          </cell>
          <cell r="H9">
            <v>9764</v>
          </cell>
          <cell r="I9">
            <v>8732.380000000001</v>
          </cell>
          <cell r="J9">
            <v>9000</v>
          </cell>
        </row>
        <row r="12">
          <cell r="D12">
            <v>730</v>
          </cell>
          <cell r="E12">
            <v>839</v>
          </cell>
          <cell r="F12">
            <v>893</v>
          </cell>
          <cell r="G12">
            <v>927</v>
          </cell>
          <cell r="H12">
            <v>971</v>
          </cell>
          <cell r="I12">
            <v>865.82</v>
          </cell>
          <cell r="J12">
            <v>948.46</v>
          </cell>
        </row>
        <row r="13">
          <cell r="D13">
            <v>334</v>
          </cell>
          <cell r="E13">
            <v>281</v>
          </cell>
          <cell r="F13">
            <v>314</v>
          </cell>
          <cell r="G13">
            <v>307</v>
          </cell>
          <cell r="H13">
            <v>414</v>
          </cell>
          <cell r="I13">
            <v>352.9</v>
          </cell>
          <cell r="J13">
            <v>231.05</v>
          </cell>
        </row>
        <row r="14">
          <cell r="D14">
            <v>4095</v>
          </cell>
          <cell r="E14">
            <v>4344</v>
          </cell>
          <cell r="F14">
            <v>4442</v>
          </cell>
          <cell r="G14">
            <v>4207</v>
          </cell>
          <cell r="H14">
            <v>3956</v>
          </cell>
          <cell r="I14">
            <v>4051.23</v>
          </cell>
          <cell r="J14">
            <v>2994.51</v>
          </cell>
        </row>
        <row r="15">
          <cell r="D15">
            <v>1768</v>
          </cell>
          <cell r="E15">
            <v>1735</v>
          </cell>
          <cell r="F15">
            <v>1711</v>
          </cell>
          <cell r="G15">
            <v>1687</v>
          </cell>
          <cell r="H15">
            <v>1772</v>
          </cell>
          <cell r="I15">
            <v>1768.49</v>
          </cell>
          <cell r="J15">
            <v>1522.27</v>
          </cell>
        </row>
        <row r="16">
          <cell r="D16">
            <v>2018</v>
          </cell>
          <cell r="E16">
            <v>1725</v>
          </cell>
          <cell r="F16">
            <v>1346</v>
          </cell>
          <cell r="G16">
            <v>1119</v>
          </cell>
          <cell r="H16">
            <v>3122</v>
          </cell>
          <cell r="I16">
            <v>672.66</v>
          </cell>
          <cell r="J16">
            <v>590.62</v>
          </cell>
        </row>
        <row r="21">
          <cell r="E21">
            <v>49149</v>
          </cell>
          <cell r="F21">
            <v>33768</v>
          </cell>
          <cell r="G21">
            <v>5228</v>
          </cell>
          <cell r="H21">
            <v>8469</v>
          </cell>
          <cell r="I21">
            <v>13415.54</v>
          </cell>
          <cell r="J21">
            <v>7884.19</v>
          </cell>
        </row>
        <row r="29">
          <cell r="D29">
            <v>-427</v>
          </cell>
          <cell r="E29">
            <v>508</v>
          </cell>
          <cell r="F29">
            <v>-850</v>
          </cell>
          <cell r="G29">
            <v>-208</v>
          </cell>
          <cell r="H29">
            <v>-737</v>
          </cell>
          <cell r="I29">
            <v>-0.13</v>
          </cell>
          <cell r="J29">
            <v>0</v>
          </cell>
        </row>
      </sheetData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 refreshError="1">
        <row r="1">
          <cell r="J1">
            <v>6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</row>
        <row r="2">
          <cell r="N2">
            <v>365</v>
          </cell>
          <cell r="O2">
            <v>366</v>
          </cell>
          <cell r="P2">
            <v>365</v>
          </cell>
          <cell r="Q2">
            <v>365</v>
          </cell>
          <cell r="R2">
            <v>365</v>
          </cell>
          <cell r="S2">
            <v>366</v>
          </cell>
          <cell r="T2">
            <v>365</v>
          </cell>
          <cell r="U2">
            <v>365</v>
          </cell>
          <cell r="V2">
            <v>365</v>
          </cell>
          <cell r="W2">
            <v>366</v>
          </cell>
          <cell r="X2">
            <v>365</v>
          </cell>
          <cell r="Y2">
            <v>365</v>
          </cell>
          <cell r="Z2">
            <v>365</v>
          </cell>
          <cell r="AA2">
            <v>366</v>
          </cell>
          <cell r="AB2">
            <v>365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1"/>
  <sheetViews>
    <sheetView topLeftCell="B1" workbookViewId="0">
      <pane ySplit="4" topLeftCell="A44" activePane="bottomLeft" state="frozen"/>
      <selection pane="bottomLeft" activeCell="C64" sqref="C64"/>
    </sheetView>
  </sheetViews>
  <sheetFormatPr defaultColWidth="13.28515625" defaultRowHeight="15" x14ac:dyDescent="0.25"/>
  <cols>
    <col min="1" max="1" width="69.140625" bestFit="1" customWidth="1"/>
    <col min="2" max="2" width="23.85546875" bestFit="1" customWidth="1"/>
    <col min="3" max="3" width="11.5703125" bestFit="1" customWidth="1"/>
    <col min="4" max="4" width="15" bestFit="1" customWidth="1"/>
    <col min="5" max="5" width="6" bestFit="1" customWidth="1"/>
    <col min="6" max="28" width="13.42578125" bestFit="1" customWidth="1"/>
  </cols>
  <sheetData>
    <row r="1" spans="1:36" x14ac:dyDescent="0.25">
      <c r="A1" s="54" t="s">
        <v>50</v>
      </c>
      <c r="B1" s="2"/>
      <c r="C1" s="2"/>
      <c r="D1" s="2"/>
      <c r="E1" s="2"/>
      <c r="F1" s="3">
        <f>E1+1</f>
        <v>1</v>
      </c>
      <c r="G1" s="3">
        <f>F1+1</f>
        <v>2</v>
      </c>
      <c r="H1" s="3">
        <f>G1+1</f>
        <v>3</v>
      </c>
      <c r="I1" s="3">
        <f t="shared" ref="I1:AB2" si="0">H1+1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</row>
    <row r="2" spans="1:36" x14ac:dyDescent="0.25">
      <c r="A2" s="54" t="s">
        <v>51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>
        <v>1</v>
      </c>
      <c r="O2" s="3">
        <f t="shared" si="0"/>
        <v>2</v>
      </c>
      <c r="P2" s="3">
        <f t="shared" si="0"/>
        <v>3</v>
      </c>
      <c r="Q2" s="3">
        <f t="shared" si="0"/>
        <v>4</v>
      </c>
      <c r="R2" s="3">
        <f t="shared" si="0"/>
        <v>5</v>
      </c>
      <c r="S2" s="3">
        <f t="shared" si="0"/>
        <v>6</v>
      </c>
      <c r="T2" s="3">
        <f t="shared" si="0"/>
        <v>7</v>
      </c>
      <c r="U2" s="3">
        <f t="shared" si="0"/>
        <v>8</v>
      </c>
      <c r="V2" s="3">
        <f t="shared" si="0"/>
        <v>9</v>
      </c>
      <c r="W2" s="3">
        <f t="shared" si="0"/>
        <v>10</v>
      </c>
      <c r="X2" s="3">
        <f t="shared" si="0"/>
        <v>11</v>
      </c>
      <c r="Y2" s="3">
        <f t="shared" si="0"/>
        <v>12</v>
      </c>
      <c r="Z2" s="3">
        <f t="shared" si="0"/>
        <v>13</v>
      </c>
      <c r="AA2" s="3">
        <f t="shared" si="0"/>
        <v>14</v>
      </c>
      <c r="AB2" s="3">
        <f t="shared" si="0"/>
        <v>15</v>
      </c>
    </row>
    <row r="3" spans="1:36" x14ac:dyDescent="0.25">
      <c r="A3" s="54" t="s">
        <v>0</v>
      </c>
      <c r="B3" s="2"/>
      <c r="C3" s="2"/>
      <c r="D3" s="2"/>
      <c r="E3" s="2"/>
      <c r="F3" s="3"/>
      <c r="G3" s="3">
        <f t="shared" ref="G3:J3" si="1">G4-F4</f>
        <v>366</v>
      </c>
      <c r="H3" s="3">
        <f t="shared" si="1"/>
        <v>365</v>
      </c>
      <c r="I3" s="3">
        <f t="shared" si="1"/>
        <v>365</v>
      </c>
      <c r="J3" s="3">
        <f t="shared" si="1"/>
        <v>365</v>
      </c>
      <c r="K3" s="3">
        <f>K4-J4</f>
        <v>366</v>
      </c>
      <c r="L3" s="3">
        <f t="shared" ref="L3:W3" si="2">L4-K4</f>
        <v>365</v>
      </c>
      <c r="M3" s="3">
        <f t="shared" si="2"/>
        <v>365</v>
      </c>
      <c r="N3" s="3">
        <f t="shared" si="2"/>
        <v>365</v>
      </c>
      <c r="O3" s="3">
        <f t="shared" si="2"/>
        <v>366</v>
      </c>
      <c r="P3" s="3">
        <f t="shared" si="2"/>
        <v>365</v>
      </c>
      <c r="Q3" s="3">
        <f t="shared" si="2"/>
        <v>365</v>
      </c>
      <c r="R3" s="3">
        <f t="shared" si="2"/>
        <v>365</v>
      </c>
      <c r="S3" s="3">
        <f t="shared" si="2"/>
        <v>366</v>
      </c>
      <c r="T3" s="3">
        <f t="shared" si="2"/>
        <v>365</v>
      </c>
      <c r="U3" s="3">
        <f t="shared" si="2"/>
        <v>365</v>
      </c>
      <c r="V3" s="3">
        <f t="shared" si="2"/>
        <v>365</v>
      </c>
      <c r="W3" s="3">
        <f t="shared" si="2"/>
        <v>366</v>
      </c>
      <c r="X3" s="3">
        <f t="shared" ref="X3" si="3">X4-W4</f>
        <v>365</v>
      </c>
      <c r="Y3" s="3">
        <f t="shared" ref="Y3" si="4">Y4-X4</f>
        <v>365</v>
      </c>
      <c r="Z3" s="3">
        <f t="shared" ref="Z3" si="5">Z4-Y4</f>
        <v>365</v>
      </c>
      <c r="AA3" s="3">
        <f t="shared" ref="AA3" si="6">AA4-Z4</f>
        <v>366</v>
      </c>
      <c r="AB3" s="3">
        <f>C31-AA4</f>
        <v>182</v>
      </c>
    </row>
    <row r="4" spans="1:36" x14ac:dyDescent="0.25">
      <c r="A4" s="54" t="s">
        <v>1</v>
      </c>
      <c r="B4" s="2"/>
      <c r="C4" s="2"/>
      <c r="D4" s="2"/>
      <c r="E4" s="2"/>
      <c r="F4" s="4">
        <v>42094</v>
      </c>
      <c r="G4" s="4">
        <f t="shared" ref="G4" si="7">EDATE(F4,12)</f>
        <v>42460</v>
      </c>
      <c r="H4" s="4">
        <f>EDATE(G4,12)</f>
        <v>42825</v>
      </c>
      <c r="I4" s="4">
        <f t="shared" ref="I4:AB4" si="8">EDATE(H4,12)</f>
        <v>43190</v>
      </c>
      <c r="J4" s="4">
        <f t="shared" si="8"/>
        <v>43555</v>
      </c>
      <c r="K4" s="4">
        <f t="shared" si="8"/>
        <v>43921</v>
      </c>
      <c r="L4" s="4">
        <f t="shared" si="8"/>
        <v>44286</v>
      </c>
      <c r="M4" s="4">
        <f t="shared" si="8"/>
        <v>44651</v>
      </c>
      <c r="N4" s="4">
        <f t="shared" si="8"/>
        <v>45016</v>
      </c>
      <c r="O4" s="4">
        <f t="shared" si="8"/>
        <v>45382</v>
      </c>
      <c r="P4" s="4">
        <f t="shared" si="8"/>
        <v>45747</v>
      </c>
      <c r="Q4" s="4">
        <f t="shared" si="8"/>
        <v>46112</v>
      </c>
      <c r="R4" s="4">
        <f t="shared" si="8"/>
        <v>46477</v>
      </c>
      <c r="S4" s="4">
        <f t="shared" si="8"/>
        <v>46843</v>
      </c>
      <c r="T4" s="4">
        <f t="shared" si="8"/>
        <v>47208</v>
      </c>
      <c r="U4" s="4">
        <f t="shared" si="8"/>
        <v>47573</v>
      </c>
      <c r="V4" s="4">
        <f t="shared" si="8"/>
        <v>47938</v>
      </c>
      <c r="W4" s="4">
        <f t="shared" si="8"/>
        <v>48304</v>
      </c>
      <c r="X4" s="4">
        <f t="shared" si="8"/>
        <v>48669</v>
      </c>
      <c r="Y4" s="4">
        <f t="shared" si="8"/>
        <v>49034</v>
      </c>
      <c r="Z4" s="4">
        <f t="shared" si="8"/>
        <v>49399</v>
      </c>
      <c r="AA4" s="4">
        <f t="shared" si="8"/>
        <v>49765</v>
      </c>
      <c r="AB4" s="4">
        <f t="shared" si="8"/>
        <v>50130</v>
      </c>
      <c r="AC4" s="1"/>
      <c r="AD4" s="1"/>
      <c r="AE4" s="1"/>
      <c r="AF4" s="1"/>
      <c r="AG4" s="1"/>
      <c r="AH4" s="1"/>
      <c r="AI4" s="1"/>
      <c r="AJ4" s="1"/>
    </row>
    <row r="5" spans="1:36" x14ac:dyDescent="0.25">
      <c r="A5" s="12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21" t="s">
        <v>262</v>
      </c>
      <c r="G6" s="86">
        <v>0.3315084007986262</v>
      </c>
      <c r="H6" s="86">
        <v>0.40011306436426508</v>
      </c>
      <c r="I6" s="86">
        <v>0.3680531111608879</v>
      </c>
      <c r="J6" s="86">
        <v>0.3282357401691699</v>
      </c>
      <c r="K6" s="209">
        <v>0.29684244005697824</v>
      </c>
      <c r="L6" s="209">
        <v>0.28253061028575421</v>
      </c>
      <c r="M6" s="209">
        <v>0.24946401091468681</v>
      </c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21"/>
      <c r="AC7" s="1"/>
      <c r="AD7" s="1"/>
      <c r="AE7" s="1"/>
      <c r="AF7" s="1"/>
      <c r="AG7" s="1"/>
      <c r="AH7" s="1"/>
      <c r="AI7" s="1"/>
      <c r="AJ7" s="1"/>
    </row>
    <row r="8" spans="1:36" x14ac:dyDescent="0.25">
      <c r="A8" s="12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"/>
      <c r="AD8" s="1"/>
      <c r="AE8" s="1"/>
      <c r="AF8" s="1"/>
      <c r="AG8" s="1"/>
      <c r="AH8" s="1"/>
      <c r="AI8" s="1"/>
      <c r="AJ8" s="1"/>
    </row>
    <row r="9" spans="1:36" x14ac:dyDescent="0.25">
      <c r="A9" s="112" t="s">
        <v>223</v>
      </c>
    </row>
    <row r="10" spans="1:36" x14ac:dyDescent="0.25">
      <c r="A10" s="2" t="s">
        <v>109</v>
      </c>
      <c r="B10" s="2"/>
      <c r="C10" s="103">
        <v>38990</v>
      </c>
    </row>
    <row r="11" spans="1:36" x14ac:dyDescent="0.25">
      <c r="A11" s="2" t="s">
        <v>110</v>
      </c>
      <c r="B11" s="3" t="s">
        <v>111</v>
      </c>
      <c r="C11" s="2">
        <v>25</v>
      </c>
    </row>
    <row r="12" spans="1:36" x14ac:dyDescent="0.25">
      <c r="A12" s="2" t="s">
        <v>112</v>
      </c>
      <c r="B12" s="2"/>
      <c r="C12" s="103">
        <f>EDATE(C10,(12*C11))-1</f>
        <v>48120</v>
      </c>
    </row>
    <row r="13" spans="1:36" x14ac:dyDescent="0.25">
      <c r="A13" s="2" t="s">
        <v>118</v>
      </c>
      <c r="B13" s="2"/>
      <c r="C13" s="103">
        <f>DATE(IF(MONTH(C12)&lt;=3,YEAR(C12),YEAR(C12)+1),3,31)</f>
        <v>48304</v>
      </c>
    </row>
    <row r="14" spans="1:36" x14ac:dyDescent="0.25">
      <c r="A14" s="2" t="s">
        <v>113</v>
      </c>
      <c r="B14" s="2"/>
      <c r="C14" s="103">
        <f>C10</f>
        <v>38990</v>
      </c>
    </row>
    <row r="15" spans="1:36" x14ac:dyDescent="0.25">
      <c r="A15" s="2" t="s">
        <v>114</v>
      </c>
      <c r="B15" s="3" t="s">
        <v>111</v>
      </c>
      <c r="C15" s="2">
        <v>20</v>
      </c>
    </row>
    <row r="16" spans="1:36" x14ac:dyDescent="0.25">
      <c r="A16" s="2" t="s">
        <v>115</v>
      </c>
      <c r="B16" s="3"/>
      <c r="C16" s="103">
        <f>EDATE(C14,(12*C15))-1</f>
        <v>46294</v>
      </c>
    </row>
    <row r="17" spans="1:6" x14ac:dyDescent="0.25">
      <c r="A17" s="2" t="s">
        <v>116</v>
      </c>
      <c r="B17" s="3"/>
      <c r="C17" s="103">
        <f>EDATE(C16,0)+1</f>
        <v>46295</v>
      </c>
    </row>
    <row r="18" spans="1:6" x14ac:dyDescent="0.25">
      <c r="A18" s="2" t="s">
        <v>117</v>
      </c>
      <c r="B18" s="3"/>
      <c r="C18" s="103">
        <f>C12</f>
        <v>48120</v>
      </c>
    </row>
    <row r="19" spans="1:6" x14ac:dyDescent="0.25">
      <c r="A19" s="2" t="s">
        <v>126</v>
      </c>
      <c r="B19" s="3" t="s">
        <v>127</v>
      </c>
      <c r="C19" s="2">
        <v>5</v>
      </c>
    </row>
    <row r="20" spans="1:6" x14ac:dyDescent="0.25">
      <c r="A20" s="2" t="s">
        <v>232</v>
      </c>
      <c r="B20" s="3" t="s">
        <v>55</v>
      </c>
      <c r="C20" s="189">
        <v>0.32</v>
      </c>
    </row>
    <row r="21" spans="1:6" x14ac:dyDescent="0.25">
      <c r="A21" s="2" t="s">
        <v>144</v>
      </c>
      <c r="B21" s="3"/>
      <c r="C21" s="189">
        <v>0.3</v>
      </c>
    </row>
    <row r="22" spans="1:6" x14ac:dyDescent="0.25">
      <c r="A22" s="2" t="s">
        <v>108</v>
      </c>
      <c r="B22" s="3" t="s">
        <v>55</v>
      </c>
      <c r="C22" s="102">
        <v>5.0000000000000001E-4</v>
      </c>
    </row>
    <row r="23" spans="1:6" x14ac:dyDescent="0.25">
      <c r="A23" s="2" t="s">
        <v>225</v>
      </c>
      <c r="B23" s="3" t="s">
        <v>107</v>
      </c>
      <c r="C23" s="98">
        <v>3.4</v>
      </c>
    </row>
    <row r="24" spans="1:6" x14ac:dyDescent="0.25">
      <c r="A24" s="2" t="s">
        <v>226</v>
      </c>
      <c r="B24" s="3" t="s">
        <v>107</v>
      </c>
      <c r="C24" s="217">
        <v>3.56</v>
      </c>
      <c r="F24">
        <f>4.75*0.85</f>
        <v>4.0374999999999996</v>
      </c>
    </row>
    <row r="25" spans="1:6" x14ac:dyDescent="0.25">
      <c r="A25" s="2" t="s">
        <v>227</v>
      </c>
      <c r="B25" s="3" t="s">
        <v>107</v>
      </c>
      <c r="C25" s="218">
        <v>3.56</v>
      </c>
    </row>
    <row r="26" spans="1:6" x14ac:dyDescent="0.25">
      <c r="B26" s="106"/>
      <c r="C26" s="86"/>
      <c r="F26">
        <f>3/0.85</f>
        <v>3.5294117647058822</v>
      </c>
    </row>
    <row r="27" spans="1:6" x14ac:dyDescent="0.25">
      <c r="B27" s="106"/>
      <c r="C27" s="86"/>
    </row>
    <row r="28" spans="1:6" x14ac:dyDescent="0.25">
      <c r="A28" s="112" t="s">
        <v>224</v>
      </c>
    </row>
    <row r="29" spans="1:6" x14ac:dyDescent="0.25">
      <c r="A29" s="2" t="s">
        <v>109</v>
      </c>
      <c r="B29" s="2"/>
      <c r="C29" s="103">
        <v>40816</v>
      </c>
    </row>
    <row r="30" spans="1:6" x14ac:dyDescent="0.25">
      <c r="A30" s="2" t="s">
        <v>110</v>
      </c>
      <c r="B30" s="3" t="s">
        <v>111</v>
      </c>
      <c r="C30" s="2">
        <v>25</v>
      </c>
    </row>
    <row r="31" spans="1:6" x14ac:dyDescent="0.25">
      <c r="A31" s="2" t="s">
        <v>112</v>
      </c>
      <c r="B31" s="2"/>
      <c r="C31" s="103">
        <f>EDATE(C29,(12*C30))-1</f>
        <v>49947</v>
      </c>
    </row>
    <row r="32" spans="1:6" x14ac:dyDescent="0.25">
      <c r="A32" s="2" t="s">
        <v>118</v>
      </c>
      <c r="B32" s="2"/>
      <c r="C32" s="103">
        <f>DATE(IF(MONTH(C31)&gt;3,YEAR(C31)+1,YEAR(C31)),3,31)</f>
        <v>50130</v>
      </c>
    </row>
    <row r="33" spans="1:28" x14ac:dyDescent="0.25">
      <c r="A33" s="2" t="s">
        <v>113</v>
      </c>
      <c r="B33" s="2"/>
      <c r="C33" s="103">
        <f>C29</f>
        <v>40816</v>
      </c>
    </row>
    <row r="34" spans="1:28" x14ac:dyDescent="0.25">
      <c r="A34" s="2" t="s">
        <v>114</v>
      </c>
      <c r="B34" s="3" t="s">
        <v>111</v>
      </c>
      <c r="C34" s="2">
        <v>20</v>
      </c>
    </row>
    <row r="35" spans="1:28" x14ac:dyDescent="0.25">
      <c r="A35" s="2" t="s">
        <v>115</v>
      </c>
      <c r="B35" s="3"/>
      <c r="C35" s="103">
        <f>EDATE(C33,(12*C34))-1</f>
        <v>48120</v>
      </c>
    </row>
    <row r="36" spans="1:28" x14ac:dyDescent="0.25">
      <c r="A36" s="2" t="s">
        <v>116</v>
      </c>
      <c r="B36" s="3"/>
      <c r="C36" s="103">
        <f>EDATE(C35,0)+1</f>
        <v>48121</v>
      </c>
    </row>
    <row r="37" spans="1:28" x14ac:dyDescent="0.25">
      <c r="A37" s="2" t="s">
        <v>117</v>
      </c>
      <c r="B37" s="3"/>
      <c r="C37" s="103">
        <f>C31</f>
        <v>49947</v>
      </c>
    </row>
    <row r="38" spans="1:28" x14ac:dyDescent="0.25">
      <c r="A38" s="2" t="s">
        <v>126</v>
      </c>
      <c r="B38" s="3" t="s">
        <v>127</v>
      </c>
      <c r="C38" s="2">
        <v>50.4</v>
      </c>
    </row>
    <row r="39" spans="1:28" x14ac:dyDescent="0.25">
      <c r="A39" s="2" t="s">
        <v>143</v>
      </c>
      <c r="B39" s="3" t="s">
        <v>55</v>
      </c>
      <c r="C39" s="216">
        <v>0.33</v>
      </c>
    </row>
    <row r="40" spans="1:28" x14ac:dyDescent="0.25">
      <c r="A40" s="2" t="s">
        <v>144</v>
      </c>
      <c r="B40" s="3"/>
      <c r="C40" s="189">
        <v>0.3</v>
      </c>
    </row>
    <row r="41" spans="1:28" x14ac:dyDescent="0.25">
      <c r="A41" s="2" t="s">
        <v>108</v>
      </c>
      <c r="B41" s="3" t="s">
        <v>55</v>
      </c>
      <c r="C41" s="102">
        <v>5.0000000000000001E-4</v>
      </c>
    </row>
    <row r="42" spans="1:28" x14ac:dyDescent="0.25">
      <c r="A42" s="2" t="s">
        <v>228</v>
      </c>
      <c r="B42" s="3" t="s">
        <v>107</v>
      </c>
      <c r="C42" s="187">
        <v>3.4</v>
      </c>
    </row>
    <row r="43" spans="1:28" x14ac:dyDescent="0.25">
      <c r="A43" s="2" t="s">
        <v>229</v>
      </c>
      <c r="B43" s="3" t="s">
        <v>107</v>
      </c>
      <c r="C43" s="188">
        <f>M46</f>
        <v>3.56</v>
      </c>
    </row>
    <row r="44" spans="1:28" x14ac:dyDescent="0.25">
      <c r="A44" s="2" t="s">
        <v>230</v>
      </c>
      <c r="B44" s="3" t="s">
        <v>107</v>
      </c>
      <c r="C44" s="218">
        <v>3.7</v>
      </c>
    </row>
    <row r="45" spans="1:28" x14ac:dyDescent="0.25">
      <c r="B45" s="106"/>
      <c r="C45" s="86"/>
    </row>
    <row r="46" spans="1:28" x14ac:dyDescent="0.25">
      <c r="A46" s="2" t="s">
        <v>231</v>
      </c>
      <c r="B46" s="3" t="s">
        <v>107</v>
      </c>
      <c r="C46" s="102"/>
      <c r="D46" s="2"/>
      <c r="E46" s="2"/>
      <c r="F46" s="2"/>
      <c r="G46" s="2"/>
      <c r="H46" s="2">
        <v>3.57</v>
      </c>
      <c r="I46" s="2">
        <v>3.63</v>
      </c>
      <c r="J46" s="98">
        <v>3.5</v>
      </c>
      <c r="K46" s="2">
        <v>3.56</v>
      </c>
      <c r="L46" s="2">
        <v>3.56</v>
      </c>
      <c r="M46" s="188">
        <v>3.56</v>
      </c>
    </row>
    <row r="47" spans="1:28" x14ac:dyDescent="0.25">
      <c r="A47" s="184" t="s">
        <v>233</v>
      </c>
      <c r="B47" s="185" t="s">
        <v>55</v>
      </c>
      <c r="C47" s="186">
        <f>M46/H46-1</f>
        <v>-2.8011204481792618E-3</v>
      </c>
    </row>
    <row r="48" spans="1:28" x14ac:dyDescent="0.25">
      <c r="A48" s="2" t="s">
        <v>234</v>
      </c>
      <c r="B48" s="3" t="s">
        <v>107</v>
      </c>
      <c r="C48" s="102"/>
      <c r="D48" s="2"/>
      <c r="E48" s="2"/>
      <c r="F48" s="2"/>
      <c r="G48" s="2"/>
      <c r="H48" s="2"/>
      <c r="I48" s="2"/>
      <c r="J48" s="2"/>
      <c r="K48" s="2"/>
      <c r="L48" s="2"/>
      <c r="M48" s="2"/>
      <c r="N48" s="98">
        <f>M46*(1+$C$47)</f>
        <v>3.550028011204482</v>
      </c>
      <c r="O48" s="98">
        <f t="shared" ref="O48:AB48" si="9">N48*(1+$C$47)</f>
        <v>3.540083955150688</v>
      </c>
      <c r="P48" s="98">
        <f t="shared" si="9"/>
        <v>3.5301677535956442</v>
      </c>
      <c r="Q48" s="98">
        <f t="shared" si="9"/>
        <v>3.5202793285155445</v>
      </c>
      <c r="R48" s="187">
        <f t="shared" si="9"/>
        <v>3.5104186021051369</v>
      </c>
      <c r="S48" s="98">
        <f t="shared" si="9"/>
        <v>3.5005854967771115</v>
      </c>
      <c r="T48" s="98">
        <f t="shared" si="9"/>
        <v>3.4907799351614894</v>
      </c>
      <c r="U48" s="98">
        <f t="shared" si="9"/>
        <v>3.4810018401050149</v>
      </c>
      <c r="V48" s="98">
        <f t="shared" si="9"/>
        <v>3.4712511346705472</v>
      </c>
      <c r="W48" s="187">
        <f t="shared" si="9"/>
        <v>3.4615277421364561</v>
      </c>
      <c r="X48" s="98">
        <f t="shared" si="9"/>
        <v>3.4518315859960178</v>
      </c>
      <c r="Y48" s="98">
        <f t="shared" si="9"/>
        <v>3.4421625899568133</v>
      </c>
      <c r="Z48" s="98">
        <f t="shared" si="9"/>
        <v>3.4325206779401278</v>
      </c>
      <c r="AA48" s="98">
        <f t="shared" si="9"/>
        <v>3.4229057740803515</v>
      </c>
      <c r="AB48" s="98">
        <f t="shared" si="9"/>
        <v>3.413317802724384</v>
      </c>
    </row>
    <row r="49" spans="1:13" x14ac:dyDescent="0.25">
      <c r="B49" s="106"/>
      <c r="C49" s="86"/>
    </row>
    <row r="50" spans="1:13" x14ac:dyDescent="0.25">
      <c r="A50" s="124" t="s">
        <v>221</v>
      </c>
      <c r="B50" s="3" t="s">
        <v>55</v>
      </c>
      <c r="C50" s="118">
        <v>2.5000000000000001E-3</v>
      </c>
      <c r="D50" s="2"/>
      <c r="E50" s="2"/>
      <c r="F50" s="2"/>
      <c r="G50" s="102">
        <v>6.1068702290076335E-3</v>
      </c>
      <c r="H50" s="102">
        <v>0</v>
      </c>
      <c r="I50" s="102">
        <v>4.1350792556857337E-3</v>
      </c>
      <c r="J50" s="102">
        <v>1.4795635287590161E-3</v>
      </c>
      <c r="K50" s="102">
        <v>1.8408672530169769E-3</v>
      </c>
      <c r="L50" s="102">
        <v>1.863241911982773E-3</v>
      </c>
      <c r="M50" s="102">
        <v>1.5426166086766103E-3</v>
      </c>
    </row>
    <row r="51" spans="1:13" x14ac:dyDescent="0.25">
      <c r="A51" s="124" t="s">
        <v>242</v>
      </c>
      <c r="B51" s="105" t="s">
        <v>107</v>
      </c>
      <c r="C51" s="182">
        <v>0.5</v>
      </c>
    </row>
    <row r="53" spans="1:13" x14ac:dyDescent="0.25">
      <c r="A53" s="112" t="s">
        <v>136</v>
      </c>
    </row>
    <row r="54" spans="1:13" x14ac:dyDescent="0.25">
      <c r="F54">
        <v>100</v>
      </c>
    </row>
    <row r="55" spans="1:13" x14ac:dyDescent="0.25">
      <c r="A55" s="112" t="s">
        <v>235</v>
      </c>
    </row>
    <row r="56" spans="1:13" x14ac:dyDescent="0.25">
      <c r="A56" s="2" t="s">
        <v>235</v>
      </c>
      <c r="B56" s="49" t="s">
        <v>57</v>
      </c>
      <c r="C56" s="2"/>
      <c r="D56" s="2"/>
      <c r="E56" s="2"/>
      <c r="F56" s="2"/>
      <c r="G56" s="180">
        <v>17.010000000000002</v>
      </c>
      <c r="H56" s="180">
        <v>26.36</v>
      </c>
      <c r="I56" s="180">
        <v>23.35</v>
      </c>
      <c r="J56" s="180">
        <v>47.63</v>
      </c>
      <c r="K56" s="210">
        <v>47.42</v>
      </c>
      <c r="L56" s="210">
        <v>25.226199999999999</v>
      </c>
      <c r="M56" s="210">
        <v>21.757999999999999</v>
      </c>
    </row>
    <row r="57" spans="1:13" x14ac:dyDescent="0.25">
      <c r="A57" s="2" t="s">
        <v>236</v>
      </c>
      <c r="B57" s="49" t="s">
        <v>57</v>
      </c>
      <c r="C57" s="2"/>
      <c r="D57" s="2"/>
      <c r="E57" s="2"/>
      <c r="F57" s="2"/>
      <c r="G57" s="180">
        <f>(11630+23035)/100</f>
        <v>346.65</v>
      </c>
      <c r="H57" s="180">
        <f>(8739+8728)/100</f>
        <v>174.67</v>
      </c>
      <c r="I57" s="180">
        <f>(5719+6187)/100</f>
        <v>119.06</v>
      </c>
      <c r="J57" s="180">
        <f>(5719+6319)/100</f>
        <v>120.38</v>
      </c>
      <c r="K57">
        <f>(5176+5719)/100</f>
        <v>108.95</v>
      </c>
      <c r="L57" s="119">
        <f>(2828.34+5719.43)/100</f>
        <v>85.477699999999999</v>
      </c>
      <c r="M57" s="119">
        <f>(2802.1+5719.43)/100</f>
        <v>85.215300000000013</v>
      </c>
    </row>
    <row r="58" spans="1:13" x14ac:dyDescent="0.25">
      <c r="A58" s="2" t="s">
        <v>237</v>
      </c>
      <c r="B58" s="3" t="s">
        <v>55</v>
      </c>
      <c r="C58" s="2"/>
      <c r="D58" s="2"/>
      <c r="E58" s="2"/>
      <c r="F58" s="2"/>
      <c r="G58" s="102">
        <f>G56/G57</f>
        <v>4.9069666810904376E-2</v>
      </c>
      <c r="H58" s="102">
        <f t="shared" ref="H58:M58" si="10">H56/H57</f>
        <v>0.15091315051239482</v>
      </c>
      <c r="I58" s="102">
        <f t="shared" si="10"/>
        <v>0.19611960356122965</v>
      </c>
      <c r="J58" s="102">
        <f t="shared" si="10"/>
        <v>0.39566373151686329</v>
      </c>
      <c r="K58" s="102">
        <f t="shared" si="10"/>
        <v>0.4352455254703993</v>
      </c>
      <c r="L58" s="102">
        <f t="shared" si="10"/>
        <v>0.29512024773712908</v>
      </c>
      <c r="M58" s="102">
        <f t="shared" si="10"/>
        <v>0.25532973538789389</v>
      </c>
    </row>
    <row r="59" spans="1:13" x14ac:dyDescent="0.25">
      <c r="A59" s="2" t="s">
        <v>238</v>
      </c>
      <c r="B59" s="3" t="s">
        <v>55</v>
      </c>
      <c r="C59" s="216">
        <f>AVERAGE(G58:M58)</f>
        <v>0.25392309442811634</v>
      </c>
      <c r="D59" s="2"/>
      <c r="E59" s="2"/>
      <c r="F59" s="2"/>
      <c r="G59" s="2"/>
      <c r="H59" s="102"/>
      <c r="I59" s="102"/>
      <c r="J59" s="102"/>
    </row>
    <row r="60" spans="1:13" x14ac:dyDescent="0.25">
      <c r="A60" s="2" t="s">
        <v>239</v>
      </c>
      <c r="B60" s="49" t="s">
        <v>57</v>
      </c>
      <c r="C60" s="2">
        <v>85.22</v>
      </c>
      <c r="D60" s="2"/>
      <c r="E60" s="2"/>
      <c r="F60" s="2"/>
      <c r="G60" s="2"/>
      <c r="H60" s="102"/>
      <c r="I60" s="102"/>
      <c r="J60" s="102"/>
    </row>
    <row r="61" spans="1:13" x14ac:dyDescent="0.25">
      <c r="A61" s="2" t="s">
        <v>240</v>
      </c>
      <c r="B61" s="49" t="s">
        <v>57</v>
      </c>
      <c r="C61" s="219">
        <f>C59*C60</f>
        <v>21.639326107164074</v>
      </c>
      <c r="D61" s="2"/>
      <c r="E61" s="2"/>
      <c r="F61" s="2"/>
      <c r="G61" s="2"/>
      <c r="H61" s="102"/>
      <c r="I61" s="102"/>
      <c r="J61" s="102"/>
    </row>
    <row r="62" spans="1:13" x14ac:dyDescent="0.25">
      <c r="A62" s="2"/>
      <c r="B62" s="3"/>
      <c r="C62" s="2"/>
      <c r="D62" s="2"/>
      <c r="E62" s="2"/>
      <c r="F62" s="2"/>
      <c r="G62" s="2"/>
      <c r="H62" s="102"/>
      <c r="I62" s="102"/>
      <c r="J62" s="102"/>
    </row>
    <row r="63" spans="1:13" x14ac:dyDescent="0.25">
      <c r="A63" s="2" t="s">
        <v>241</v>
      </c>
      <c r="B63" s="3" t="s">
        <v>55</v>
      </c>
      <c r="C63" s="2"/>
      <c r="D63" s="2"/>
      <c r="E63" s="2"/>
      <c r="F63" s="2"/>
      <c r="G63" s="102">
        <v>3.6563071297989033E-4</v>
      </c>
      <c r="H63" s="102">
        <v>1.2117540139351712E-3</v>
      </c>
      <c r="I63" s="102">
        <v>1.6466326362588506E-3</v>
      </c>
      <c r="J63" s="102">
        <v>3.1394275161588181E-3</v>
      </c>
      <c r="K63" s="209">
        <v>0</v>
      </c>
      <c r="L63" s="209">
        <v>1.302058195780645E-3</v>
      </c>
      <c r="M63" s="209">
        <v>0.24342118049482053</v>
      </c>
    </row>
    <row r="64" spans="1:13" x14ac:dyDescent="0.25">
      <c r="A64" s="2" t="s">
        <v>270</v>
      </c>
      <c r="B64" s="3" t="s">
        <v>55</v>
      </c>
      <c r="C64" s="231">
        <v>1.5E-3</v>
      </c>
      <c r="D64" s="2"/>
      <c r="E64" s="2"/>
      <c r="F64" s="2"/>
      <c r="G64" s="2"/>
      <c r="H64" s="102"/>
      <c r="I64" s="102"/>
      <c r="J64" s="102"/>
    </row>
    <row r="66" spans="1:13" x14ac:dyDescent="0.25">
      <c r="A66" s="112" t="s">
        <v>105</v>
      </c>
      <c r="B66" s="172" t="s">
        <v>205</v>
      </c>
      <c r="C66" s="172" t="s">
        <v>206</v>
      </c>
    </row>
    <row r="67" spans="1:13" x14ac:dyDescent="0.25">
      <c r="A67" s="2" t="s">
        <v>243</v>
      </c>
      <c r="B67" s="102">
        <f>(11%+12.15%)/2</f>
        <v>0.11574999999999999</v>
      </c>
      <c r="C67" s="98">
        <f>129.468+0.3754+9.6273</f>
        <v>139.47069999999999</v>
      </c>
    </row>
    <row r="68" spans="1:13" x14ac:dyDescent="0.25">
      <c r="A68" s="2" t="s">
        <v>244</v>
      </c>
      <c r="B68" s="102">
        <v>0.05</v>
      </c>
      <c r="C68" s="98">
        <v>57.75</v>
      </c>
    </row>
    <row r="69" spans="1:13" x14ac:dyDescent="0.25">
      <c r="A69" s="2" t="s">
        <v>245</v>
      </c>
      <c r="B69" s="102">
        <v>0.06</v>
      </c>
      <c r="C69" s="98">
        <v>24.74</v>
      </c>
    </row>
    <row r="70" spans="1:13" x14ac:dyDescent="0.25">
      <c r="A70" s="2" t="s">
        <v>246</v>
      </c>
      <c r="B70" s="102">
        <v>0.05</v>
      </c>
      <c r="C70" s="98">
        <v>168.98</v>
      </c>
    </row>
    <row r="71" spans="1:13" x14ac:dyDescent="0.25">
      <c r="A71" s="2" t="s">
        <v>247</v>
      </c>
      <c r="B71" s="102">
        <v>0.06</v>
      </c>
      <c r="C71" s="98">
        <v>44.75</v>
      </c>
    </row>
    <row r="72" spans="1:13" x14ac:dyDescent="0.25">
      <c r="A72" s="2" t="s">
        <v>248</v>
      </c>
      <c r="B72" s="102">
        <f>(11%+14%)/2</f>
        <v>0.125</v>
      </c>
      <c r="C72" s="98">
        <v>133.9</v>
      </c>
    </row>
    <row r="74" spans="1:13" x14ac:dyDescent="0.25">
      <c r="A74" s="172" t="s">
        <v>286</v>
      </c>
      <c r="B74" s="172" t="s">
        <v>205</v>
      </c>
      <c r="C74" s="172" t="s">
        <v>206</v>
      </c>
    </row>
    <row r="75" spans="1:13" x14ac:dyDescent="0.25">
      <c r="A75" s="2" t="s">
        <v>243</v>
      </c>
      <c r="B75" s="102">
        <f>(11%+12.15%)/2</f>
        <v>0.11574999999999999</v>
      </c>
      <c r="C75" s="98">
        <f>129.468+0.3754+9.6273</f>
        <v>139.47069999999999</v>
      </c>
    </row>
    <row r="76" spans="1:13" x14ac:dyDescent="0.25">
      <c r="A76" s="2" t="s">
        <v>248</v>
      </c>
      <c r="B76" s="102">
        <f>(11%+14%)/2</f>
        <v>0.125</v>
      </c>
      <c r="C76" s="98">
        <v>133.9</v>
      </c>
    </row>
    <row r="77" spans="1:13" x14ac:dyDescent="0.25">
      <c r="B77" s="118">
        <f>SUMPRODUCT(B75:B76,C75:C76)/SUM(C75:C76)</f>
        <v>0.12028075256419214</v>
      </c>
      <c r="C77" s="213">
        <f>SUM(C75:C76)</f>
        <v>273.3707</v>
      </c>
    </row>
    <row r="79" spans="1:13" x14ac:dyDescent="0.25">
      <c r="A79" s="53" t="s">
        <v>60</v>
      </c>
    </row>
    <row r="80" spans="1:13" x14ac:dyDescent="0.25">
      <c r="A80" s="55" t="s">
        <v>61</v>
      </c>
      <c r="B80" s="56" t="s">
        <v>62</v>
      </c>
      <c r="C80" s="211" t="s">
        <v>271</v>
      </c>
      <c r="D80" s="211" t="s">
        <v>272</v>
      </c>
      <c r="E80" s="211" t="s">
        <v>273</v>
      </c>
      <c r="F80" s="211" t="s">
        <v>274</v>
      </c>
      <c r="G80" s="211" t="s">
        <v>275</v>
      </c>
      <c r="H80" s="211" t="s">
        <v>276</v>
      </c>
      <c r="I80" s="211" t="s">
        <v>277</v>
      </c>
      <c r="J80" s="127" t="s">
        <v>278</v>
      </c>
      <c r="K80" s="211" t="s">
        <v>279</v>
      </c>
      <c r="L80" s="211" t="s">
        <v>280</v>
      </c>
      <c r="M80" s="212" t="s">
        <v>281</v>
      </c>
    </row>
    <row r="81" spans="1:13" x14ac:dyDescent="0.25">
      <c r="A81" s="57" t="s">
        <v>63</v>
      </c>
      <c r="B81" s="58">
        <v>100</v>
      </c>
      <c r="C81" s="59">
        <v>106.9</v>
      </c>
      <c r="D81" s="59">
        <v>112.5</v>
      </c>
      <c r="E81" s="59">
        <v>113.9</v>
      </c>
      <c r="F81" s="59">
        <v>109.7</v>
      </c>
      <c r="G81" s="59">
        <v>111.6</v>
      </c>
      <c r="H81" s="59">
        <v>114.9</v>
      </c>
      <c r="I81" s="59">
        <v>119.8</v>
      </c>
      <c r="J81" s="59">
        <v>121.8</v>
      </c>
      <c r="K81" s="59">
        <v>123.4</v>
      </c>
      <c r="L81" s="59">
        <v>139.4</v>
      </c>
      <c r="M81" s="59">
        <v>152.5</v>
      </c>
    </row>
    <row r="82" spans="1:13" x14ac:dyDescent="0.25">
      <c r="A82" s="57"/>
      <c r="B82" s="58"/>
      <c r="C82" s="60">
        <f>+C81/B81-1</f>
        <v>6.899999999999995E-2</v>
      </c>
      <c r="D82" s="60">
        <f t="shared" ref="D82:M82" si="11">+D81/C81-1</f>
        <v>5.2385406922357269E-2</v>
      </c>
      <c r="E82" s="60">
        <f t="shared" si="11"/>
        <v>1.244444444444448E-2</v>
      </c>
      <c r="F82" s="60">
        <f t="shared" si="11"/>
        <v>-3.687445127304656E-2</v>
      </c>
      <c r="G82" s="60">
        <f t="shared" si="11"/>
        <v>1.7319963536918781E-2</v>
      </c>
      <c r="H82" s="60">
        <f t="shared" si="11"/>
        <v>2.9569892473118475E-2</v>
      </c>
      <c r="I82" s="60">
        <f t="shared" si="11"/>
        <v>4.2645778938207091E-2</v>
      </c>
      <c r="J82" s="60">
        <f t="shared" si="11"/>
        <v>1.6694490818029983E-2</v>
      </c>
      <c r="K82" s="60">
        <f t="shared" si="11"/>
        <v>1.3136288998357948E-2</v>
      </c>
      <c r="L82" s="60">
        <f t="shared" si="11"/>
        <v>0.12965964343598047</v>
      </c>
      <c r="M82" s="60">
        <f t="shared" si="11"/>
        <v>9.3974175035868024E-2</v>
      </c>
    </row>
    <row r="83" spans="1:13" x14ac:dyDescent="0.25">
      <c r="A83" s="61" t="s">
        <v>64</v>
      </c>
      <c r="B83" s="62">
        <f>(M81/B81)^(1/COUNT(C81:M81))-1</f>
        <v>3.9108493961018453E-2</v>
      </c>
      <c r="C83" s="63"/>
      <c r="D83" s="64"/>
      <c r="E83" s="64"/>
      <c r="F83" s="64"/>
      <c r="G83" s="64"/>
      <c r="H83" s="64"/>
      <c r="I83" s="64"/>
    </row>
    <row r="84" spans="1:13" x14ac:dyDescent="0.25">
      <c r="A84" s="32" t="s">
        <v>65</v>
      </c>
      <c r="B84" s="65">
        <f>B83</f>
        <v>3.9108493961018453E-2</v>
      </c>
      <c r="C84" s="63"/>
      <c r="D84" s="64"/>
      <c r="E84" s="64"/>
      <c r="F84" s="64"/>
      <c r="G84" s="64"/>
      <c r="H84" s="64"/>
      <c r="I84" s="64"/>
    </row>
    <row r="86" spans="1:13" x14ac:dyDescent="0.25">
      <c r="A86" s="53" t="s">
        <v>66</v>
      </c>
      <c r="B86" s="66" t="s">
        <v>55</v>
      </c>
      <c r="C86" s="107">
        <f>B84</f>
        <v>3.9108493961018453E-2</v>
      </c>
    </row>
    <row r="87" spans="1:13" x14ac:dyDescent="0.25">
      <c r="B87" s="120"/>
    </row>
    <row r="88" spans="1:13" x14ac:dyDescent="0.25">
      <c r="A88" s="111" t="s">
        <v>125</v>
      </c>
      <c r="B88" s="120"/>
    </row>
    <row r="90" spans="1:13" x14ac:dyDescent="0.25">
      <c r="A90" s="113" t="s">
        <v>203</v>
      </c>
      <c r="B90" s="106"/>
    </row>
    <row r="91" spans="1:13" x14ac:dyDescent="0.25">
      <c r="A91" s="2" t="s">
        <v>204</v>
      </c>
      <c r="B91" s="3" t="s">
        <v>55</v>
      </c>
      <c r="C91" s="125">
        <v>7.7200000000000005E-2</v>
      </c>
    </row>
    <row r="92" spans="1:13" x14ac:dyDescent="0.25">
      <c r="A92" s="2" t="s">
        <v>217</v>
      </c>
      <c r="B92" s="3"/>
      <c r="C92" s="125">
        <f>C91*(C19+C38)</f>
        <v>4.2768800000000002</v>
      </c>
    </row>
    <row r="93" spans="1:13" x14ac:dyDescent="0.25">
      <c r="A93" s="2" t="s">
        <v>119</v>
      </c>
      <c r="B93" s="3" t="s">
        <v>55</v>
      </c>
      <c r="C93" s="118">
        <v>0.05</v>
      </c>
      <c r="D93" s="114" t="s">
        <v>121</v>
      </c>
    </row>
    <row r="94" spans="1:13" x14ac:dyDescent="0.25">
      <c r="B94" s="106"/>
      <c r="C94" s="119"/>
    </row>
    <row r="95" spans="1:13" x14ac:dyDescent="0.25">
      <c r="A95" s="98" t="s">
        <v>287</v>
      </c>
      <c r="B95" s="190" t="s">
        <v>57</v>
      </c>
      <c r="C95" s="220">
        <f>AVERAGE(K95:M95)</f>
        <v>9.2842666666666673</v>
      </c>
      <c r="D95" s="98"/>
      <c r="E95" s="98"/>
      <c r="F95" s="98"/>
      <c r="G95" s="98">
        <v>7.3</v>
      </c>
      <c r="H95" s="98">
        <v>8.39</v>
      </c>
      <c r="I95" s="98">
        <v>8.93</v>
      </c>
      <c r="J95" s="98">
        <v>9.27</v>
      </c>
      <c r="K95" s="98">
        <v>9.7100000000000009</v>
      </c>
      <c r="L95" s="98">
        <v>8.6582000000000008</v>
      </c>
      <c r="M95" s="98">
        <v>9.4846000000000004</v>
      </c>
    </row>
    <row r="96" spans="1:13" x14ac:dyDescent="0.25">
      <c r="A96" s="191" t="s">
        <v>249</v>
      </c>
      <c r="B96" s="192" t="s">
        <v>55</v>
      </c>
      <c r="C96" s="193">
        <v>3.8399999999999997E-2</v>
      </c>
    </row>
    <row r="97" spans="1:13" x14ac:dyDescent="0.25">
      <c r="B97" s="106"/>
      <c r="C97" s="119"/>
    </row>
    <row r="98" spans="1:13" x14ac:dyDescent="0.25">
      <c r="A98" s="2" t="s">
        <v>218</v>
      </c>
      <c r="B98" s="49" t="s">
        <v>57</v>
      </c>
      <c r="C98" s="220">
        <f>AVERAGE(K98:M98)</f>
        <v>3.3264999999999998</v>
      </c>
      <c r="D98" s="2"/>
      <c r="E98" s="2"/>
      <c r="F98" s="2"/>
      <c r="G98" s="180">
        <v>3.34</v>
      </c>
      <c r="H98" s="180">
        <v>2.81</v>
      </c>
      <c r="I98" s="180">
        <v>3.14</v>
      </c>
      <c r="J98" s="180">
        <v>3.07</v>
      </c>
      <c r="K98" s="180">
        <v>4.1399999999999997</v>
      </c>
      <c r="L98" s="180">
        <v>3.5289999999999999</v>
      </c>
      <c r="M98" s="180">
        <v>2.3105000000000002</v>
      </c>
    </row>
    <row r="99" spans="1:13" x14ac:dyDescent="0.25">
      <c r="A99" s="2" t="s">
        <v>219</v>
      </c>
      <c r="B99" s="49" t="s">
        <v>57</v>
      </c>
      <c r="C99" s="220">
        <f>AVERAGE(K99:M99)</f>
        <v>7.5042666666666662</v>
      </c>
      <c r="D99" s="2"/>
      <c r="E99" s="2"/>
      <c r="F99" s="2"/>
      <c r="G99" s="180">
        <v>20.16</v>
      </c>
      <c r="H99" s="180">
        <v>15.85</v>
      </c>
      <c r="I99" s="180">
        <v>10.97</v>
      </c>
      <c r="J99" s="180">
        <v>11.2</v>
      </c>
      <c r="K99" s="180">
        <v>9.8800000000000008</v>
      </c>
      <c r="L99" s="180">
        <v>6.7266000000000004</v>
      </c>
      <c r="M99" s="180">
        <v>5.9062000000000001</v>
      </c>
    </row>
    <row r="100" spans="1:13" x14ac:dyDescent="0.25">
      <c r="A100" s="2" t="s">
        <v>220</v>
      </c>
      <c r="B100" s="3" t="s">
        <v>55</v>
      </c>
      <c r="C100" s="118">
        <v>0.05</v>
      </c>
      <c r="G100" s="179"/>
      <c r="H100" s="179"/>
      <c r="I100" s="179"/>
      <c r="J100" s="179"/>
    </row>
    <row r="101" spans="1:13" x14ac:dyDescent="0.25">
      <c r="B101" s="181"/>
      <c r="C101" s="119"/>
      <c r="G101" s="179"/>
      <c r="H101" s="179"/>
      <c r="I101" s="179"/>
      <c r="J101" s="179"/>
    </row>
    <row r="103" spans="1:13" x14ac:dyDescent="0.25">
      <c r="A103" s="53" t="s">
        <v>54</v>
      </c>
      <c r="B103" s="49" t="s">
        <v>55</v>
      </c>
      <c r="C103" s="51">
        <v>0.03</v>
      </c>
    </row>
    <row r="104" spans="1:13" x14ac:dyDescent="0.25">
      <c r="A104" s="48" t="s">
        <v>56</v>
      </c>
      <c r="B104" s="49" t="s">
        <v>57</v>
      </c>
      <c r="C104" s="50">
        <f>'Depreciation Schedule'!D55/100</f>
        <v>4.7699999999999996</v>
      </c>
    </row>
    <row r="105" spans="1:13" x14ac:dyDescent="0.25">
      <c r="A105" s="48" t="s">
        <v>58</v>
      </c>
      <c r="B105" s="49" t="s">
        <v>57</v>
      </c>
      <c r="C105" s="52">
        <f>+C104*(1+C103)^(C11)</f>
        <v>9.9873207244505995</v>
      </c>
    </row>
    <row r="106" spans="1:13" x14ac:dyDescent="0.25">
      <c r="A106" s="48" t="s">
        <v>59</v>
      </c>
      <c r="B106" s="49" t="s">
        <v>57</v>
      </c>
      <c r="C106" s="52">
        <f>+C105-C104</f>
        <v>5.2173207244505999</v>
      </c>
    </row>
    <row r="108" spans="1:13" x14ac:dyDescent="0.25">
      <c r="A108" s="116" t="s">
        <v>122</v>
      </c>
    </row>
    <row r="109" spans="1:13" x14ac:dyDescent="0.25">
      <c r="A109" s="48" t="s">
        <v>123</v>
      </c>
      <c r="B109" s="49" t="s">
        <v>55</v>
      </c>
      <c r="C109" s="102">
        <f>22%*(1+10%)*(1+4%)</f>
        <v>0.25168000000000001</v>
      </c>
    </row>
    <row r="111" spans="1:13" x14ac:dyDescent="0.25">
      <c r="A111" s="117" t="s">
        <v>128</v>
      </c>
      <c r="G111">
        <v>100</v>
      </c>
    </row>
    <row r="113" spans="1:14" x14ac:dyDescent="0.25">
      <c r="A113" s="104" t="s">
        <v>133</v>
      </c>
    </row>
    <row r="114" spans="1:14" x14ac:dyDescent="0.25">
      <c r="A114" s="2" t="s">
        <v>129</v>
      </c>
      <c r="B114" s="2"/>
      <c r="C114" s="2"/>
      <c r="D114" s="2"/>
      <c r="E114" s="2"/>
      <c r="F114" s="2">
        <v>1.86</v>
      </c>
      <c r="G114" s="98">
        <v>1.9</v>
      </c>
      <c r="H114" s="98">
        <v>4.17</v>
      </c>
      <c r="I114" s="98">
        <v>3.05</v>
      </c>
      <c r="J114" s="98">
        <v>1.67</v>
      </c>
      <c r="K114" s="98">
        <v>1.69</v>
      </c>
      <c r="L114" s="98">
        <v>3.7031999999999998</v>
      </c>
      <c r="M114" s="98">
        <v>2.1760999999999999</v>
      </c>
    </row>
    <row r="115" spans="1:14" x14ac:dyDescent="0.25">
      <c r="A115" s="2" t="s">
        <v>130</v>
      </c>
      <c r="B115" s="2"/>
      <c r="C115" s="2"/>
      <c r="D115" s="2"/>
      <c r="E115" s="2"/>
      <c r="F115" s="2"/>
      <c r="G115" s="180">
        <v>54.7</v>
      </c>
      <c r="H115" s="180">
        <v>66.02</v>
      </c>
      <c r="I115" s="180">
        <v>60.73</v>
      </c>
      <c r="J115" s="180">
        <v>54.16</v>
      </c>
      <c r="K115" s="180">
        <v>48.98</v>
      </c>
      <c r="L115" s="180">
        <v>46.618499999999997</v>
      </c>
      <c r="M115" s="180">
        <v>41.162399999999998</v>
      </c>
    </row>
    <row r="116" spans="1:14" x14ac:dyDescent="0.25">
      <c r="A116" s="2" t="s">
        <v>133</v>
      </c>
      <c r="B116" s="3" t="s">
        <v>135</v>
      </c>
      <c r="C116" s="2"/>
      <c r="D116" s="2"/>
      <c r="E116" s="2"/>
      <c r="F116" s="2"/>
      <c r="G116" s="98">
        <f t="shared" ref="G116:M116" si="12">(AVERAGE(F114:G114)/G115)*G3</f>
        <v>12.579159049360143</v>
      </c>
      <c r="H116" s="98">
        <f t="shared" si="12"/>
        <v>16.779385034837929</v>
      </c>
      <c r="I116" s="98">
        <f t="shared" si="12"/>
        <v>21.696854931664745</v>
      </c>
      <c r="J116" s="98">
        <f t="shared" si="12"/>
        <v>15.904726735598228</v>
      </c>
      <c r="K116" s="98">
        <f t="shared" si="12"/>
        <v>12.553695385871784</v>
      </c>
      <c r="L116" s="98">
        <f t="shared" si="12"/>
        <v>21.113055975631994</v>
      </c>
      <c r="M116" s="98">
        <f t="shared" si="12"/>
        <v>26.066804899617129</v>
      </c>
      <c r="N116" s="215">
        <f>AVERAGE(I116:M116)</f>
        <v>19.467027585676778</v>
      </c>
    </row>
    <row r="117" spans="1:14" x14ac:dyDescent="0.25">
      <c r="B117" s="106"/>
      <c r="G117" s="119"/>
      <c r="H117" s="119"/>
      <c r="I117" s="119"/>
      <c r="J117" s="119"/>
      <c r="K117" s="121"/>
    </row>
    <row r="118" spans="1:14" x14ac:dyDescent="0.25">
      <c r="A118" s="104" t="s">
        <v>284</v>
      </c>
    </row>
    <row r="119" spans="1:14" x14ac:dyDescent="0.25">
      <c r="A119" s="2" t="s">
        <v>282</v>
      </c>
      <c r="B119" s="2"/>
      <c r="C119" s="2"/>
      <c r="D119" s="2"/>
      <c r="E119" s="2"/>
      <c r="F119" s="2">
        <v>3.05</v>
      </c>
      <c r="G119" s="98">
        <v>0.64</v>
      </c>
      <c r="H119" s="98">
        <v>2.71</v>
      </c>
      <c r="I119" s="98">
        <v>0.36</v>
      </c>
      <c r="J119" s="98">
        <v>0.06</v>
      </c>
      <c r="K119" s="98">
        <v>7.1599999999999997E-2</v>
      </c>
      <c r="L119" s="98">
        <v>1.9946999999999999</v>
      </c>
      <c r="M119" s="98">
        <v>2.7808999999999999</v>
      </c>
    </row>
    <row r="120" spans="1:14" x14ac:dyDescent="0.25">
      <c r="A120" s="2" t="s">
        <v>132</v>
      </c>
      <c r="B120" s="2"/>
      <c r="C120" s="2"/>
      <c r="D120" s="2"/>
      <c r="E120" s="2"/>
      <c r="F120" s="2"/>
      <c r="G120" s="98">
        <f>G125</f>
        <v>7.3</v>
      </c>
      <c r="H120" s="98">
        <f t="shared" ref="H120:M120" si="13">H125</f>
        <v>8.39</v>
      </c>
      <c r="I120" s="98">
        <f t="shared" si="13"/>
        <v>8.93</v>
      </c>
      <c r="J120" s="98">
        <f t="shared" si="13"/>
        <v>9.27</v>
      </c>
      <c r="K120" s="98">
        <f t="shared" si="13"/>
        <v>9.7100000000000009</v>
      </c>
      <c r="L120" s="98">
        <f t="shared" si="13"/>
        <v>8.6582000000000008</v>
      </c>
      <c r="M120" s="98">
        <f t="shared" si="13"/>
        <v>9.4846000000000004</v>
      </c>
    </row>
    <row r="121" spans="1:14" x14ac:dyDescent="0.25">
      <c r="A121" s="2" t="s">
        <v>284</v>
      </c>
      <c r="B121" s="3" t="s">
        <v>135</v>
      </c>
      <c r="C121" s="2"/>
      <c r="D121" s="2"/>
      <c r="E121" s="2"/>
      <c r="F121" s="2"/>
      <c r="G121" s="98">
        <f t="shared" ref="G121:M121" si="14">(AVERAGE(F119:G119)/G120)*G3</f>
        <v>92.5027397260274</v>
      </c>
      <c r="H121" s="98">
        <f t="shared" si="14"/>
        <v>72.869487485101303</v>
      </c>
      <c r="I121" s="98">
        <f t="shared" si="14"/>
        <v>62.740761478163492</v>
      </c>
      <c r="J121" s="98">
        <f t="shared" si="14"/>
        <v>8.2686084142394822</v>
      </c>
      <c r="K121" s="98">
        <f t="shared" si="14"/>
        <v>2.4802059732234807</v>
      </c>
      <c r="L121" s="98">
        <f t="shared" si="14"/>
        <v>43.554058580305373</v>
      </c>
      <c r="M121" s="98">
        <f t="shared" si="14"/>
        <v>91.890749214516163</v>
      </c>
      <c r="N121" s="215">
        <f>AVERAGE(I121:M121)</f>
        <v>41.786876732089596</v>
      </c>
    </row>
    <row r="122" spans="1:14" x14ac:dyDescent="0.25">
      <c r="B122" s="106"/>
      <c r="G122" s="119"/>
      <c r="H122" s="119"/>
      <c r="I122" s="119"/>
      <c r="J122" s="119"/>
      <c r="K122" s="121"/>
    </row>
    <row r="123" spans="1:14" x14ac:dyDescent="0.25">
      <c r="A123" s="104" t="s">
        <v>134</v>
      </c>
    </row>
    <row r="124" spans="1:14" x14ac:dyDescent="0.25">
      <c r="A124" s="2" t="s">
        <v>131</v>
      </c>
      <c r="B124" s="2"/>
      <c r="C124" s="2"/>
      <c r="D124" s="2"/>
      <c r="E124" s="2"/>
      <c r="F124" s="2">
        <v>2.86</v>
      </c>
      <c r="G124" s="98">
        <v>9.49</v>
      </c>
      <c r="H124" s="98">
        <v>9.93</v>
      </c>
      <c r="I124" s="98">
        <v>12.65</v>
      </c>
      <c r="J124" s="98">
        <v>15.24</v>
      </c>
      <c r="K124" s="98">
        <v>18.404900000000001</v>
      </c>
      <c r="L124" s="98">
        <v>18.9725</v>
      </c>
      <c r="M124" s="98">
        <v>17.9665</v>
      </c>
    </row>
    <row r="125" spans="1:14" x14ac:dyDescent="0.25">
      <c r="A125" s="2" t="s">
        <v>132</v>
      </c>
      <c r="B125" s="2"/>
      <c r="C125" s="2"/>
      <c r="D125" s="2"/>
      <c r="E125" s="2"/>
      <c r="F125" s="2"/>
      <c r="G125" s="98">
        <v>7.3</v>
      </c>
      <c r="H125" s="98">
        <v>8.39</v>
      </c>
      <c r="I125" s="98">
        <v>8.93</v>
      </c>
      <c r="J125" s="98">
        <v>9.27</v>
      </c>
      <c r="K125" s="98">
        <f>K95</f>
        <v>9.7100000000000009</v>
      </c>
      <c r="L125" s="98">
        <f>L95</f>
        <v>8.6582000000000008</v>
      </c>
      <c r="M125" s="98">
        <f>M95</f>
        <v>9.4846000000000004</v>
      </c>
    </row>
    <row r="126" spans="1:14" x14ac:dyDescent="0.25">
      <c r="A126" s="2" t="s">
        <v>134</v>
      </c>
      <c r="B126" s="3" t="s">
        <v>135</v>
      </c>
      <c r="C126" s="2"/>
      <c r="D126" s="2"/>
      <c r="E126" s="2"/>
      <c r="F126" s="2"/>
      <c r="G126" s="98">
        <f t="shared" ref="G126:M126" si="15">(AVERAGE(F124:G124)/G125)*G3</f>
        <v>309.59589041095893</v>
      </c>
      <c r="H126" s="98">
        <f t="shared" si="15"/>
        <v>422.42550655542317</v>
      </c>
      <c r="I126" s="98">
        <f t="shared" si="15"/>
        <v>461.46136618141094</v>
      </c>
      <c r="J126" s="98">
        <f t="shared" si="15"/>
        <v>549.07497303128378</v>
      </c>
      <c r="K126" s="98">
        <f t="shared" si="15"/>
        <v>634.09028836251275</v>
      </c>
      <c r="L126" s="98">
        <f t="shared" si="15"/>
        <v>787.8514587327619</v>
      </c>
      <c r="M126" s="98">
        <f t="shared" si="15"/>
        <v>710.76982687725365</v>
      </c>
      <c r="N126" s="215">
        <f>AVERAGE(I126:M126)</f>
        <v>628.64958263704455</v>
      </c>
    </row>
    <row r="129" spans="1:3" x14ac:dyDescent="0.25">
      <c r="A129" s="2" t="s">
        <v>261</v>
      </c>
      <c r="B129" s="3" t="s">
        <v>57</v>
      </c>
      <c r="C129" s="187">
        <v>7.66</v>
      </c>
    </row>
    <row r="131" spans="1:3" x14ac:dyDescent="0.25">
      <c r="B131" s="18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"/>
  <sheetViews>
    <sheetView topLeftCell="A82" workbookViewId="0">
      <selection activeCell="K16" sqref="K16"/>
    </sheetView>
  </sheetViews>
  <sheetFormatPr defaultRowHeight="15" x14ac:dyDescent="0.25"/>
  <cols>
    <col min="1" max="1" width="54.7109375" bestFit="1" customWidth="1"/>
    <col min="2" max="2" width="9.42578125" bestFit="1" customWidth="1"/>
    <col min="3" max="3" width="10.85546875" bestFit="1" customWidth="1"/>
    <col min="4" max="15" width="9.28515625" bestFit="1" customWidth="1"/>
    <col min="19" max="19" width="8.85546875"/>
  </cols>
  <sheetData>
    <row r="1" spans="1:16" x14ac:dyDescent="0.25">
      <c r="A1" s="104" t="s">
        <v>251</v>
      </c>
    </row>
    <row r="3" spans="1:16" ht="45" x14ac:dyDescent="0.25">
      <c r="A3" s="100" t="s">
        <v>94</v>
      </c>
      <c r="B3" s="100" t="s">
        <v>95</v>
      </c>
      <c r="C3" s="100" t="s">
        <v>96</v>
      </c>
      <c r="D3" s="100" t="s">
        <v>97</v>
      </c>
      <c r="E3" s="100" t="s">
        <v>98</v>
      </c>
      <c r="F3" s="100" t="s">
        <v>99</v>
      </c>
    </row>
    <row r="4" spans="1:16" ht="30" x14ac:dyDescent="0.25">
      <c r="A4" s="95" t="s">
        <v>208</v>
      </c>
      <c r="B4" s="95" t="s">
        <v>57</v>
      </c>
      <c r="C4" s="95">
        <v>129.46799999999999</v>
      </c>
      <c r="D4" s="96">
        <f>Assumptions!$B$67</f>
        <v>0.11574999999999999</v>
      </c>
      <c r="E4" s="97">
        <f>F4*4</f>
        <v>48</v>
      </c>
      <c r="F4" s="98">
        <v>12</v>
      </c>
    </row>
    <row r="5" spans="1:16" ht="30" x14ac:dyDescent="0.25">
      <c r="A5" s="95" t="s">
        <v>209</v>
      </c>
      <c r="B5" s="95" t="s">
        <v>57</v>
      </c>
      <c r="C5" s="95">
        <f>0.3754+9.6273</f>
        <v>10.002700000000001</v>
      </c>
      <c r="D5" s="96">
        <f>Assumptions!$B$67</f>
        <v>0.11574999999999999</v>
      </c>
      <c r="E5" s="97">
        <f>F5*4</f>
        <v>48</v>
      </c>
      <c r="F5" s="98">
        <v>12</v>
      </c>
    </row>
    <row r="6" spans="1:16" ht="30" x14ac:dyDescent="0.25">
      <c r="A6" s="124" t="s">
        <v>100</v>
      </c>
      <c r="B6" s="160" t="str">
        <f>[94]Assumptions!C75</f>
        <v>INR Crore</v>
      </c>
      <c r="C6" s="161">
        <f>SUM(C4:C5)</f>
        <v>139.47069999999999</v>
      </c>
      <c r="D6" s="162">
        <f>SUMPRODUCT(C4:C5,D4:D5)/C6</f>
        <v>0.11574999999999999</v>
      </c>
      <c r="E6" s="163"/>
      <c r="F6" s="163">
        <f>F5</f>
        <v>12</v>
      </c>
    </row>
    <row r="8" spans="1:16" x14ac:dyDescent="0.25">
      <c r="A8" s="100" t="s">
        <v>94</v>
      </c>
      <c r="B8" s="101">
        <f>Assumptions!N$4</f>
        <v>45016</v>
      </c>
      <c r="C8" s="101">
        <f>Assumptions!O$4</f>
        <v>45382</v>
      </c>
      <c r="D8" s="101">
        <f>Assumptions!P$4</f>
        <v>45747</v>
      </c>
      <c r="E8" s="101">
        <f>Assumptions!Q$4</f>
        <v>46112</v>
      </c>
      <c r="F8" s="101">
        <f>Assumptions!R$4</f>
        <v>46477</v>
      </c>
      <c r="G8" s="101">
        <f>Assumptions!S$4</f>
        <v>46843</v>
      </c>
      <c r="H8" s="101">
        <f>Assumptions!T$4</f>
        <v>47208</v>
      </c>
      <c r="I8" s="101">
        <f>Assumptions!U$4</f>
        <v>47573</v>
      </c>
      <c r="J8" s="101">
        <f>Assumptions!V$4</f>
        <v>47938</v>
      </c>
      <c r="K8" s="101">
        <f>Assumptions!W$4</f>
        <v>48304</v>
      </c>
      <c r="L8" s="101">
        <f>Assumptions!X$4</f>
        <v>48669</v>
      </c>
      <c r="M8" s="101">
        <f>Assumptions!Y$4</f>
        <v>49034</v>
      </c>
      <c r="N8" s="101">
        <f>Assumptions!Z$4</f>
        <v>49399</v>
      </c>
      <c r="O8" s="101">
        <f>Assumptions!AA$4</f>
        <v>49765</v>
      </c>
      <c r="P8" s="101">
        <f>Assumptions!AB$4</f>
        <v>50130</v>
      </c>
    </row>
    <row r="9" spans="1:16" x14ac:dyDescent="0.25">
      <c r="A9" s="2" t="s">
        <v>101</v>
      </c>
      <c r="B9" s="99">
        <f>$C$6</f>
        <v>139.47069999999999</v>
      </c>
      <c r="C9" s="99">
        <f>B12</f>
        <v>127.84814166666666</v>
      </c>
      <c r="D9" s="99">
        <f>C12</f>
        <v>116.22558333333333</v>
      </c>
      <c r="E9" s="99">
        <f t="shared" ref="E9:H9" si="0">D12</f>
        <v>104.603025</v>
      </c>
      <c r="F9" s="99">
        <f t="shared" si="0"/>
        <v>92.980466666666672</v>
      </c>
      <c r="G9" s="99">
        <f t="shared" si="0"/>
        <v>81.357908333333341</v>
      </c>
      <c r="H9" s="99">
        <f t="shared" si="0"/>
        <v>69.735350000000011</v>
      </c>
      <c r="I9" s="99">
        <f t="shared" ref="I9" si="1">H12</f>
        <v>58.112791666666681</v>
      </c>
      <c r="J9" s="99">
        <f t="shared" ref="J9" si="2">I12</f>
        <v>46.49023333333335</v>
      </c>
      <c r="K9" s="99">
        <f t="shared" ref="K9" si="3">J12</f>
        <v>34.86767500000002</v>
      </c>
      <c r="L9" s="99">
        <f t="shared" ref="L9:M9" si="4">K12</f>
        <v>23.245116666666689</v>
      </c>
      <c r="M9" s="99">
        <f t="shared" si="4"/>
        <v>11.622558333333357</v>
      </c>
      <c r="N9" s="95">
        <v>0</v>
      </c>
      <c r="O9" s="95">
        <v>0</v>
      </c>
      <c r="P9" s="95">
        <v>0</v>
      </c>
    </row>
    <row r="10" spans="1:16" x14ac:dyDescent="0.25">
      <c r="A10" s="2" t="s">
        <v>102</v>
      </c>
      <c r="B10" s="99">
        <f>($C$6/$F$6)</f>
        <v>11.622558333333332</v>
      </c>
      <c r="C10" s="99">
        <f t="shared" ref="C10:M10" si="5">($C$6/$F$6)</f>
        <v>11.622558333333332</v>
      </c>
      <c r="D10" s="99">
        <f t="shared" si="5"/>
        <v>11.622558333333332</v>
      </c>
      <c r="E10" s="99">
        <f t="shared" si="5"/>
        <v>11.622558333333332</v>
      </c>
      <c r="F10" s="99">
        <f t="shared" si="5"/>
        <v>11.622558333333332</v>
      </c>
      <c r="G10" s="99">
        <f t="shared" si="5"/>
        <v>11.622558333333332</v>
      </c>
      <c r="H10" s="99">
        <f t="shared" si="5"/>
        <v>11.622558333333332</v>
      </c>
      <c r="I10" s="99">
        <f t="shared" si="5"/>
        <v>11.622558333333332</v>
      </c>
      <c r="J10" s="99">
        <f t="shared" si="5"/>
        <v>11.622558333333332</v>
      </c>
      <c r="K10" s="99">
        <f t="shared" si="5"/>
        <v>11.622558333333332</v>
      </c>
      <c r="L10" s="99">
        <f t="shared" si="5"/>
        <v>11.622558333333332</v>
      </c>
      <c r="M10" s="99">
        <f t="shared" si="5"/>
        <v>11.622558333333332</v>
      </c>
      <c r="N10" s="99">
        <v>0</v>
      </c>
      <c r="O10" s="99">
        <v>0</v>
      </c>
      <c r="P10" s="99">
        <v>0</v>
      </c>
    </row>
    <row r="11" spans="1:16" x14ac:dyDescent="0.25">
      <c r="A11" s="2" t="s">
        <v>103</v>
      </c>
      <c r="B11" s="99">
        <f>B9*$D$6</f>
        <v>16.143733524999998</v>
      </c>
      <c r="C11" s="99">
        <f>C9*$D$6</f>
        <v>14.798422397916665</v>
      </c>
      <c r="D11" s="99">
        <f t="shared" ref="D11:G11" si="6">D9*$D$6</f>
        <v>13.453111270833332</v>
      </c>
      <c r="E11" s="99">
        <f t="shared" si="6"/>
        <v>12.10780014375</v>
      </c>
      <c r="F11" s="99">
        <f t="shared" si="6"/>
        <v>10.762489016666667</v>
      </c>
      <c r="G11" s="99">
        <f t="shared" si="6"/>
        <v>9.4171778895833338</v>
      </c>
      <c r="H11" s="99">
        <f t="shared" ref="H11:L11" si="7">H9*$D$6</f>
        <v>8.0718667625000009</v>
      </c>
      <c r="I11" s="99">
        <f t="shared" si="7"/>
        <v>6.726555635416668</v>
      </c>
      <c r="J11" s="99">
        <f t="shared" si="7"/>
        <v>5.3812445083333351</v>
      </c>
      <c r="K11" s="99">
        <f t="shared" si="7"/>
        <v>4.0359333812500022</v>
      </c>
      <c r="L11" s="99">
        <f t="shared" si="7"/>
        <v>2.6906222541666689</v>
      </c>
      <c r="M11" s="99">
        <f t="shared" ref="M11" si="8">M9*$D$6</f>
        <v>1.345311127083336</v>
      </c>
      <c r="N11" s="95">
        <v>0</v>
      </c>
      <c r="O11" s="95">
        <v>0</v>
      </c>
      <c r="P11" s="95">
        <v>0</v>
      </c>
    </row>
    <row r="12" spans="1:16" x14ac:dyDescent="0.25">
      <c r="A12" s="2" t="s">
        <v>104</v>
      </c>
      <c r="B12" s="99">
        <f>B9-B10</f>
        <v>127.84814166666666</v>
      </c>
      <c r="C12" s="99">
        <f>C9-C10</f>
        <v>116.22558333333333</v>
      </c>
      <c r="D12" s="99">
        <f t="shared" ref="D12:G12" si="9">D9-D10</f>
        <v>104.603025</v>
      </c>
      <c r="E12" s="99">
        <f t="shared" si="9"/>
        <v>92.980466666666672</v>
      </c>
      <c r="F12" s="99">
        <f t="shared" si="9"/>
        <v>81.357908333333341</v>
      </c>
      <c r="G12" s="99">
        <f t="shared" si="9"/>
        <v>69.735350000000011</v>
      </c>
      <c r="H12" s="99">
        <f t="shared" ref="H12:L12" si="10">H9-H10</f>
        <v>58.112791666666681</v>
      </c>
      <c r="I12" s="99">
        <f t="shared" si="10"/>
        <v>46.49023333333335</v>
      </c>
      <c r="J12" s="99">
        <f t="shared" si="10"/>
        <v>34.86767500000002</v>
      </c>
      <c r="K12" s="99">
        <f t="shared" si="10"/>
        <v>23.245116666666689</v>
      </c>
      <c r="L12" s="99">
        <f t="shared" si="10"/>
        <v>11.622558333333357</v>
      </c>
      <c r="M12" s="99">
        <f t="shared" ref="M12" si="11">M9-M10</f>
        <v>2.4868995751603507E-14</v>
      </c>
      <c r="N12" s="95">
        <v>0</v>
      </c>
      <c r="O12" s="95">
        <v>0</v>
      </c>
      <c r="P12" s="95">
        <v>0</v>
      </c>
    </row>
    <row r="15" spans="1:16" x14ac:dyDescent="0.25">
      <c r="A15" s="104" t="s">
        <v>253</v>
      </c>
      <c r="B15" s="104" t="s">
        <v>252</v>
      </c>
      <c r="C15" s="104"/>
      <c r="D15" s="104"/>
    </row>
    <row r="17" spans="1:16" ht="45" x14ac:dyDescent="0.25">
      <c r="A17" s="100" t="s">
        <v>94</v>
      </c>
      <c r="B17" s="100" t="s">
        <v>95</v>
      </c>
      <c r="C17" s="100" t="s">
        <v>96</v>
      </c>
      <c r="D17" s="100" t="s">
        <v>97</v>
      </c>
      <c r="E17" s="100" t="s">
        <v>98</v>
      </c>
      <c r="F17" s="100" t="s">
        <v>99</v>
      </c>
    </row>
    <row r="18" spans="1:16" ht="30" x14ac:dyDescent="0.25">
      <c r="A18" s="95" t="s">
        <v>208</v>
      </c>
      <c r="B18" s="95" t="s">
        <v>57</v>
      </c>
      <c r="C18" s="95">
        <f>Assumptions!C68</f>
        <v>57.75</v>
      </c>
      <c r="D18" s="96">
        <f>Assumptions!$B$68</f>
        <v>0.05</v>
      </c>
      <c r="E18" s="97">
        <f>F18*4</f>
        <v>36</v>
      </c>
      <c r="F18" s="98">
        <v>9</v>
      </c>
    </row>
    <row r="19" spans="1:16" ht="30" x14ac:dyDescent="0.25">
      <c r="A19" s="95" t="s">
        <v>209</v>
      </c>
      <c r="B19" s="95" t="s">
        <v>57</v>
      </c>
      <c r="C19" s="95">
        <f>0</f>
        <v>0</v>
      </c>
      <c r="D19" s="96">
        <f>Assumptions!$B$68</f>
        <v>0.05</v>
      </c>
      <c r="E19" s="97">
        <f>F19*4</f>
        <v>36</v>
      </c>
      <c r="F19" s="98">
        <v>9</v>
      </c>
    </row>
    <row r="20" spans="1:16" ht="30" x14ac:dyDescent="0.25">
      <c r="A20" s="124" t="s">
        <v>100</v>
      </c>
      <c r="B20" s="160" t="s">
        <v>57</v>
      </c>
      <c r="C20" s="161">
        <f>SUM(C18:C19)</f>
        <v>57.75</v>
      </c>
      <c r="D20" s="162">
        <f>SUMPRODUCT(C18:C19,D18:D19)/C20</f>
        <v>0.05</v>
      </c>
      <c r="E20" s="163"/>
      <c r="F20" s="163">
        <f>F19</f>
        <v>9</v>
      </c>
    </row>
    <row r="22" spans="1:16" x14ac:dyDescent="0.25">
      <c r="A22" s="100" t="s">
        <v>94</v>
      </c>
      <c r="B22" s="101">
        <f>Assumptions!N$4</f>
        <v>45016</v>
      </c>
      <c r="C22" s="101">
        <f>Assumptions!O$4</f>
        <v>45382</v>
      </c>
      <c r="D22" s="101">
        <f>Assumptions!P$4</f>
        <v>45747</v>
      </c>
      <c r="E22" s="101">
        <f>Assumptions!Q$4</f>
        <v>46112</v>
      </c>
      <c r="F22" s="101">
        <f>Assumptions!R$4</f>
        <v>46477</v>
      </c>
      <c r="G22" s="101">
        <f>Assumptions!S$4</f>
        <v>46843</v>
      </c>
      <c r="H22" s="101">
        <f>Assumptions!T$4</f>
        <v>47208</v>
      </c>
      <c r="I22" s="101">
        <f>Assumptions!U$4</f>
        <v>47573</v>
      </c>
      <c r="J22" s="101">
        <f>Assumptions!V$4</f>
        <v>47938</v>
      </c>
      <c r="K22" s="101">
        <f>Assumptions!W$4</f>
        <v>48304</v>
      </c>
      <c r="L22" s="101">
        <f>Assumptions!X$4</f>
        <v>48669</v>
      </c>
      <c r="M22" s="101">
        <f>Assumptions!Y$4</f>
        <v>49034</v>
      </c>
      <c r="N22" s="101">
        <f>Assumptions!Z$4</f>
        <v>49399</v>
      </c>
      <c r="O22" s="101">
        <f>Assumptions!AA$4</f>
        <v>49765</v>
      </c>
      <c r="P22" s="101">
        <f>Assumptions!AB$4</f>
        <v>50130</v>
      </c>
    </row>
    <row r="23" spans="1:16" x14ac:dyDescent="0.25">
      <c r="A23" s="2" t="s">
        <v>101</v>
      </c>
      <c r="B23" s="99">
        <f>C20</f>
        <v>57.75</v>
      </c>
      <c r="C23" s="99">
        <f>B26</f>
        <v>57.75</v>
      </c>
      <c r="D23" s="99">
        <f>C26</f>
        <v>57.75</v>
      </c>
      <c r="E23" s="99">
        <f t="shared" ref="E23" si="12">D26</f>
        <v>57.75</v>
      </c>
      <c r="F23" s="99">
        <f t="shared" ref="F23" si="13">E26</f>
        <v>57.75</v>
      </c>
      <c r="G23" s="99">
        <f t="shared" ref="G23" si="14">F26</f>
        <v>57.75</v>
      </c>
      <c r="H23" s="99">
        <f t="shared" ref="H23" si="15">G26</f>
        <v>57.75</v>
      </c>
      <c r="I23" s="99">
        <f t="shared" ref="I23" si="16">H26</f>
        <v>57.75</v>
      </c>
      <c r="J23" s="99">
        <f>$I$26</f>
        <v>57.75</v>
      </c>
      <c r="K23" s="99">
        <f t="shared" ref="K23" si="17">J26</f>
        <v>0</v>
      </c>
      <c r="L23" s="99">
        <f t="shared" ref="L23" si="18">K26</f>
        <v>0</v>
      </c>
      <c r="M23" s="99">
        <f t="shared" ref="M23" si="19">L26</f>
        <v>0</v>
      </c>
      <c r="N23" s="99">
        <f t="shared" ref="N23" si="20">M26</f>
        <v>0</v>
      </c>
      <c r="O23" s="99">
        <f t="shared" ref="O23" si="21">N26</f>
        <v>0</v>
      </c>
      <c r="P23" s="99">
        <f t="shared" ref="P23" si="22">O26</f>
        <v>0</v>
      </c>
    </row>
    <row r="24" spans="1:16" x14ac:dyDescent="0.25">
      <c r="A24" s="2" t="s">
        <v>102</v>
      </c>
      <c r="B24" s="99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f>$I$26</f>
        <v>57.75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</row>
    <row r="25" spans="1:16" x14ac:dyDescent="0.25">
      <c r="A25" s="2" t="s">
        <v>103</v>
      </c>
      <c r="B25" s="99">
        <f>B23*$D$20</f>
        <v>2.8875000000000002</v>
      </c>
      <c r="C25" s="99">
        <f t="shared" ref="C25:P25" si="23">C23*$D$20</f>
        <v>2.8875000000000002</v>
      </c>
      <c r="D25" s="99">
        <f t="shared" si="23"/>
        <v>2.8875000000000002</v>
      </c>
      <c r="E25" s="99">
        <f t="shared" si="23"/>
        <v>2.8875000000000002</v>
      </c>
      <c r="F25" s="99">
        <f t="shared" si="23"/>
        <v>2.8875000000000002</v>
      </c>
      <c r="G25" s="99">
        <f t="shared" si="23"/>
        <v>2.8875000000000002</v>
      </c>
      <c r="H25" s="99">
        <f t="shared" si="23"/>
        <v>2.8875000000000002</v>
      </c>
      <c r="I25" s="99">
        <f t="shared" si="23"/>
        <v>2.8875000000000002</v>
      </c>
      <c r="J25" s="99">
        <f t="shared" si="23"/>
        <v>2.8875000000000002</v>
      </c>
      <c r="K25" s="99">
        <f t="shared" si="23"/>
        <v>0</v>
      </c>
      <c r="L25" s="99">
        <f t="shared" si="23"/>
        <v>0</v>
      </c>
      <c r="M25" s="99">
        <f t="shared" si="23"/>
        <v>0</v>
      </c>
      <c r="N25" s="99">
        <f t="shared" si="23"/>
        <v>0</v>
      </c>
      <c r="O25" s="99">
        <f t="shared" si="23"/>
        <v>0</v>
      </c>
      <c r="P25" s="99">
        <f t="shared" si="23"/>
        <v>0</v>
      </c>
    </row>
    <row r="26" spans="1:16" x14ac:dyDescent="0.25">
      <c r="A26" s="2" t="s">
        <v>104</v>
      </c>
      <c r="B26" s="99">
        <f>B23-B24</f>
        <v>57.75</v>
      </c>
      <c r="C26" s="99">
        <f>C23-C24</f>
        <v>57.75</v>
      </c>
      <c r="D26" s="99">
        <f t="shared" ref="D26:H26" si="24">D23-D24</f>
        <v>57.75</v>
      </c>
      <c r="E26" s="99">
        <f t="shared" si="24"/>
        <v>57.75</v>
      </c>
      <c r="F26" s="99">
        <f t="shared" si="24"/>
        <v>57.75</v>
      </c>
      <c r="G26" s="99">
        <f t="shared" si="24"/>
        <v>57.75</v>
      </c>
      <c r="H26" s="99">
        <f t="shared" si="24"/>
        <v>57.75</v>
      </c>
      <c r="I26" s="99">
        <f t="shared" ref="I26:L26" si="25">I23-I24</f>
        <v>57.75</v>
      </c>
      <c r="J26" s="99">
        <f>J23-J24</f>
        <v>0</v>
      </c>
      <c r="K26" s="99">
        <f t="shared" si="25"/>
        <v>0</v>
      </c>
      <c r="L26" s="99">
        <f t="shared" si="25"/>
        <v>0</v>
      </c>
      <c r="M26" s="99">
        <f>M23-M24</f>
        <v>0</v>
      </c>
      <c r="N26" s="99">
        <f t="shared" ref="N26:P26" si="26">N23-N24</f>
        <v>0</v>
      </c>
      <c r="O26" s="99">
        <f t="shared" si="26"/>
        <v>0</v>
      </c>
      <c r="P26" s="99">
        <f t="shared" si="26"/>
        <v>0</v>
      </c>
    </row>
    <row r="29" spans="1:16" x14ac:dyDescent="0.25">
      <c r="A29" s="104" t="s">
        <v>254</v>
      </c>
      <c r="B29" s="104" t="s">
        <v>252</v>
      </c>
      <c r="C29" s="104"/>
      <c r="D29" s="104"/>
    </row>
    <row r="31" spans="1:16" ht="45" x14ac:dyDescent="0.25">
      <c r="A31" s="100" t="s">
        <v>94</v>
      </c>
      <c r="B31" s="100" t="s">
        <v>95</v>
      </c>
      <c r="C31" s="100" t="s">
        <v>96</v>
      </c>
      <c r="D31" s="100" t="s">
        <v>97</v>
      </c>
      <c r="E31" s="100" t="s">
        <v>98</v>
      </c>
      <c r="F31" s="100" t="s">
        <v>99</v>
      </c>
    </row>
    <row r="32" spans="1:16" ht="30" x14ac:dyDescent="0.25">
      <c r="A32" s="95" t="s">
        <v>208</v>
      </c>
      <c r="B32" s="95" t="s">
        <v>57</v>
      </c>
      <c r="C32" s="95">
        <f>Assumptions!C69</f>
        <v>24.74</v>
      </c>
      <c r="D32" s="96">
        <f>Assumptions!$B$69</f>
        <v>0.06</v>
      </c>
      <c r="E32" s="97">
        <f>F32*4</f>
        <v>36</v>
      </c>
      <c r="F32" s="98">
        <v>9</v>
      </c>
    </row>
    <row r="33" spans="1:16" ht="30" x14ac:dyDescent="0.25">
      <c r="A33" s="95" t="s">
        <v>209</v>
      </c>
      <c r="B33" s="95" t="s">
        <v>57</v>
      </c>
      <c r="C33" s="95">
        <v>0</v>
      </c>
      <c r="D33" s="96">
        <f>Assumptions!$B$69</f>
        <v>0.06</v>
      </c>
      <c r="E33" s="97">
        <f>F33*4</f>
        <v>36</v>
      </c>
      <c r="F33" s="98">
        <v>9</v>
      </c>
    </row>
    <row r="34" spans="1:16" ht="30" x14ac:dyDescent="0.25">
      <c r="A34" s="124" t="s">
        <v>100</v>
      </c>
      <c r="B34" s="160" t="s">
        <v>57</v>
      </c>
      <c r="C34" s="161">
        <f>SUM(C32:C33)</f>
        <v>24.74</v>
      </c>
      <c r="D34" s="162">
        <f>SUMPRODUCT(C32:C33,D32:D33)/C34</f>
        <v>6.0000000000000005E-2</v>
      </c>
      <c r="E34" s="163"/>
      <c r="F34" s="163">
        <f>F33</f>
        <v>9</v>
      </c>
    </row>
    <row r="36" spans="1:16" x14ac:dyDescent="0.25">
      <c r="A36" s="100" t="s">
        <v>94</v>
      </c>
      <c r="B36" s="101">
        <f>Assumptions!N$4</f>
        <v>45016</v>
      </c>
      <c r="C36" s="101">
        <f>Assumptions!O$4</f>
        <v>45382</v>
      </c>
      <c r="D36" s="101">
        <f>Assumptions!P$4</f>
        <v>45747</v>
      </c>
      <c r="E36" s="101">
        <f>Assumptions!Q$4</f>
        <v>46112</v>
      </c>
      <c r="F36" s="101">
        <f>Assumptions!R$4</f>
        <v>46477</v>
      </c>
      <c r="G36" s="101">
        <f>Assumptions!S$4</f>
        <v>46843</v>
      </c>
      <c r="H36" s="101">
        <f>Assumptions!T$4</f>
        <v>47208</v>
      </c>
      <c r="I36" s="101">
        <f>Assumptions!U$4</f>
        <v>47573</v>
      </c>
      <c r="J36" s="101">
        <f>Assumptions!V$4</f>
        <v>47938</v>
      </c>
      <c r="K36" s="101">
        <f>Assumptions!W$4</f>
        <v>48304</v>
      </c>
      <c r="L36" s="101">
        <f>Assumptions!X$4</f>
        <v>48669</v>
      </c>
      <c r="M36" s="101">
        <f>Assumptions!Y$4</f>
        <v>49034</v>
      </c>
      <c r="N36" s="101">
        <f>Assumptions!Z$4</f>
        <v>49399</v>
      </c>
      <c r="O36" s="101">
        <f>Assumptions!AA$4</f>
        <v>49765</v>
      </c>
      <c r="P36" s="101">
        <f>Assumptions!AB$4</f>
        <v>50130</v>
      </c>
    </row>
    <row r="37" spans="1:16" x14ac:dyDescent="0.25">
      <c r="A37" s="2" t="s">
        <v>101</v>
      </c>
      <c r="B37" s="99">
        <f>C34</f>
        <v>24.74</v>
      </c>
      <c r="C37" s="99">
        <f>B40</f>
        <v>24.74</v>
      </c>
      <c r="D37" s="99">
        <f>C40</f>
        <v>24.74</v>
      </c>
      <c r="E37" s="99">
        <f t="shared" ref="E37" si="27">D40</f>
        <v>24.74</v>
      </c>
      <c r="F37" s="99">
        <f t="shared" ref="F37" si="28">E40</f>
        <v>24.74</v>
      </c>
      <c r="G37" s="99">
        <f t="shared" ref="G37" si="29">F40</f>
        <v>24.74</v>
      </c>
      <c r="H37" s="99">
        <f t="shared" ref="H37" si="30">G40</f>
        <v>24.74</v>
      </c>
      <c r="I37" s="99">
        <f t="shared" ref="I37" si="31">H40</f>
        <v>24.74</v>
      </c>
      <c r="J37" s="99">
        <f>$I$40</f>
        <v>24.74</v>
      </c>
      <c r="K37" s="99">
        <f t="shared" ref="K37" si="32">J40</f>
        <v>0</v>
      </c>
      <c r="L37" s="99">
        <f t="shared" ref="L37" si="33">K40</f>
        <v>0</v>
      </c>
      <c r="M37" s="99">
        <f t="shared" ref="M37" si="34">L40</f>
        <v>0</v>
      </c>
      <c r="N37" s="99">
        <f t="shared" ref="N37" si="35">M40</f>
        <v>0</v>
      </c>
      <c r="O37" s="99">
        <f t="shared" ref="O37" si="36">N40</f>
        <v>0</v>
      </c>
      <c r="P37" s="99">
        <f t="shared" ref="P37" si="37">O40</f>
        <v>0</v>
      </c>
    </row>
    <row r="38" spans="1:16" x14ac:dyDescent="0.25">
      <c r="A38" s="2" t="s">
        <v>102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f>$I$40</f>
        <v>24.74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</row>
    <row r="39" spans="1:16" x14ac:dyDescent="0.25">
      <c r="A39" s="2" t="s">
        <v>103</v>
      </c>
      <c r="B39" s="99">
        <f>B37*$D$34</f>
        <v>1.4843999999999999</v>
      </c>
      <c r="C39" s="99">
        <f t="shared" ref="C39:J39" si="38">C37*$D$34</f>
        <v>1.4843999999999999</v>
      </c>
      <c r="D39" s="99">
        <f t="shared" si="38"/>
        <v>1.4843999999999999</v>
      </c>
      <c r="E39" s="99">
        <f t="shared" si="38"/>
        <v>1.4843999999999999</v>
      </c>
      <c r="F39" s="99">
        <f t="shared" si="38"/>
        <v>1.4843999999999999</v>
      </c>
      <c r="G39" s="99">
        <f t="shared" si="38"/>
        <v>1.4843999999999999</v>
      </c>
      <c r="H39" s="99">
        <f t="shared" si="38"/>
        <v>1.4843999999999999</v>
      </c>
      <c r="I39" s="99">
        <f t="shared" si="38"/>
        <v>1.4843999999999999</v>
      </c>
      <c r="J39" s="99">
        <f t="shared" si="38"/>
        <v>1.4843999999999999</v>
      </c>
      <c r="K39" s="99">
        <f t="shared" ref="K39:P39" si="39">K37*$D$6</f>
        <v>0</v>
      </c>
      <c r="L39" s="99">
        <f t="shared" si="39"/>
        <v>0</v>
      </c>
      <c r="M39" s="99">
        <f t="shared" si="39"/>
        <v>0</v>
      </c>
      <c r="N39" s="99">
        <f t="shared" si="39"/>
        <v>0</v>
      </c>
      <c r="O39" s="99">
        <f t="shared" si="39"/>
        <v>0</v>
      </c>
      <c r="P39" s="99">
        <f t="shared" si="39"/>
        <v>0</v>
      </c>
    </row>
    <row r="40" spans="1:16" x14ac:dyDescent="0.25">
      <c r="A40" s="2" t="s">
        <v>104</v>
      </c>
      <c r="B40" s="99">
        <f>B37-B38</f>
        <v>24.74</v>
      </c>
      <c r="C40" s="99">
        <f>C37-C38</f>
        <v>24.74</v>
      </c>
      <c r="D40" s="99">
        <f t="shared" ref="D40:P40" si="40">D37-D38</f>
        <v>24.74</v>
      </c>
      <c r="E40" s="99">
        <f t="shared" si="40"/>
        <v>24.74</v>
      </c>
      <c r="F40" s="99">
        <f t="shared" si="40"/>
        <v>24.74</v>
      </c>
      <c r="G40" s="99">
        <f t="shared" si="40"/>
        <v>24.74</v>
      </c>
      <c r="H40" s="99">
        <f t="shared" si="40"/>
        <v>24.74</v>
      </c>
      <c r="I40" s="99">
        <f t="shared" si="40"/>
        <v>24.74</v>
      </c>
      <c r="J40" s="99">
        <f>J37-J38</f>
        <v>0</v>
      </c>
      <c r="K40" s="99">
        <f t="shared" si="40"/>
        <v>0</v>
      </c>
      <c r="L40" s="99">
        <f t="shared" si="40"/>
        <v>0</v>
      </c>
      <c r="M40" s="99">
        <f>M37-M38</f>
        <v>0</v>
      </c>
      <c r="N40" s="99">
        <f t="shared" si="40"/>
        <v>0</v>
      </c>
      <c r="O40" s="99">
        <f t="shared" si="40"/>
        <v>0</v>
      </c>
      <c r="P40" s="99">
        <f t="shared" si="40"/>
        <v>0</v>
      </c>
    </row>
    <row r="43" spans="1:16" x14ac:dyDescent="0.25">
      <c r="A43" s="104" t="s">
        <v>255</v>
      </c>
      <c r="B43" s="104" t="s">
        <v>252</v>
      </c>
      <c r="C43" s="104"/>
      <c r="D43" s="104"/>
    </row>
    <row r="45" spans="1:16" ht="45" x14ac:dyDescent="0.25">
      <c r="A45" s="100" t="s">
        <v>94</v>
      </c>
      <c r="B45" s="100" t="s">
        <v>95</v>
      </c>
      <c r="C45" s="100" t="s">
        <v>96</v>
      </c>
      <c r="D45" s="100" t="s">
        <v>97</v>
      </c>
      <c r="E45" s="100" t="s">
        <v>98</v>
      </c>
      <c r="F45" s="100" t="s">
        <v>99</v>
      </c>
    </row>
    <row r="46" spans="1:16" ht="30" x14ac:dyDescent="0.25">
      <c r="A46" s="95" t="s">
        <v>208</v>
      </c>
      <c r="B46" s="95" t="s">
        <v>57</v>
      </c>
      <c r="C46" s="95">
        <f>Assumptions!C70</f>
        <v>168.98</v>
      </c>
      <c r="D46" s="96">
        <f>Assumptions!$B$70</f>
        <v>0.05</v>
      </c>
      <c r="E46" s="97">
        <f>F46*4</f>
        <v>36</v>
      </c>
      <c r="F46" s="98">
        <v>9</v>
      </c>
    </row>
    <row r="47" spans="1:16" ht="30" x14ac:dyDescent="0.25">
      <c r="A47" s="95" t="s">
        <v>209</v>
      </c>
      <c r="B47" s="95" t="s">
        <v>57</v>
      </c>
      <c r="C47" s="95">
        <v>0</v>
      </c>
      <c r="D47" s="96">
        <f>Assumptions!$B$70</f>
        <v>0.05</v>
      </c>
      <c r="E47" s="97">
        <f>F47*4</f>
        <v>36</v>
      </c>
      <c r="F47" s="98">
        <v>9</v>
      </c>
    </row>
    <row r="48" spans="1:16" ht="30" x14ac:dyDescent="0.25">
      <c r="A48" s="124" t="s">
        <v>100</v>
      </c>
      <c r="B48" s="160" t="s">
        <v>57</v>
      </c>
      <c r="C48" s="161">
        <f>SUM(C46:C47)</f>
        <v>168.98</v>
      </c>
      <c r="D48" s="162">
        <f>SUMPRODUCT(C46:C47,D46:D47)/C48</f>
        <v>0.05</v>
      </c>
      <c r="E48" s="163"/>
      <c r="F48" s="163">
        <f>F47</f>
        <v>9</v>
      </c>
    </row>
    <row r="50" spans="1:16" x14ac:dyDescent="0.25">
      <c r="A50" s="100" t="s">
        <v>94</v>
      </c>
      <c r="B50" s="101">
        <f>Assumptions!N$4</f>
        <v>45016</v>
      </c>
      <c r="C50" s="101">
        <f>Assumptions!O$4</f>
        <v>45382</v>
      </c>
      <c r="D50" s="101">
        <f>Assumptions!P$4</f>
        <v>45747</v>
      </c>
      <c r="E50" s="101">
        <f>Assumptions!Q$4</f>
        <v>46112</v>
      </c>
      <c r="F50" s="101">
        <f>Assumptions!R$4</f>
        <v>46477</v>
      </c>
      <c r="G50" s="101">
        <f>Assumptions!S$4</f>
        <v>46843</v>
      </c>
      <c r="H50" s="101">
        <f>Assumptions!T$4</f>
        <v>47208</v>
      </c>
      <c r="I50" s="101">
        <f>Assumptions!U$4</f>
        <v>47573</v>
      </c>
      <c r="J50" s="101">
        <f>Assumptions!V$4</f>
        <v>47938</v>
      </c>
      <c r="K50" s="101">
        <f>Assumptions!W$4</f>
        <v>48304</v>
      </c>
      <c r="L50" s="101">
        <f>Assumptions!X$4</f>
        <v>48669</v>
      </c>
      <c r="M50" s="101">
        <f>Assumptions!Y$4</f>
        <v>49034</v>
      </c>
      <c r="N50" s="101">
        <f>Assumptions!Z$4</f>
        <v>49399</v>
      </c>
      <c r="O50" s="101">
        <f>Assumptions!AA$4</f>
        <v>49765</v>
      </c>
      <c r="P50" s="101">
        <f>Assumptions!AB$4</f>
        <v>50130</v>
      </c>
    </row>
    <row r="51" spans="1:16" x14ac:dyDescent="0.25">
      <c r="A51" s="2" t="s">
        <v>101</v>
      </c>
      <c r="B51" s="99">
        <f>C48</f>
        <v>168.98</v>
      </c>
      <c r="C51" s="99">
        <f>B54</f>
        <v>168.98</v>
      </c>
      <c r="D51" s="99">
        <f>C54</f>
        <v>168.98</v>
      </c>
      <c r="E51" s="99">
        <f t="shared" ref="E51" si="41">D54</f>
        <v>168.98</v>
      </c>
      <c r="F51" s="99">
        <f t="shared" ref="F51" si="42">E54</f>
        <v>168.98</v>
      </c>
      <c r="G51" s="99">
        <f t="shared" ref="G51" si="43">F54</f>
        <v>168.98</v>
      </c>
      <c r="H51" s="99">
        <f t="shared" ref="H51" si="44">G54</f>
        <v>168.98</v>
      </c>
      <c r="I51" s="99">
        <f t="shared" ref="I51" si="45">H54</f>
        <v>168.98</v>
      </c>
      <c r="J51" s="99">
        <f>$I$54</f>
        <v>168.98</v>
      </c>
      <c r="K51" s="99">
        <f t="shared" ref="K51" si="46">J54</f>
        <v>0</v>
      </c>
      <c r="L51" s="99">
        <f t="shared" ref="L51" si="47">K54</f>
        <v>0</v>
      </c>
      <c r="M51" s="99">
        <f t="shared" ref="M51" si="48">L54</f>
        <v>0</v>
      </c>
      <c r="N51" s="99">
        <f t="shared" ref="N51" si="49">M54</f>
        <v>0</v>
      </c>
      <c r="O51" s="99">
        <f t="shared" ref="O51" si="50">N54</f>
        <v>0</v>
      </c>
      <c r="P51" s="99">
        <f t="shared" ref="P51" si="51">O54</f>
        <v>0</v>
      </c>
    </row>
    <row r="52" spans="1:16" x14ac:dyDescent="0.25">
      <c r="A52" s="2" t="s">
        <v>102</v>
      </c>
      <c r="B52" s="99">
        <v>0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f>$I$54</f>
        <v>168.98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</row>
    <row r="53" spans="1:16" x14ac:dyDescent="0.25">
      <c r="A53" s="2" t="s">
        <v>103</v>
      </c>
      <c r="B53" s="99">
        <f>B51*$D$48</f>
        <v>8.4489999999999998</v>
      </c>
      <c r="C53" s="99">
        <f t="shared" ref="C53:J53" si="52">C51*$D$48</f>
        <v>8.4489999999999998</v>
      </c>
      <c r="D53" s="99">
        <f t="shared" si="52"/>
        <v>8.4489999999999998</v>
      </c>
      <c r="E53" s="99">
        <f t="shared" si="52"/>
        <v>8.4489999999999998</v>
      </c>
      <c r="F53" s="99">
        <f t="shared" si="52"/>
        <v>8.4489999999999998</v>
      </c>
      <c r="G53" s="99">
        <f t="shared" si="52"/>
        <v>8.4489999999999998</v>
      </c>
      <c r="H53" s="99">
        <f t="shared" si="52"/>
        <v>8.4489999999999998</v>
      </c>
      <c r="I53" s="99">
        <f t="shared" si="52"/>
        <v>8.4489999999999998</v>
      </c>
      <c r="J53" s="99">
        <f t="shared" si="52"/>
        <v>8.4489999999999998</v>
      </c>
      <c r="K53" s="99">
        <f t="shared" ref="K53:P53" si="53">K51*$D$6</f>
        <v>0</v>
      </c>
      <c r="L53" s="99">
        <f t="shared" si="53"/>
        <v>0</v>
      </c>
      <c r="M53" s="99">
        <f t="shared" si="53"/>
        <v>0</v>
      </c>
      <c r="N53" s="99">
        <f t="shared" si="53"/>
        <v>0</v>
      </c>
      <c r="O53" s="99">
        <f t="shared" si="53"/>
        <v>0</v>
      </c>
      <c r="P53" s="99">
        <f t="shared" si="53"/>
        <v>0</v>
      </c>
    </row>
    <row r="54" spans="1:16" x14ac:dyDescent="0.25">
      <c r="A54" s="2" t="s">
        <v>104</v>
      </c>
      <c r="B54" s="99">
        <f>B51-B52</f>
        <v>168.98</v>
      </c>
      <c r="C54" s="99">
        <f>C51-C52</f>
        <v>168.98</v>
      </c>
      <c r="D54" s="99">
        <f t="shared" ref="D54:P54" si="54">D51-D52</f>
        <v>168.98</v>
      </c>
      <c r="E54" s="99">
        <f t="shared" si="54"/>
        <v>168.98</v>
      </c>
      <c r="F54" s="99">
        <f t="shared" si="54"/>
        <v>168.98</v>
      </c>
      <c r="G54" s="99">
        <f t="shared" si="54"/>
        <v>168.98</v>
      </c>
      <c r="H54" s="99">
        <f t="shared" si="54"/>
        <v>168.98</v>
      </c>
      <c r="I54" s="99">
        <f t="shared" si="54"/>
        <v>168.98</v>
      </c>
      <c r="J54" s="99">
        <f>J51-J52</f>
        <v>0</v>
      </c>
      <c r="K54" s="99">
        <f t="shared" si="54"/>
        <v>0</v>
      </c>
      <c r="L54" s="99">
        <f t="shared" si="54"/>
        <v>0</v>
      </c>
      <c r="M54" s="99">
        <f>M51-M52</f>
        <v>0</v>
      </c>
      <c r="N54" s="99">
        <f t="shared" si="54"/>
        <v>0</v>
      </c>
      <c r="O54" s="99">
        <f t="shared" si="54"/>
        <v>0</v>
      </c>
      <c r="P54" s="99">
        <f t="shared" si="54"/>
        <v>0</v>
      </c>
    </row>
    <row r="57" spans="1:16" x14ac:dyDescent="0.25">
      <c r="A57" s="104" t="s">
        <v>256</v>
      </c>
      <c r="B57" s="104" t="s">
        <v>252</v>
      </c>
      <c r="C57" s="104"/>
      <c r="D57" s="104"/>
    </row>
    <row r="59" spans="1:16" ht="45" x14ac:dyDescent="0.25">
      <c r="A59" s="100" t="s">
        <v>94</v>
      </c>
      <c r="B59" s="100" t="s">
        <v>95</v>
      </c>
      <c r="C59" s="100" t="s">
        <v>96</v>
      </c>
      <c r="D59" s="100" t="s">
        <v>97</v>
      </c>
      <c r="E59" s="100" t="s">
        <v>98</v>
      </c>
      <c r="F59" s="100" t="s">
        <v>99</v>
      </c>
    </row>
    <row r="60" spans="1:16" ht="30" x14ac:dyDescent="0.25">
      <c r="A60" s="95" t="s">
        <v>208</v>
      </c>
      <c r="B60" s="95" t="s">
        <v>57</v>
      </c>
      <c r="C60" s="95">
        <f>Assumptions!C71</f>
        <v>44.75</v>
      </c>
      <c r="D60" s="96">
        <f>Assumptions!$B$71</f>
        <v>0.06</v>
      </c>
      <c r="E60" s="97">
        <f>F60*4</f>
        <v>36</v>
      </c>
      <c r="F60" s="98">
        <v>9</v>
      </c>
    </row>
    <row r="61" spans="1:16" ht="30" x14ac:dyDescent="0.25">
      <c r="A61" s="95" t="s">
        <v>209</v>
      </c>
      <c r="B61" s="95" t="s">
        <v>57</v>
      </c>
      <c r="C61" s="95">
        <v>0</v>
      </c>
      <c r="D61" s="96">
        <f>Assumptions!$B$71</f>
        <v>0.06</v>
      </c>
      <c r="E61" s="97">
        <f>F61*4</f>
        <v>36</v>
      </c>
      <c r="F61" s="98">
        <v>9</v>
      </c>
    </row>
    <row r="62" spans="1:16" ht="30" x14ac:dyDescent="0.25">
      <c r="A62" s="124" t="s">
        <v>100</v>
      </c>
      <c r="B62" s="160" t="s">
        <v>57</v>
      </c>
      <c r="C62" s="161">
        <f>SUM(C60:C61)</f>
        <v>44.75</v>
      </c>
      <c r="D62" s="162">
        <f>SUMPRODUCT(C60:C61,D60:D61)/C62</f>
        <v>0.06</v>
      </c>
      <c r="E62" s="163"/>
      <c r="F62" s="163">
        <f>F61</f>
        <v>9</v>
      </c>
    </row>
    <row r="64" spans="1:16" x14ac:dyDescent="0.25">
      <c r="A64" s="100" t="s">
        <v>94</v>
      </c>
      <c r="B64" s="101">
        <f>Assumptions!N$4</f>
        <v>45016</v>
      </c>
      <c r="C64" s="101">
        <f>Assumptions!O$4</f>
        <v>45382</v>
      </c>
      <c r="D64" s="101">
        <f>Assumptions!P$4</f>
        <v>45747</v>
      </c>
      <c r="E64" s="101">
        <f>Assumptions!Q$4</f>
        <v>46112</v>
      </c>
      <c r="F64" s="101">
        <f>Assumptions!R$4</f>
        <v>46477</v>
      </c>
      <c r="G64" s="101">
        <f>Assumptions!S$4</f>
        <v>46843</v>
      </c>
      <c r="H64" s="101">
        <f>Assumptions!T$4</f>
        <v>47208</v>
      </c>
      <c r="I64" s="101">
        <f>Assumptions!U$4</f>
        <v>47573</v>
      </c>
      <c r="J64" s="101">
        <f>Assumptions!V$4</f>
        <v>47938</v>
      </c>
      <c r="K64" s="101">
        <f>Assumptions!W$4</f>
        <v>48304</v>
      </c>
      <c r="L64" s="101">
        <f>Assumptions!X$4</f>
        <v>48669</v>
      </c>
      <c r="M64" s="101">
        <f>Assumptions!Y$4</f>
        <v>49034</v>
      </c>
      <c r="N64" s="101">
        <f>Assumptions!Z$4</f>
        <v>49399</v>
      </c>
      <c r="O64" s="101">
        <f>Assumptions!AA$4</f>
        <v>49765</v>
      </c>
      <c r="P64" s="101">
        <f>Assumptions!AB$4</f>
        <v>50130</v>
      </c>
    </row>
    <row r="65" spans="1:16" x14ac:dyDescent="0.25">
      <c r="A65" s="2" t="s">
        <v>101</v>
      </c>
      <c r="B65" s="99">
        <f>C62</f>
        <v>44.75</v>
      </c>
      <c r="C65" s="99">
        <f>B68</f>
        <v>44.75</v>
      </c>
      <c r="D65" s="99">
        <f>C68</f>
        <v>44.75</v>
      </c>
      <c r="E65" s="99">
        <f t="shared" ref="E65" si="55">D68</f>
        <v>44.75</v>
      </c>
      <c r="F65" s="99">
        <f t="shared" ref="F65" si="56">E68</f>
        <v>44.75</v>
      </c>
      <c r="G65" s="99">
        <f t="shared" ref="G65" si="57">F68</f>
        <v>44.75</v>
      </c>
      <c r="H65" s="99">
        <f t="shared" ref="H65" si="58">G68</f>
        <v>44.75</v>
      </c>
      <c r="I65" s="99">
        <f t="shared" ref="I65" si="59">H68</f>
        <v>44.75</v>
      </c>
      <c r="J65" s="99">
        <f t="shared" ref="J65" si="60">I68</f>
        <v>44.75</v>
      </c>
      <c r="K65" s="99">
        <f t="shared" ref="K65" si="61">J68</f>
        <v>0</v>
      </c>
      <c r="L65" s="99">
        <f t="shared" ref="L65" si="62">K68</f>
        <v>0</v>
      </c>
      <c r="M65" s="99">
        <f t="shared" ref="M65" si="63">L68</f>
        <v>0</v>
      </c>
      <c r="N65" s="99">
        <f t="shared" ref="N65" si="64">M68</f>
        <v>0</v>
      </c>
      <c r="O65" s="99">
        <f t="shared" ref="O65" si="65">N68</f>
        <v>0</v>
      </c>
      <c r="P65" s="99">
        <f t="shared" ref="P65" si="66">O68</f>
        <v>0</v>
      </c>
    </row>
    <row r="66" spans="1:16" x14ac:dyDescent="0.25">
      <c r="A66" s="2" t="s">
        <v>102</v>
      </c>
      <c r="B66" s="99">
        <v>0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f>J65</f>
        <v>44.75</v>
      </c>
      <c r="K66" s="99">
        <v>0</v>
      </c>
      <c r="L66" s="99">
        <v>0</v>
      </c>
      <c r="M66" s="99">
        <f>M65</f>
        <v>0</v>
      </c>
      <c r="N66" s="99">
        <f t="shared" ref="N66:P66" si="67">N65</f>
        <v>0</v>
      </c>
      <c r="O66" s="99">
        <f t="shared" si="67"/>
        <v>0</v>
      </c>
      <c r="P66" s="99">
        <f t="shared" si="67"/>
        <v>0</v>
      </c>
    </row>
    <row r="67" spans="1:16" x14ac:dyDescent="0.25">
      <c r="A67" s="2" t="s">
        <v>103</v>
      </c>
      <c r="B67" s="99">
        <f>B65*$D$62</f>
        <v>2.6850000000000001</v>
      </c>
      <c r="C67" s="99">
        <f t="shared" ref="C67:J67" si="68">C65*$D$62</f>
        <v>2.6850000000000001</v>
      </c>
      <c r="D67" s="99">
        <f t="shared" si="68"/>
        <v>2.6850000000000001</v>
      </c>
      <c r="E67" s="99">
        <f t="shared" si="68"/>
        <v>2.6850000000000001</v>
      </c>
      <c r="F67" s="99">
        <f t="shared" si="68"/>
        <v>2.6850000000000001</v>
      </c>
      <c r="G67" s="99">
        <f t="shared" si="68"/>
        <v>2.6850000000000001</v>
      </c>
      <c r="H67" s="99">
        <f t="shared" si="68"/>
        <v>2.6850000000000001</v>
      </c>
      <c r="I67" s="99">
        <f t="shared" si="68"/>
        <v>2.6850000000000001</v>
      </c>
      <c r="J67" s="99">
        <f t="shared" si="68"/>
        <v>2.6850000000000001</v>
      </c>
      <c r="K67" s="99">
        <f t="shared" ref="K67:P67" si="69">K65*$D$6</f>
        <v>0</v>
      </c>
      <c r="L67" s="99">
        <f t="shared" si="69"/>
        <v>0</v>
      </c>
      <c r="M67" s="99">
        <f t="shared" si="69"/>
        <v>0</v>
      </c>
      <c r="N67" s="99">
        <f t="shared" si="69"/>
        <v>0</v>
      </c>
      <c r="O67" s="99">
        <f t="shared" si="69"/>
        <v>0</v>
      </c>
      <c r="P67" s="99">
        <f t="shared" si="69"/>
        <v>0</v>
      </c>
    </row>
    <row r="68" spans="1:16" x14ac:dyDescent="0.25">
      <c r="A68" s="2" t="s">
        <v>104</v>
      </c>
      <c r="B68" s="99">
        <f>B65-B66</f>
        <v>44.75</v>
      </c>
      <c r="C68" s="99">
        <f>C65-C66</f>
        <v>44.75</v>
      </c>
      <c r="D68" s="99">
        <f t="shared" ref="D68:P68" si="70">D65-D66</f>
        <v>44.75</v>
      </c>
      <c r="E68" s="99">
        <f t="shared" si="70"/>
        <v>44.75</v>
      </c>
      <c r="F68" s="99">
        <f t="shared" si="70"/>
        <v>44.75</v>
      </c>
      <c r="G68" s="99">
        <f t="shared" si="70"/>
        <v>44.75</v>
      </c>
      <c r="H68" s="99">
        <f t="shared" si="70"/>
        <v>44.75</v>
      </c>
      <c r="I68" s="99">
        <f t="shared" si="70"/>
        <v>44.75</v>
      </c>
      <c r="J68" s="99">
        <f t="shared" si="70"/>
        <v>0</v>
      </c>
      <c r="K68" s="99">
        <f t="shared" si="70"/>
        <v>0</v>
      </c>
      <c r="L68" s="99">
        <f t="shared" si="70"/>
        <v>0</v>
      </c>
      <c r="M68" s="99">
        <f t="shared" si="70"/>
        <v>0</v>
      </c>
      <c r="N68" s="99">
        <f t="shared" si="70"/>
        <v>0</v>
      </c>
      <c r="O68" s="99">
        <f t="shared" si="70"/>
        <v>0</v>
      </c>
      <c r="P68" s="99">
        <f t="shared" si="70"/>
        <v>0</v>
      </c>
    </row>
    <row r="71" spans="1:16" x14ac:dyDescent="0.25">
      <c r="A71" s="104" t="s">
        <v>207</v>
      </c>
    </row>
    <row r="73" spans="1:16" ht="45" x14ac:dyDescent="0.25">
      <c r="A73" s="100" t="s">
        <v>94</v>
      </c>
      <c r="B73" s="100" t="s">
        <v>95</v>
      </c>
      <c r="C73" s="100" t="s">
        <v>96</v>
      </c>
      <c r="D73" s="100" t="s">
        <v>97</v>
      </c>
      <c r="E73" s="100" t="s">
        <v>98</v>
      </c>
      <c r="F73" s="100" t="s">
        <v>99</v>
      </c>
    </row>
    <row r="74" spans="1:16" ht="30" x14ac:dyDescent="0.25">
      <c r="A74" s="95" t="s">
        <v>208</v>
      </c>
      <c r="B74" s="95" t="s">
        <v>57</v>
      </c>
      <c r="C74" s="95">
        <f>Assumptions!C72</f>
        <v>133.9</v>
      </c>
      <c r="D74" s="96">
        <f>Assumptions!$B$72</f>
        <v>0.125</v>
      </c>
      <c r="E74" s="97">
        <f>F74*4</f>
        <v>48</v>
      </c>
      <c r="F74" s="98">
        <v>12</v>
      </c>
    </row>
    <row r="75" spans="1:16" ht="30" x14ac:dyDescent="0.25">
      <c r="A75" s="95" t="s">
        <v>209</v>
      </c>
      <c r="B75" s="95" t="s">
        <v>57</v>
      </c>
      <c r="C75" s="95">
        <v>0</v>
      </c>
      <c r="D75" s="96">
        <f>Assumptions!$B$72</f>
        <v>0.125</v>
      </c>
      <c r="E75" s="97">
        <f>F75*4</f>
        <v>48</v>
      </c>
      <c r="F75" s="98">
        <v>12</v>
      </c>
    </row>
    <row r="76" spans="1:16" ht="30" x14ac:dyDescent="0.25">
      <c r="A76" s="124" t="s">
        <v>100</v>
      </c>
      <c r="B76" s="160" t="s">
        <v>57</v>
      </c>
      <c r="C76" s="161">
        <f>SUM(C74:C75)</f>
        <v>133.9</v>
      </c>
      <c r="D76" s="162">
        <f>SUMPRODUCT(C74:C75,D74:D75)/C76</f>
        <v>0.125</v>
      </c>
      <c r="E76" s="163"/>
      <c r="F76" s="163">
        <f>F75</f>
        <v>12</v>
      </c>
    </row>
    <row r="78" spans="1:16" x14ac:dyDescent="0.25">
      <c r="A78" s="100" t="s">
        <v>94</v>
      </c>
      <c r="B78" s="101">
        <f>Assumptions!N$4</f>
        <v>45016</v>
      </c>
      <c r="C78" s="101">
        <f>Assumptions!O$4</f>
        <v>45382</v>
      </c>
      <c r="D78" s="101">
        <f>Assumptions!P$4</f>
        <v>45747</v>
      </c>
      <c r="E78" s="101">
        <f>Assumptions!Q$4</f>
        <v>46112</v>
      </c>
      <c r="F78" s="101">
        <f>Assumptions!R$4</f>
        <v>46477</v>
      </c>
      <c r="G78" s="101">
        <f>Assumptions!S$4</f>
        <v>46843</v>
      </c>
      <c r="H78" s="101">
        <f>Assumptions!T$4</f>
        <v>47208</v>
      </c>
      <c r="I78" s="101">
        <f>Assumptions!U$4</f>
        <v>47573</v>
      </c>
      <c r="J78" s="101">
        <f>Assumptions!V$4</f>
        <v>47938</v>
      </c>
      <c r="K78" s="101">
        <f>Assumptions!W$4</f>
        <v>48304</v>
      </c>
      <c r="L78" s="101">
        <f>Assumptions!X$4</f>
        <v>48669</v>
      </c>
      <c r="M78" s="101">
        <f>Assumptions!Y$4</f>
        <v>49034</v>
      </c>
      <c r="N78" s="101">
        <f>Assumptions!Z$4</f>
        <v>49399</v>
      </c>
      <c r="O78" s="101">
        <f>Assumptions!AA$4</f>
        <v>49765</v>
      </c>
      <c r="P78" s="101">
        <f>Assumptions!AB$4</f>
        <v>50130</v>
      </c>
    </row>
    <row r="79" spans="1:16" x14ac:dyDescent="0.25">
      <c r="A79" s="2" t="s">
        <v>101</v>
      </c>
      <c r="B79" s="84">
        <f>C76</f>
        <v>133.9</v>
      </c>
      <c r="C79" s="84">
        <f>B82</f>
        <v>122.74166666666667</v>
      </c>
      <c r="D79" s="84">
        <f t="shared" ref="D79:M79" si="71">C82</f>
        <v>111.58333333333334</v>
      </c>
      <c r="E79" s="84">
        <f t="shared" si="71"/>
        <v>100.42500000000001</v>
      </c>
      <c r="F79" s="84">
        <f t="shared" si="71"/>
        <v>89.26666666666668</v>
      </c>
      <c r="G79" s="84">
        <f t="shared" si="71"/>
        <v>78.108333333333348</v>
      </c>
      <c r="H79" s="84">
        <f t="shared" si="71"/>
        <v>66.950000000000017</v>
      </c>
      <c r="I79" s="84">
        <f t="shared" si="71"/>
        <v>55.791666666666686</v>
      </c>
      <c r="J79" s="84">
        <f t="shared" si="71"/>
        <v>44.633333333333354</v>
      </c>
      <c r="K79" s="84">
        <f t="shared" si="71"/>
        <v>33.475000000000023</v>
      </c>
      <c r="L79" s="84">
        <f t="shared" si="71"/>
        <v>22.316666666666691</v>
      </c>
      <c r="M79" s="84">
        <f t="shared" si="71"/>
        <v>11.158333333333358</v>
      </c>
      <c r="N79" s="99">
        <v>0</v>
      </c>
      <c r="O79" s="99">
        <f t="shared" ref="O79" si="72">N82</f>
        <v>0</v>
      </c>
      <c r="P79" s="99">
        <f t="shared" ref="P79" si="73">O82</f>
        <v>0</v>
      </c>
    </row>
    <row r="80" spans="1:16" x14ac:dyDescent="0.25">
      <c r="A80" s="2" t="s">
        <v>102</v>
      </c>
      <c r="B80" s="99">
        <f>$C$76/$F$76</f>
        <v>11.158333333333333</v>
      </c>
      <c r="C80" s="99">
        <f t="shared" ref="C80:M80" si="74">$C$76/$F$76</f>
        <v>11.158333333333333</v>
      </c>
      <c r="D80" s="99">
        <f t="shared" si="74"/>
        <v>11.158333333333333</v>
      </c>
      <c r="E80" s="99">
        <f t="shared" si="74"/>
        <v>11.158333333333333</v>
      </c>
      <c r="F80" s="99">
        <f t="shared" si="74"/>
        <v>11.158333333333333</v>
      </c>
      <c r="G80" s="99">
        <f t="shared" si="74"/>
        <v>11.158333333333333</v>
      </c>
      <c r="H80" s="99">
        <f t="shared" si="74"/>
        <v>11.158333333333333</v>
      </c>
      <c r="I80" s="99">
        <f t="shared" si="74"/>
        <v>11.158333333333333</v>
      </c>
      <c r="J80" s="99">
        <f t="shared" si="74"/>
        <v>11.158333333333333</v>
      </c>
      <c r="K80" s="99">
        <f t="shared" si="74"/>
        <v>11.158333333333333</v>
      </c>
      <c r="L80" s="99">
        <f t="shared" si="74"/>
        <v>11.158333333333333</v>
      </c>
      <c r="M80" s="99">
        <f t="shared" si="74"/>
        <v>11.158333333333333</v>
      </c>
      <c r="N80" s="99">
        <f t="shared" ref="N80:P80" si="75">N79</f>
        <v>0</v>
      </c>
      <c r="O80" s="99">
        <f t="shared" si="75"/>
        <v>0</v>
      </c>
      <c r="P80" s="99">
        <f t="shared" si="75"/>
        <v>0</v>
      </c>
    </row>
    <row r="81" spans="1:16" x14ac:dyDescent="0.25">
      <c r="A81" s="2" t="s">
        <v>103</v>
      </c>
      <c r="B81" s="99">
        <f>B79*$D$76</f>
        <v>16.737500000000001</v>
      </c>
      <c r="C81" s="99">
        <f t="shared" ref="C81:N81" si="76">C79*$D$76</f>
        <v>15.342708333333334</v>
      </c>
      <c r="D81" s="99">
        <f t="shared" si="76"/>
        <v>13.947916666666668</v>
      </c>
      <c r="E81" s="99">
        <f t="shared" si="76"/>
        <v>12.553125000000001</v>
      </c>
      <c r="F81" s="99">
        <f t="shared" si="76"/>
        <v>11.158333333333335</v>
      </c>
      <c r="G81" s="99">
        <f t="shared" si="76"/>
        <v>9.7635416666666686</v>
      </c>
      <c r="H81" s="99">
        <f t="shared" si="76"/>
        <v>8.3687500000000021</v>
      </c>
      <c r="I81" s="99">
        <f t="shared" si="76"/>
        <v>6.9739583333333357</v>
      </c>
      <c r="J81" s="99">
        <f t="shared" si="76"/>
        <v>5.5791666666666693</v>
      </c>
      <c r="K81" s="99">
        <f t="shared" si="76"/>
        <v>4.1843750000000028</v>
      </c>
      <c r="L81" s="99">
        <f t="shared" si="76"/>
        <v>2.7895833333333364</v>
      </c>
      <c r="M81" s="99">
        <f t="shared" si="76"/>
        <v>1.3947916666666698</v>
      </c>
      <c r="N81" s="99">
        <f t="shared" si="76"/>
        <v>0</v>
      </c>
      <c r="O81" s="99">
        <f t="shared" ref="O81:P81" si="77">O79*$D$6</f>
        <v>0</v>
      </c>
      <c r="P81" s="99">
        <f t="shared" si="77"/>
        <v>0</v>
      </c>
    </row>
    <row r="82" spans="1:16" x14ac:dyDescent="0.25">
      <c r="A82" s="2" t="s">
        <v>104</v>
      </c>
      <c r="B82" s="99">
        <f>B79-B80</f>
        <v>122.74166666666667</v>
      </c>
      <c r="C82" s="99">
        <f t="shared" ref="C82:M82" si="78">C79-C80</f>
        <v>111.58333333333334</v>
      </c>
      <c r="D82" s="99">
        <f t="shared" si="78"/>
        <v>100.42500000000001</v>
      </c>
      <c r="E82" s="99">
        <f t="shared" si="78"/>
        <v>89.26666666666668</v>
      </c>
      <c r="F82" s="99">
        <f t="shared" si="78"/>
        <v>78.108333333333348</v>
      </c>
      <c r="G82" s="99">
        <f t="shared" si="78"/>
        <v>66.950000000000017</v>
      </c>
      <c r="H82" s="99">
        <f t="shared" si="78"/>
        <v>55.791666666666686</v>
      </c>
      <c r="I82" s="99">
        <f t="shared" si="78"/>
        <v>44.633333333333354</v>
      </c>
      <c r="J82" s="99">
        <f t="shared" si="78"/>
        <v>33.475000000000023</v>
      </c>
      <c r="K82" s="99">
        <f t="shared" si="78"/>
        <v>22.316666666666691</v>
      </c>
      <c r="L82" s="99">
        <f t="shared" si="78"/>
        <v>11.158333333333358</v>
      </c>
      <c r="M82" s="99">
        <f t="shared" si="78"/>
        <v>2.4868995751603507E-14</v>
      </c>
      <c r="N82" s="99">
        <f t="shared" ref="N82:P82" si="79">N79-N80</f>
        <v>0</v>
      </c>
      <c r="O82" s="99">
        <f t="shared" si="79"/>
        <v>0</v>
      </c>
      <c r="P82" s="99">
        <f t="shared" si="79"/>
        <v>0</v>
      </c>
    </row>
    <row r="84" spans="1:16" x14ac:dyDescent="0.25">
      <c r="A84" s="104" t="s">
        <v>106</v>
      </c>
      <c r="B84" s="98">
        <f t="shared" ref="B84:P84" si="80">SUMIF($A$4:$A$82,"Interest Expense",B4:B82)</f>
        <v>48.387133524999996</v>
      </c>
      <c r="C84" s="98">
        <f t="shared" si="80"/>
        <v>45.647030731249998</v>
      </c>
      <c r="D84" s="98">
        <f t="shared" si="80"/>
        <v>42.906927937500001</v>
      </c>
      <c r="E84" s="98">
        <f t="shared" si="80"/>
        <v>40.166825143750003</v>
      </c>
      <c r="F84" s="98">
        <f t="shared" si="80"/>
        <v>37.426722349999999</v>
      </c>
      <c r="G84" s="98">
        <f t="shared" si="80"/>
        <v>34.686619556250008</v>
      </c>
      <c r="H84" s="98">
        <f t="shared" si="80"/>
        <v>31.946516762500003</v>
      </c>
      <c r="I84" s="98">
        <f t="shared" si="80"/>
        <v>29.206413968750002</v>
      </c>
      <c r="J84" s="98">
        <f t="shared" si="80"/>
        <v>26.466311175000001</v>
      </c>
      <c r="K84" s="98">
        <f t="shared" si="80"/>
        <v>8.2203083812500051</v>
      </c>
      <c r="L84" s="98">
        <f t="shared" si="80"/>
        <v>5.4802055875000057</v>
      </c>
      <c r="M84" s="98">
        <f t="shared" si="80"/>
        <v>2.7401027937500055</v>
      </c>
      <c r="N84" s="98">
        <f t="shared" si="80"/>
        <v>0</v>
      </c>
      <c r="O84" s="98">
        <f t="shared" si="80"/>
        <v>0</v>
      </c>
      <c r="P84" s="98">
        <f t="shared" si="8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1"/>
  <sheetViews>
    <sheetView topLeftCell="B50" zoomScaleNormal="100" workbookViewId="0">
      <pane ySplit="4" topLeftCell="A123" activePane="bottomLeft" state="frozen"/>
      <selection activeCell="A50" sqref="A50"/>
      <selection pane="bottomLeft" activeCell="Q79" sqref="Q79"/>
    </sheetView>
  </sheetViews>
  <sheetFormatPr defaultColWidth="9.140625" defaultRowHeight="12" outlineLevelRow="1" x14ac:dyDescent="0.2"/>
  <cols>
    <col min="1" max="1" width="26" style="5" bestFit="1" customWidth="1"/>
    <col min="2" max="2" width="16.85546875" style="5" bestFit="1" customWidth="1"/>
    <col min="3" max="3" width="33.140625" style="5" bestFit="1" customWidth="1"/>
    <col min="4" max="4" width="17.7109375" style="33" bestFit="1" customWidth="1"/>
    <col min="5" max="5" width="17.7109375" style="5" bestFit="1" customWidth="1"/>
    <col min="6" max="7" width="14.42578125" style="5" bestFit="1" customWidth="1"/>
    <col min="8" max="8" width="14" style="5" bestFit="1" customWidth="1"/>
    <col min="9" max="9" width="14.7109375" style="5" bestFit="1" customWidth="1"/>
    <col min="10" max="10" width="19.42578125" style="5" bestFit="1" customWidth="1"/>
    <col min="11" max="11" width="12.42578125" style="5" bestFit="1" customWidth="1"/>
    <col min="12" max="19" width="19.42578125" style="5" bestFit="1" customWidth="1"/>
    <col min="20" max="24" width="8.140625" style="5" bestFit="1" customWidth="1"/>
    <col min="25" max="32" width="8.140625" style="5" customWidth="1"/>
    <col min="33" max="16384" width="9.140625" style="5"/>
  </cols>
  <sheetData>
    <row r="1" spans="1:12" customFormat="1" ht="15" hidden="1" outlineLevel="1" x14ac:dyDescent="0.25">
      <c r="A1" s="5"/>
      <c r="B1" s="5"/>
      <c r="C1" s="5"/>
      <c r="D1" s="33"/>
      <c r="E1" s="5"/>
      <c r="F1" s="5"/>
      <c r="G1" s="5"/>
      <c r="H1" s="5"/>
      <c r="I1" s="5"/>
      <c r="J1" s="5"/>
    </row>
    <row r="2" spans="1:12" customFormat="1" ht="15" hidden="1" outlineLevel="1" x14ac:dyDescent="0.25">
      <c r="A2" s="5"/>
      <c r="B2" s="5"/>
      <c r="C2" s="6" t="s">
        <v>3</v>
      </c>
      <c r="D2" s="33"/>
      <c r="E2" s="5"/>
      <c r="F2" s="5"/>
      <c r="G2" s="5"/>
      <c r="H2" s="5"/>
      <c r="I2" s="5"/>
      <c r="J2" s="5"/>
    </row>
    <row r="3" spans="1:12" ht="15" hidden="1" outlineLevel="1" x14ac:dyDescent="0.25">
      <c r="C3" t="s">
        <v>4</v>
      </c>
      <c r="D3" s="34" t="s">
        <v>6</v>
      </c>
      <c r="E3" t="s">
        <v>7</v>
      </c>
      <c r="F3" t="s">
        <v>8</v>
      </c>
      <c r="G3" t="s">
        <v>9</v>
      </c>
      <c r="H3" t="s">
        <v>2</v>
      </c>
      <c r="I3" t="s">
        <v>10</v>
      </c>
      <c r="J3" t="s">
        <v>11</v>
      </c>
      <c r="K3" t="s">
        <v>12</v>
      </c>
      <c r="L3" t="s">
        <v>13</v>
      </c>
    </row>
    <row r="4" spans="1:12" hidden="1" outlineLevel="1" x14ac:dyDescent="0.2">
      <c r="C4" s="7" t="s">
        <v>14</v>
      </c>
      <c r="D4" s="35"/>
      <c r="E4" s="8"/>
      <c r="F4" s="8"/>
      <c r="G4" s="8" t="s">
        <v>15</v>
      </c>
      <c r="H4" s="8"/>
      <c r="I4" s="8"/>
      <c r="J4" s="8"/>
      <c r="K4" s="8"/>
      <c r="L4" s="8"/>
    </row>
    <row r="5" spans="1:12" ht="14.25" hidden="1" customHeight="1" outlineLevel="1" x14ac:dyDescent="0.2">
      <c r="C5" s="8" t="s">
        <v>16</v>
      </c>
      <c r="D5" s="36">
        <v>8840.35</v>
      </c>
      <c r="E5" s="9">
        <v>452268.38</v>
      </c>
      <c r="F5" s="9"/>
      <c r="G5" s="9">
        <v>8180.53</v>
      </c>
      <c r="H5" s="9">
        <v>36.409999999999997</v>
      </c>
      <c r="I5" s="9">
        <v>51.51</v>
      </c>
      <c r="J5" s="9">
        <v>176.81</v>
      </c>
      <c r="K5" s="9">
        <v>75.33</v>
      </c>
      <c r="L5" s="9">
        <f>SUM(D5:K5)</f>
        <v>469629.32</v>
      </c>
    </row>
    <row r="6" spans="1:12" hidden="1" outlineLevel="1" x14ac:dyDescent="0.2">
      <c r="C6" s="10" t="s">
        <v>17</v>
      </c>
      <c r="D6" s="35"/>
      <c r="E6" s="8">
        <v>148.41999999999999</v>
      </c>
      <c r="F6" s="8"/>
      <c r="G6" s="9">
        <v>7771.89</v>
      </c>
      <c r="H6" s="8">
        <v>1.82</v>
      </c>
      <c r="I6" s="8">
        <v>0.42</v>
      </c>
      <c r="J6" s="8">
        <v>1.22</v>
      </c>
      <c r="K6" s="8"/>
      <c r="L6" s="9">
        <f>SUM(D6:K6)</f>
        <v>7923.77</v>
      </c>
    </row>
    <row r="7" spans="1:12" hidden="1" outlineLevel="1" x14ac:dyDescent="0.2">
      <c r="C7" s="11" t="s">
        <v>18</v>
      </c>
      <c r="D7" s="35"/>
      <c r="E7" s="9">
        <v>2116.39</v>
      </c>
      <c r="F7" s="9"/>
      <c r="G7" s="8"/>
      <c r="H7" s="8"/>
      <c r="I7" s="8"/>
      <c r="J7" s="8"/>
      <c r="K7" s="8"/>
      <c r="L7" s="9">
        <f>SUM(D7:K7)</f>
        <v>2116.39</v>
      </c>
    </row>
    <row r="8" spans="1:12" hidden="1" outlineLevel="1" x14ac:dyDescent="0.2">
      <c r="C8" s="12" t="s">
        <v>19</v>
      </c>
      <c r="D8" s="35"/>
      <c r="E8" s="9">
        <v>1299.96</v>
      </c>
      <c r="F8" s="9"/>
      <c r="G8" s="8">
        <v>744.38</v>
      </c>
      <c r="H8" s="8"/>
      <c r="I8" s="8"/>
      <c r="J8" s="8"/>
      <c r="K8" s="8"/>
      <c r="L8" s="9">
        <f>SUM(D8:K8)</f>
        <v>2044.3400000000001</v>
      </c>
    </row>
    <row r="9" spans="1:12" hidden="1" outlineLevel="1" x14ac:dyDescent="0.2">
      <c r="C9" s="8" t="s">
        <v>20</v>
      </c>
      <c r="D9" s="36">
        <f t="shared" ref="D9:L9" si="0">SUM(D5:D6)-D7-D8</f>
        <v>8840.35</v>
      </c>
      <c r="E9" s="9">
        <f t="shared" si="0"/>
        <v>449000.44999999995</v>
      </c>
      <c r="F9" s="9"/>
      <c r="G9" s="9">
        <f t="shared" si="0"/>
        <v>15208.04</v>
      </c>
      <c r="H9" s="9">
        <f t="shared" si="0"/>
        <v>38.229999999999997</v>
      </c>
      <c r="I9" s="9">
        <f t="shared" si="0"/>
        <v>51.93</v>
      </c>
      <c r="J9" s="9">
        <f t="shared" si="0"/>
        <v>178.03</v>
      </c>
      <c r="K9" s="9">
        <f t="shared" si="0"/>
        <v>75.33</v>
      </c>
      <c r="L9" s="9">
        <f t="shared" si="0"/>
        <v>473392.36</v>
      </c>
    </row>
    <row r="10" spans="1:12" hidden="1" outlineLevel="1" x14ac:dyDescent="0.2">
      <c r="C10" s="13" t="s">
        <v>17</v>
      </c>
      <c r="D10" s="35">
        <v>378.99</v>
      </c>
      <c r="E10" s="9">
        <v>269627.37</v>
      </c>
      <c r="F10" s="9"/>
      <c r="G10" s="8"/>
      <c r="H10" s="9">
        <v>1.05</v>
      </c>
      <c r="I10" s="8">
        <v>1.1200000000000001</v>
      </c>
      <c r="J10" s="9">
        <v>12.05</v>
      </c>
      <c r="K10" s="8">
        <v>6.51</v>
      </c>
      <c r="L10" s="9">
        <f>SUM(D10:K10)</f>
        <v>270027.08999999997</v>
      </c>
    </row>
    <row r="11" spans="1:12" hidden="1" outlineLevel="1" x14ac:dyDescent="0.2">
      <c r="C11" s="11"/>
      <c r="D11" s="35"/>
      <c r="E11" s="8"/>
      <c r="F11" s="8"/>
      <c r="G11" s="8"/>
      <c r="H11" s="8"/>
      <c r="I11" s="8"/>
      <c r="J11" s="8"/>
      <c r="K11" s="8"/>
      <c r="L11" s="9"/>
    </row>
    <row r="12" spans="1:12" hidden="1" outlineLevel="1" x14ac:dyDescent="0.2">
      <c r="C12" s="12" t="s">
        <v>19</v>
      </c>
      <c r="D12" s="35"/>
      <c r="E12" s="9">
        <v>706.15</v>
      </c>
      <c r="F12" s="9"/>
      <c r="G12" s="8"/>
      <c r="H12" s="8"/>
      <c r="I12" s="8"/>
      <c r="J12" s="8"/>
      <c r="K12" s="8">
        <v>3.47</v>
      </c>
      <c r="L12" s="9">
        <f>SUM(D12:K12)</f>
        <v>709.62</v>
      </c>
    </row>
    <row r="13" spans="1:12" hidden="1" outlineLevel="1" x14ac:dyDescent="0.2">
      <c r="C13" s="8" t="s">
        <v>21</v>
      </c>
      <c r="D13" s="36">
        <f t="shared" ref="D13:L13" si="1">SUM(D9:D10)-D11-D12</f>
        <v>9219.34</v>
      </c>
      <c r="E13" s="9">
        <f t="shared" si="1"/>
        <v>717921.66999999993</v>
      </c>
      <c r="F13" s="9"/>
      <c r="G13" s="9">
        <f t="shared" si="1"/>
        <v>15208.04</v>
      </c>
      <c r="H13" s="9">
        <f t="shared" si="1"/>
        <v>39.279999999999994</v>
      </c>
      <c r="I13" s="9">
        <f t="shared" si="1"/>
        <v>53.05</v>
      </c>
      <c r="J13" s="9">
        <f t="shared" si="1"/>
        <v>190.08</v>
      </c>
      <c r="K13" s="9">
        <f t="shared" si="1"/>
        <v>78.37</v>
      </c>
      <c r="L13" s="9">
        <f t="shared" si="1"/>
        <v>742709.83</v>
      </c>
    </row>
    <row r="14" spans="1:12" hidden="1" outlineLevel="1" x14ac:dyDescent="0.2">
      <c r="C14" s="13" t="s">
        <v>17</v>
      </c>
      <c r="D14" s="35">
        <v>378.99</v>
      </c>
      <c r="E14" s="9">
        <v>373366.79</v>
      </c>
      <c r="F14" s="9">
        <v>2418.4499999999998</v>
      </c>
      <c r="G14" s="8"/>
      <c r="H14" s="9">
        <v>0.6</v>
      </c>
      <c r="I14" s="8">
        <v>6.02</v>
      </c>
      <c r="J14" s="9">
        <v>0.28000000000000003</v>
      </c>
      <c r="K14" s="8"/>
      <c r="L14" s="9">
        <f>SUM(D14:K14)</f>
        <v>376171.13</v>
      </c>
    </row>
    <row r="15" spans="1:12" hidden="1" outlineLevel="1" x14ac:dyDescent="0.2">
      <c r="C15" s="11" t="s">
        <v>18</v>
      </c>
      <c r="D15" s="35"/>
      <c r="E15" s="8"/>
      <c r="F15" s="8"/>
      <c r="G15" s="8"/>
      <c r="H15" s="8"/>
      <c r="I15" s="8"/>
      <c r="J15" s="8"/>
      <c r="K15" s="8"/>
      <c r="L15" s="9"/>
    </row>
    <row r="16" spans="1:12" hidden="1" outlineLevel="1" x14ac:dyDescent="0.2">
      <c r="C16" s="12" t="s">
        <v>19</v>
      </c>
      <c r="D16" s="35"/>
      <c r="E16" s="9"/>
      <c r="F16" s="9"/>
      <c r="G16" s="8"/>
      <c r="H16" s="8"/>
      <c r="I16" s="8"/>
      <c r="J16" s="8"/>
      <c r="K16" s="8">
        <v>9.09</v>
      </c>
      <c r="L16" s="9">
        <f>SUM(D16:K16)</f>
        <v>9.09</v>
      </c>
    </row>
    <row r="17" spans="3:12" hidden="1" outlineLevel="1" x14ac:dyDescent="0.2">
      <c r="C17" s="8" t="s">
        <v>22</v>
      </c>
      <c r="D17" s="36">
        <f t="shared" ref="D17:K17" si="2">SUM(D13:D14)-D15-D16</f>
        <v>9598.33</v>
      </c>
      <c r="E17" s="9">
        <f t="shared" si="2"/>
        <v>1091288.46</v>
      </c>
      <c r="F17" s="9">
        <f t="shared" si="2"/>
        <v>2418.4499999999998</v>
      </c>
      <c r="G17" s="9">
        <f t="shared" si="2"/>
        <v>15208.04</v>
      </c>
      <c r="H17" s="9">
        <f t="shared" si="2"/>
        <v>39.879999999999995</v>
      </c>
      <c r="I17" s="9">
        <f t="shared" si="2"/>
        <v>59.069999999999993</v>
      </c>
      <c r="J17" s="9">
        <f t="shared" si="2"/>
        <v>190.36</v>
      </c>
      <c r="K17" s="9">
        <f t="shared" si="2"/>
        <v>69.28</v>
      </c>
      <c r="L17" s="9">
        <f>SUM(D17:K17)</f>
        <v>1118871.8700000001</v>
      </c>
    </row>
    <row r="18" spans="3:12" hidden="1" outlineLevel="1" x14ac:dyDescent="0.2">
      <c r="C18" s="8"/>
      <c r="D18" s="35"/>
      <c r="E18" s="8"/>
      <c r="F18" s="8"/>
      <c r="G18" s="8"/>
      <c r="H18" s="8"/>
      <c r="I18" s="8"/>
      <c r="J18" s="8"/>
      <c r="K18" s="8"/>
      <c r="L18" s="9"/>
    </row>
    <row r="19" spans="3:12" hidden="1" outlineLevel="1" x14ac:dyDescent="0.2">
      <c r="C19" s="7" t="s">
        <v>23</v>
      </c>
      <c r="D19" s="35"/>
      <c r="E19" s="8"/>
      <c r="F19" s="8"/>
      <c r="G19" s="8"/>
      <c r="H19" s="8"/>
      <c r="I19" s="8"/>
      <c r="J19" s="8"/>
      <c r="K19" s="8"/>
      <c r="L19" s="9"/>
    </row>
    <row r="20" spans="3:12" hidden="1" outlineLevel="1" x14ac:dyDescent="0.2">
      <c r="C20" s="8" t="s">
        <v>24</v>
      </c>
      <c r="D20" s="35">
        <v>274.19</v>
      </c>
      <c r="E20" s="9">
        <v>2484.2600000000002</v>
      </c>
      <c r="F20" s="9"/>
      <c r="G20" s="8">
        <v>530.86</v>
      </c>
      <c r="H20" s="8">
        <v>12.24</v>
      </c>
      <c r="I20" s="8">
        <v>6.01</v>
      </c>
      <c r="J20" s="8">
        <v>40.17</v>
      </c>
      <c r="K20" s="8">
        <v>9.9600000000000009</v>
      </c>
      <c r="L20" s="9">
        <f t="shared" ref="L20:L29" si="3">SUM(D20:K20)</f>
        <v>3357.6900000000005</v>
      </c>
    </row>
    <row r="21" spans="3:12" hidden="1" outlineLevel="1" x14ac:dyDescent="0.2">
      <c r="C21" s="13" t="s">
        <v>25</v>
      </c>
      <c r="D21" s="35">
        <v>280.74</v>
      </c>
      <c r="E21" s="14">
        <v>10725.99</v>
      </c>
      <c r="F21" s="14"/>
      <c r="G21" s="8">
        <v>530.86</v>
      </c>
      <c r="H21" s="8">
        <v>11.78</v>
      </c>
      <c r="I21" s="8">
        <v>6.15</v>
      </c>
      <c r="J21" s="8">
        <v>35.200000000000003</v>
      </c>
      <c r="K21" s="8">
        <v>12.39</v>
      </c>
      <c r="L21" s="9">
        <f t="shared" si="3"/>
        <v>11603.11</v>
      </c>
    </row>
    <row r="22" spans="3:12" hidden="1" outlineLevel="1" x14ac:dyDescent="0.2">
      <c r="C22" s="12" t="s">
        <v>26</v>
      </c>
      <c r="D22" s="35"/>
      <c r="E22" s="8">
        <v>22.75</v>
      </c>
      <c r="F22" s="8"/>
      <c r="G22" s="8">
        <v>630.03</v>
      </c>
      <c r="H22" s="8"/>
      <c r="I22" s="8"/>
      <c r="J22" s="8"/>
      <c r="K22" s="8"/>
      <c r="L22" s="9">
        <f t="shared" si="3"/>
        <v>652.78</v>
      </c>
    </row>
    <row r="23" spans="3:12" hidden="1" outlineLevel="1" x14ac:dyDescent="0.2">
      <c r="C23" s="8" t="s">
        <v>20</v>
      </c>
      <c r="D23" s="36">
        <f t="shared" ref="D23:K23" si="4">SUM(D20:D21)-D22</f>
        <v>554.93000000000006</v>
      </c>
      <c r="E23" s="9">
        <f t="shared" si="4"/>
        <v>13187.5</v>
      </c>
      <c r="F23" s="9"/>
      <c r="G23" s="9">
        <f t="shared" si="4"/>
        <v>431.69000000000005</v>
      </c>
      <c r="H23" s="9">
        <f t="shared" si="4"/>
        <v>24.02</v>
      </c>
      <c r="I23" s="9">
        <f t="shared" si="4"/>
        <v>12.16</v>
      </c>
      <c r="J23" s="9">
        <f t="shared" si="4"/>
        <v>75.37</v>
      </c>
      <c r="K23" s="9">
        <f t="shared" si="4"/>
        <v>22.35</v>
      </c>
      <c r="L23" s="9">
        <f t="shared" si="3"/>
        <v>14308.020000000002</v>
      </c>
    </row>
    <row r="24" spans="3:12" hidden="1" outlineLevel="1" x14ac:dyDescent="0.2">
      <c r="C24" s="13" t="s">
        <v>25</v>
      </c>
      <c r="D24" s="35">
        <v>285.27999999999997</v>
      </c>
      <c r="E24" s="9">
        <v>13087.89</v>
      </c>
      <c r="F24" s="9"/>
      <c r="G24" s="8">
        <v>361.19</v>
      </c>
      <c r="H24" s="9">
        <v>9.02</v>
      </c>
      <c r="I24" s="8">
        <v>6.06</v>
      </c>
      <c r="J24" s="9">
        <v>39.130000000000003</v>
      </c>
      <c r="K24" s="8">
        <v>10.58</v>
      </c>
      <c r="L24" s="9">
        <f t="shared" si="3"/>
        <v>13799.15</v>
      </c>
    </row>
    <row r="25" spans="3:12" hidden="1" outlineLevel="1" x14ac:dyDescent="0.2">
      <c r="C25" s="12" t="s">
        <v>26</v>
      </c>
      <c r="D25" s="35"/>
      <c r="E25" s="9">
        <v>24</v>
      </c>
      <c r="F25" s="9"/>
      <c r="G25" s="8"/>
      <c r="H25" s="8"/>
      <c r="I25" s="8"/>
      <c r="J25" s="8"/>
      <c r="K25" s="8">
        <v>0.95</v>
      </c>
      <c r="L25" s="9">
        <f t="shared" si="3"/>
        <v>24.95</v>
      </c>
    </row>
    <row r="26" spans="3:12" hidden="1" outlineLevel="1" x14ac:dyDescent="0.2">
      <c r="C26" s="8" t="s">
        <v>27</v>
      </c>
      <c r="D26" s="36">
        <f t="shared" ref="D26:K26" si="5">SUM(D23:D24)-D25</f>
        <v>840.21</v>
      </c>
      <c r="E26" s="9">
        <f t="shared" si="5"/>
        <v>26251.39</v>
      </c>
      <c r="F26" s="9"/>
      <c r="G26" s="9">
        <f t="shared" si="5"/>
        <v>792.88000000000011</v>
      </c>
      <c r="H26" s="9">
        <f t="shared" si="5"/>
        <v>33.04</v>
      </c>
      <c r="I26" s="9">
        <f t="shared" si="5"/>
        <v>18.22</v>
      </c>
      <c r="J26" s="9">
        <f t="shared" si="5"/>
        <v>114.5</v>
      </c>
      <c r="K26" s="9">
        <f t="shared" si="5"/>
        <v>31.98</v>
      </c>
      <c r="L26" s="9">
        <f t="shared" si="3"/>
        <v>28082.22</v>
      </c>
    </row>
    <row r="27" spans="3:12" hidden="1" outlineLevel="1" x14ac:dyDescent="0.2">
      <c r="C27" s="13" t="s">
        <v>25</v>
      </c>
      <c r="D27" s="35">
        <v>293.14</v>
      </c>
      <c r="E27" s="9">
        <v>17342.169999999998</v>
      </c>
      <c r="F27" s="9">
        <v>483.69</v>
      </c>
      <c r="G27" s="8">
        <v>361.19</v>
      </c>
      <c r="H27" s="9">
        <v>2.44</v>
      </c>
      <c r="I27" s="8">
        <v>6.06</v>
      </c>
      <c r="J27" s="9">
        <v>38.43</v>
      </c>
      <c r="K27" s="8">
        <v>8.85</v>
      </c>
      <c r="L27" s="9">
        <f t="shared" si="3"/>
        <v>18535.969999999994</v>
      </c>
    </row>
    <row r="28" spans="3:12" hidden="1" outlineLevel="1" x14ac:dyDescent="0.2">
      <c r="C28" s="12" t="s">
        <v>26</v>
      </c>
      <c r="D28" s="35"/>
      <c r="E28" s="9"/>
      <c r="F28" s="9"/>
      <c r="G28" s="8"/>
      <c r="H28" s="8"/>
      <c r="I28" s="8"/>
      <c r="J28" s="8"/>
      <c r="K28" s="8">
        <v>4.57</v>
      </c>
      <c r="L28" s="9">
        <f t="shared" si="3"/>
        <v>4.57</v>
      </c>
    </row>
    <row r="29" spans="3:12" hidden="1" outlineLevel="1" x14ac:dyDescent="0.2">
      <c r="C29" s="8" t="s">
        <v>28</v>
      </c>
      <c r="D29" s="36">
        <f t="shared" ref="D29:K29" si="6">SUM(D26:D27)-D28</f>
        <v>1133.3499999999999</v>
      </c>
      <c r="E29" s="9">
        <f t="shared" si="6"/>
        <v>43593.56</v>
      </c>
      <c r="F29" s="9">
        <f t="shared" si="6"/>
        <v>483.69</v>
      </c>
      <c r="G29" s="9">
        <f t="shared" si="6"/>
        <v>1154.0700000000002</v>
      </c>
      <c r="H29" s="9">
        <f t="shared" si="6"/>
        <v>35.479999999999997</v>
      </c>
      <c r="I29" s="9">
        <f t="shared" si="6"/>
        <v>24.279999999999998</v>
      </c>
      <c r="J29" s="9">
        <f t="shared" si="6"/>
        <v>152.93</v>
      </c>
      <c r="K29" s="9">
        <f t="shared" si="6"/>
        <v>36.26</v>
      </c>
      <c r="L29" s="9">
        <f t="shared" si="3"/>
        <v>46613.62</v>
      </c>
    </row>
    <row r="30" spans="3:12" hidden="1" outlineLevel="1" x14ac:dyDescent="0.2">
      <c r="C30" s="8"/>
      <c r="D30" s="36"/>
      <c r="E30" s="9"/>
      <c r="F30" s="9"/>
      <c r="G30" s="9"/>
      <c r="H30" s="9"/>
      <c r="I30" s="9"/>
      <c r="J30" s="9"/>
      <c r="K30" s="9"/>
      <c r="L30" s="9"/>
    </row>
    <row r="31" spans="3:12" hidden="1" outlineLevel="1" x14ac:dyDescent="0.2">
      <c r="C31" s="8" t="s">
        <v>29</v>
      </c>
      <c r="D31" s="35"/>
      <c r="E31" s="8"/>
      <c r="F31" s="8"/>
      <c r="G31" s="8"/>
      <c r="H31" s="8"/>
      <c r="I31" s="8"/>
      <c r="J31" s="8"/>
      <c r="K31" s="8"/>
      <c r="L31" s="9"/>
    </row>
    <row r="32" spans="3:12" hidden="1" outlineLevel="1" x14ac:dyDescent="0.2">
      <c r="C32" s="13" t="s">
        <v>30</v>
      </c>
      <c r="D32" s="36">
        <f t="shared" ref="D32:K32" si="7">D9-D23</f>
        <v>8285.42</v>
      </c>
      <c r="E32" s="9">
        <f t="shared" si="7"/>
        <v>435812.94999999995</v>
      </c>
      <c r="F32" s="9">
        <f t="shared" si="7"/>
        <v>0</v>
      </c>
      <c r="G32" s="9">
        <f t="shared" si="7"/>
        <v>14776.35</v>
      </c>
      <c r="H32" s="9">
        <f t="shared" si="7"/>
        <v>14.209999999999997</v>
      </c>
      <c r="I32" s="9">
        <f t="shared" si="7"/>
        <v>39.769999999999996</v>
      </c>
      <c r="J32" s="9">
        <f t="shared" si="7"/>
        <v>102.66</v>
      </c>
      <c r="K32" s="9">
        <f t="shared" si="7"/>
        <v>52.98</v>
      </c>
      <c r="L32" s="9">
        <f>SUM(D32:K32)</f>
        <v>459084.33999999991</v>
      </c>
    </row>
    <row r="33" spans="3:12" hidden="1" outlineLevel="1" x14ac:dyDescent="0.2">
      <c r="C33" s="12" t="s">
        <v>31</v>
      </c>
      <c r="D33" s="36">
        <f t="shared" ref="D33:K33" si="8">D13-D26</f>
        <v>8379.130000000001</v>
      </c>
      <c r="E33" s="9">
        <f t="shared" si="8"/>
        <v>691670.27999999991</v>
      </c>
      <c r="F33" s="9">
        <f t="shared" si="8"/>
        <v>0</v>
      </c>
      <c r="G33" s="9">
        <f t="shared" si="8"/>
        <v>14415.16</v>
      </c>
      <c r="H33" s="9">
        <f t="shared" si="8"/>
        <v>6.2399999999999949</v>
      </c>
      <c r="I33" s="9">
        <f t="shared" si="8"/>
        <v>34.83</v>
      </c>
      <c r="J33" s="9">
        <f t="shared" si="8"/>
        <v>75.580000000000013</v>
      </c>
      <c r="K33" s="9">
        <f t="shared" si="8"/>
        <v>46.39</v>
      </c>
      <c r="L33" s="9">
        <f>SUM(D33:K33)</f>
        <v>714627.60999999987</v>
      </c>
    </row>
    <row r="34" spans="3:12" hidden="1" outlineLevel="1" x14ac:dyDescent="0.2">
      <c r="C34" s="12" t="s">
        <v>32</v>
      </c>
      <c r="D34" s="36">
        <f t="shared" ref="D34:K34" si="9">D17-D29</f>
        <v>8464.98</v>
      </c>
      <c r="E34" s="9">
        <f t="shared" si="9"/>
        <v>1047694.8999999999</v>
      </c>
      <c r="F34" s="9">
        <f t="shared" si="9"/>
        <v>1934.7599999999998</v>
      </c>
      <c r="G34" s="9">
        <f t="shared" si="9"/>
        <v>14053.970000000001</v>
      </c>
      <c r="H34" s="9">
        <f t="shared" si="9"/>
        <v>4.3999999999999986</v>
      </c>
      <c r="I34" s="9">
        <f t="shared" si="9"/>
        <v>34.789999999999992</v>
      </c>
      <c r="J34" s="9">
        <f t="shared" si="9"/>
        <v>37.430000000000007</v>
      </c>
      <c r="K34" s="9">
        <f t="shared" si="9"/>
        <v>33.020000000000003</v>
      </c>
      <c r="L34" s="9">
        <f>SUM(D34:K34)</f>
        <v>1072258.2499999998</v>
      </c>
    </row>
    <row r="35" spans="3:12" hidden="1" outlineLevel="1" x14ac:dyDescent="0.2"/>
    <row r="36" spans="3:12" hidden="1" outlineLevel="1" x14ac:dyDescent="0.2">
      <c r="C36" s="5" t="s">
        <v>33</v>
      </c>
      <c r="D36" s="37">
        <f t="shared" ref="D36:L36" si="10">D21/D9/(1-5%)</f>
        <v>3.3428064440173093E-2</v>
      </c>
      <c r="E36" s="15">
        <f t="shared" si="10"/>
        <v>2.5145889696711183E-2</v>
      </c>
      <c r="F36" s="15" t="e">
        <f t="shared" si="10"/>
        <v>#DIV/0!</v>
      </c>
      <c r="G36" s="15">
        <f t="shared" si="10"/>
        <v>3.6743722399467646E-2</v>
      </c>
      <c r="H36" s="15">
        <f t="shared" si="10"/>
        <v>0.32435260266806176</v>
      </c>
      <c r="I36" s="15">
        <f t="shared" si="10"/>
        <v>0.12466174100763174</v>
      </c>
      <c r="J36" s="15">
        <f t="shared" si="10"/>
        <v>0.20812577418944769</v>
      </c>
      <c r="K36" s="15">
        <f t="shared" si="10"/>
        <v>0.17313295185394792</v>
      </c>
      <c r="L36" s="15">
        <f t="shared" si="10"/>
        <v>2.5800585374888604E-2</v>
      </c>
    </row>
    <row r="37" spans="3:12" hidden="1" outlineLevel="1" x14ac:dyDescent="0.2">
      <c r="D37" s="37">
        <f t="shared" ref="D37:L37" si="11">D24/D9/(1-5%)</f>
        <v>3.3968647942910088E-2</v>
      </c>
      <c r="E37" s="15">
        <f t="shared" si="11"/>
        <v>3.0683101354997473E-2</v>
      </c>
      <c r="F37" s="15" t="e">
        <f t="shared" si="11"/>
        <v>#DIV/0!</v>
      </c>
      <c r="G37" s="15">
        <f t="shared" si="11"/>
        <v>2.4999934245307085E-2</v>
      </c>
      <c r="H37" s="15">
        <f t="shared" si="11"/>
        <v>0.24835827470848193</v>
      </c>
      <c r="I37" s="15">
        <f t="shared" si="11"/>
        <v>0.12283742284654443</v>
      </c>
      <c r="J37" s="15">
        <f t="shared" si="11"/>
        <v>0.23136254386457636</v>
      </c>
      <c r="K37" s="15">
        <f t="shared" si="11"/>
        <v>0.14784072886317748</v>
      </c>
      <c r="L37" s="15">
        <f t="shared" si="11"/>
        <v>3.0683682881218401E-2</v>
      </c>
    </row>
    <row r="38" spans="3:12" hidden="1" outlineLevel="1" x14ac:dyDescent="0.2">
      <c r="D38" s="37">
        <f t="shared" ref="D38:L38" si="12">D27/D13/(1-5%)</f>
        <v>3.346968666440673E-2</v>
      </c>
      <c r="E38" s="15">
        <f t="shared" si="12"/>
        <v>2.542744780147629E-2</v>
      </c>
      <c r="F38" s="15" t="e">
        <f t="shared" si="12"/>
        <v>#DIV/0!</v>
      </c>
      <c r="G38" s="15">
        <f t="shared" si="12"/>
        <v>2.4999934245307085E-2</v>
      </c>
      <c r="H38" s="15">
        <f t="shared" si="12"/>
        <v>6.5387501339907825E-2</v>
      </c>
      <c r="I38" s="15">
        <f t="shared" si="12"/>
        <v>0.12024405972518479</v>
      </c>
      <c r="J38" s="15">
        <f t="shared" si="12"/>
        <v>0.21281897926634766</v>
      </c>
      <c r="K38" s="15">
        <f t="shared" si="12"/>
        <v>0.11886933104101327</v>
      </c>
      <c r="L38" s="15">
        <f t="shared" si="12"/>
        <v>2.6270754176528199E-2</v>
      </c>
    </row>
    <row r="39" spans="3:12" hidden="1" outlineLevel="1" x14ac:dyDescent="0.2"/>
    <row r="40" spans="3:12" hidden="1" outlineLevel="1" x14ac:dyDescent="0.2">
      <c r="C40" s="5" t="s">
        <v>34</v>
      </c>
      <c r="D40" s="38">
        <f t="shared" ref="D40:L40" si="13">1/D36</f>
        <v>29.914983614732492</v>
      </c>
      <c r="E40" s="16">
        <f t="shared" si="13"/>
        <v>39.767930745786636</v>
      </c>
      <c r="F40" s="16" t="e">
        <f t="shared" si="13"/>
        <v>#DIV/0!</v>
      </c>
      <c r="G40" s="16">
        <f t="shared" si="13"/>
        <v>27.215533285612029</v>
      </c>
      <c r="H40" s="16">
        <f t="shared" si="13"/>
        <v>3.0830645161290318</v>
      </c>
      <c r="I40" s="16">
        <f t="shared" si="13"/>
        <v>8.0217073170731705</v>
      </c>
      <c r="J40" s="16">
        <f t="shared" si="13"/>
        <v>4.8047869318181808</v>
      </c>
      <c r="K40" s="16">
        <f t="shared" si="13"/>
        <v>5.775907990314769</v>
      </c>
      <c r="L40" s="16">
        <f t="shared" si="13"/>
        <v>38.758810525798687</v>
      </c>
    </row>
    <row r="41" spans="3:12" hidden="1" outlineLevel="1" x14ac:dyDescent="0.2">
      <c r="D41" s="38">
        <f t="shared" ref="D41:L42" si="14">1/D37</f>
        <v>29.438910894559736</v>
      </c>
      <c r="E41" s="16">
        <f t="shared" si="14"/>
        <v>32.591229564123779</v>
      </c>
      <c r="F41" s="16" t="e">
        <f t="shared" si="14"/>
        <v>#DIV/0!</v>
      </c>
      <c r="G41" s="16">
        <f t="shared" si="14"/>
        <v>40.000105207785381</v>
      </c>
      <c r="H41" s="16">
        <f t="shared" si="14"/>
        <v>4.0264412416851441</v>
      </c>
      <c r="I41" s="16">
        <f t="shared" si="14"/>
        <v>8.1408415841584159</v>
      </c>
      <c r="J41" s="16">
        <f t="shared" si="14"/>
        <v>4.3222208024533604</v>
      </c>
      <c r="K41" s="16">
        <f t="shared" si="14"/>
        <v>6.7640359168241959</v>
      </c>
      <c r="L41" s="16">
        <f t="shared" si="14"/>
        <v>32.59061188551469</v>
      </c>
    </row>
    <row r="42" spans="3:12" hidden="1" outlineLevel="1" x14ac:dyDescent="0.2">
      <c r="D42" s="38">
        <f t="shared" si="14"/>
        <v>29.877781947192471</v>
      </c>
      <c r="E42" s="16">
        <f t="shared" si="14"/>
        <v>39.32758048733232</v>
      </c>
      <c r="F42" s="16" t="e">
        <f t="shared" si="14"/>
        <v>#DIV/0!</v>
      </c>
      <c r="G42" s="16">
        <f t="shared" si="14"/>
        <v>40.000105207785381</v>
      </c>
      <c r="H42" s="16">
        <f t="shared" si="14"/>
        <v>15.293442622950817</v>
      </c>
      <c r="I42" s="16">
        <f t="shared" si="14"/>
        <v>8.3164191419141904</v>
      </c>
      <c r="J42" s="16">
        <f t="shared" si="14"/>
        <v>4.6988290398126473</v>
      </c>
      <c r="K42" s="16">
        <f t="shared" si="14"/>
        <v>8.4125988700564971</v>
      </c>
      <c r="L42" s="16">
        <f t="shared" si="14"/>
        <v>38.06514245005792</v>
      </c>
    </row>
    <row r="43" spans="3:12" hidden="1" outlineLevel="1" x14ac:dyDescent="0.2"/>
    <row r="44" spans="3:12" hidden="1" outlineLevel="1" x14ac:dyDescent="0.2">
      <c r="C44" s="5" t="s">
        <v>35</v>
      </c>
      <c r="D44" s="38">
        <f t="shared" ref="D44:L44" si="15">D32/D9</f>
        <v>0.93722759845481229</v>
      </c>
      <c r="E44" s="16">
        <f t="shared" si="15"/>
        <v>0.97062920538275632</v>
      </c>
      <c r="F44" s="16" t="e">
        <f t="shared" si="15"/>
        <v>#DIV/0!</v>
      </c>
      <c r="G44" s="16">
        <f t="shared" si="15"/>
        <v>0.97161435661663165</v>
      </c>
      <c r="H44" s="16">
        <f t="shared" si="15"/>
        <v>0.37169761967041587</v>
      </c>
      <c r="I44" s="16">
        <f t="shared" si="15"/>
        <v>0.76583862892355081</v>
      </c>
      <c r="J44" s="16">
        <f t="shared" si="15"/>
        <v>0.57664438577767785</v>
      </c>
      <c r="K44" s="16">
        <f t="shared" si="15"/>
        <v>0.70330545599362804</v>
      </c>
      <c r="L44" s="16">
        <f t="shared" si="15"/>
        <v>0.96977555784803948</v>
      </c>
    </row>
    <row r="45" spans="3:12" hidden="1" outlineLevel="1" x14ac:dyDescent="0.2">
      <c r="D45" s="38">
        <f t="shared" ref="D45:L45" si="16">D33/D13</f>
        <v>0.90886440894901377</v>
      </c>
      <c r="E45" s="16">
        <f t="shared" si="16"/>
        <v>0.96343418635071987</v>
      </c>
      <c r="F45" s="16" t="e">
        <f t="shared" si="16"/>
        <v>#DIV/0!</v>
      </c>
      <c r="G45" s="16">
        <f t="shared" si="16"/>
        <v>0.94786441908358998</v>
      </c>
      <c r="H45" s="16">
        <f t="shared" si="16"/>
        <v>0.15885947046843166</v>
      </c>
      <c r="I45" s="16">
        <f t="shared" si="16"/>
        <v>0.65655042412818099</v>
      </c>
      <c r="J45" s="16">
        <f t="shared" si="16"/>
        <v>0.3976220538720539</v>
      </c>
      <c r="K45" s="16">
        <f t="shared" si="16"/>
        <v>0.59193568967717236</v>
      </c>
      <c r="L45" s="16">
        <f t="shared" si="16"/>
        <v>0.96218951350085125</v>
      </c>
    </row>
    <row r="46" spans="3:12" hidden="1" outlineLevel="1" x14ac:dyDescent="0.2">
      <c r="D46" s="38">
        <f t="shared" ref="D46:L46" si="17">D34/D17</f>
        <v>0.88192216771042464</v>
      </c>
      <c r="E46" s="16">
        <f t="shared" si="17"/>
        <v>0.96005312839100299</v>
      </c>
      <c r="F46" s="16">
        <f t="shared" si="17"/>
        <v>0.79999999999999993</v>
      </c>
      <c r="G46" s="16">
        <f t="shared" si="17"/>
        <v>0.92411448155054832</v>
      </c>
      <c r="H46" s="16">
        <f t="shared" si="17"/>
        <v>0.11033099297893678</v>
      </c>
      <c r="I46" s="16">
        <f t="shared" si="17"/>
        <v>0.58896224818012521</v>
      </c>
      <c r="J46" s="16">
        <f t="shared" si="17"/>
        <v>0.19662744274007146</v>
      </c>
      <c r="K46" s="16">
        <f t="shared" si="17"/>
        <v>0.47661662817551964</v>
      </c>
      <c r="L46" s="16">
        <f t="shared" si="17"/>
        <v>0.95833873274515313</v>
      </c>
    </row>
    <row r="47" spans="3:12" hidden="1" outlineLevel="1" x14ac:dyDescent="0.2"/>
    <row r="48" spans="3:12" hidden="1" outlineLevel="1" x14ac:dyDescent="0.2"/>
    <row r="49" spans="1:19" hidden="1" outlineLevel="1" x14ac:dyDescent="0.2"/>
    <row r="50" spans="1:19" outlineLevel="1" x14ac:dyDescent="0.2">
      <c r="A50" s="5" t="str">
        <f>Assumptions!A1</f>
        <v>Plant Year</v>
      </c>
      <c r="D50" s="33">
        <f>Assumptions!M1</f>
        <v>8</v>
      </c>
      <c r="E50" s="5">
        <f>Assumptions!N1</f>
        <v>9</v>
      </c>
      <c r="F50" s="5">
        <f>Assumptions!O1</f>
        <v>10</v>
      </c>
      <c r="G50" s="5">
        <f>Assumptions!P1</f>
        <v>11</v>
      </c>
      <c r="H50" s="5">
        <f>Assumptions!Q1</f>
        <v>12</v>
      </c>
      <c r="I50" s="5">
        <f>Assumptions!R1</f>
        <v>13</v>
      </c>
      <c r="J50" s="5">
        <f>Assumptions!S1</f>
        <v>14</v>
      </c>
      <c r="K50" s="5">
        <f>Assumptions!T1</f>
        <v>15</v>
      </c>
      <c r="L50" s="5">
        <f>Assumptions!U1</f>
        <v>16</v>
      </c>
      <c r="M50" s="5">
        <f>Assumptions!V1</f>
        <v>17</v>
      </c>
      <c r="N50" s="5">
        <f>Assumptions!W1</f>
        <v>18</v>
      </c>
      <c r="O50" s="5">
        <f>Assumptions!X1</f>
        <v>19</v>
      </c>
      <c r="P50" s="5">
        <f>Assumptions!Y1</f>
        <v>20</v>
      </c>
      <c r="Q50" s="5">
        <f>Assumptions!Z1</f>
        <v>21</v>
      </c>
      <c r="R50" s="5">
        <f>Assumptions!AA1</f>
        <v>22</v>
      </c>
      <c r="S50" s="5">
        <f>Assumptions!AB1</f>
        <v>23</v>
      </c>
    </row>
    <row r="51" spans="1:19" outlineLevel="1" x14ac:dyDescent="0.2">
      <c r="A51" s="5" t="s">
        <v>36</v>
      </c>
      <c r="D51" s="33">
        <f>Assumptions!M3</f>
        <v>365</v>
      </c>
      <c r="E51" s="5">
        <f>Assumptions!N3</f>
        <v>365</v>
      </c>
      <c r="F51" s="5">
        <f>Assumptions!O3</f>
        <v>366</v>
      </c>
      <c r="G51" s="5">
        <f>Assumptions!P3</f>
        <v>365</v>
      </c>
      <c r="H51" s="5">
        <f>Assumptions!Q3</f>
        <v>365</v>
      </c>
      <c r="I51" s="5">
        <f>Assumptions!R3</f>
        <v>365</v>
      </c>
      <c r="J51" s="5">
        <f>Assumptions!S3</f>
        <v>366</v>
      </c>
      <c r="K51" s="5">
        <f>Assumptions!T3</f>
        <v>365</v>
      </c>
      <c r="L51" s="5">
        <f>Assumptions!U3</f>
        <v>365</v>
      </c>
      <c r="M51" s="5">
        <f>Assumptions!V3</f>
        <v>365</v>
      </c>
      <c r="N51" s="5">
        <f>Assumptions!W3</f>
        <v>366</v>
      </c>
      <c r="O51" s="5">
        <f>Assumptions!X3</f>
        <v>365</v>
      </c>
      <c r="P51" s="5">
        <f>Assumptions!Y3</f>
        <v>365</v>
      </c>
      <c r="Q51" s="5">
        <f>Assumptions!Z3</f>
        <v>365</v>
      </c>
      <c r="R51" s="5">
        <f>Assumptions!AA3</f>
        <v>366</v>
      </c>
      <c r="S51" s="5">
        <f>S53-Assumptions!C37</f>
        <v>183</v>
      </c>
    </row>
    <row r="52" spans="1:19" outlineLevel="1" x14ac:dyDescent="0.2">
      <c r="A52" s="5" t="s">
        <v>37</v>
      </c>
      <c r="B52" s="5">
        <f>SUM(D51:S51)</f>
        <v>5662</v>
      </c>
    </row>
    <row r="53" spans="1:19" x14ac:dyDescent="0.2">
      <c r="A53" s="17" t="s">
        <v>38</v>
      </c>
      <c r="B53" s="17" t="s">
        <v>39</v>
      </c>
      <c r="D53" s="47">
        <f>Assumptions!M4</f>
        <v>44651</v>
      </c>
      <c r="E53" s="27">
        <f>Assumptions!N4</f>
        <v>45016</v>
      </c>
      <c r="F53" s="27">
        <f>Assumptions!O4</f>
        <v>45382</v>
      </c>
      <c r="G53" s="27">
        <f>Assumptions!P4</f>
        <v>45747</v>
      </c>
      <c r="H53" s="27">
        <f>Assumptions!Q4</f>
        <v>46112</v>
      </c>
      <c r="I53" s="27">
        <f>Assumptions!R4</f>
        <v>46477</v>
      </c>
      <c r="J53" s="27">
        <f>Assumptions!S4</f>
        <v>46843</v>
      </c>
      <c r="K53" s="27">
        <f>Assumptions!T4</f>
        <v>47208</v>
      </c>
      <c r="L53" s="27">
        <f>Assumptions!U4</f>
        <v>47573</v>
      </c>
      <c r="M53" s="27">
        <f>Assumptions!V4</f>
        <v>47938</v>
      </c>
      <c r="N53" s="27">
        <f>Assumptions!W4</f>
        <v>48304</v>
      </c>
      <c r="O53" s="27">
        <f>Assumptions!X4</f>
        <v>48669</v>
      </c>
      <c r="P53" s="27">
        <f>Assumptions!Y4</f>
        <v>49034</v>
      </c>
      <c r="Q53" s="27">
        <f>Assumptions!Z4</f>
        <v>49399</v>
      </c>
      <c r="R53" s="27">
        <f>Assumptions!AA4</f>
        <v>49765</v>
      </c>
      <c r="S53" s="27">
        <f>Assumptions!AB4</f>
        <v>50130</v>
      </c>
    </row>
    <row r="54" spans="1:19" x14ac:dyDescent="0.2">
      <c r="A54" s="17" t="s">
        <v>52</v>
      </c>
      <c r="C54" s="31" t="s">
        <v>40</v>
      </c>
    </row>
    <row r="55" spans="1:19" x14ac:dyDescent="0.2">
      <c r="C55" s="5" t="s">
        <v>41</v>
      </c>
      <c r="D55" s="39">
        <v>477</v>
      </c>
      <c r="E55" s="28">
        <f t="shared" ref="E55:S55" si="18">D55+D56-D57</f>
        <v>477</v>
      </c>
      <c r="F55" s="28">
        <f t="shared" si="18"/>
        <v>477</v>
      </c>
      <c r="G55" s="28">
        <f t="shared" si="18"/>
        <v>477</v>
      </c>
      <c r="H55" s="28">
        <f t="shared" si="18"/>
        <v>477</v>
      </c>
      <c r="I55" s="28">
        <f t="shared" si="18"/>
        <v>477</v>
      </c>
      <c r="J55" s="28">
        <f t="shared" si="18"/>
        <v>477</v>
      </c>
      <c r="K55" s="28">
        <f t="shared" si="18"/>
        <v>477</v>
      </c>
      <c r="L55" s="28">
        <f t="shared" si="18"/>
        <v>477</v>
      </c>
      <c r="M55" s="28">
        <f t="shared" si="18"/>
        <v>477</v>
      </c>
      <c r="N55" s="28">
        <f t="shared" si="18"/>
        <v>477</v>
      </c>
      <c r="O55" s="28">
        <f t="shared" si="18"/>
        <v>477</v>
      </c>
      <c r="P55" s="28">
        <f t="shared" si="18"/>
        <v>477</v>
      </c>
      <c r="Q55" s="28">
        <f t="shared" si="18"/>
        <v>477</v>
      </c>
      <c r="R55" s="28">
        <f t="shared" si="18"/>
        <v>477</v>
      </c>
      <c r="S55" s="28">
        <f t="shared" si="18"/>
        <v>477</v>
      </c>
    </row>
    <row r="56" spans="1:19" x14ac:dyDescent="0.2">
      <c r="C56" s="5" t="s">
        <v>42</v>
      </c>
      <c r="D56" s="38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">
      <c r="C57" s="5" t="s">
        <v>43</v>
      </c>
      <c r="D57" s="38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>
        <f>S55</f>
        <v>477</v>
      </c>
    </row>
    <row r="58" spans="1:19" x14ac:dyDescent="0.2">
      <c r="C58" s="5" t="s">
        <v>33</v>
      </c>
      <c r="D58" s="38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">
      <c r="C59" s="5" t="s">
        <v>44</v>
      </c>
      <c r="D59" s="38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>
        <f>S55</f>
        <v>477</v>
      </c>
    </row>
    <row r="60" spans="1:19" x14ac:dyDescent="0.2">
      <c r="C60" s="5" t="s">
        <v>45</v>
      </c>
      <c r="D60" s="4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C61" s="5" t="s">
        <v>46</v>
      </c>
      <c r="D61" s="41">
        <f t="shared" ref="D61:R61" si="19">D55</f>
        <v>477</v>
      </c>
      <c r="E61" s="30">
        <f t="shared" si="19"/>
        <v>477</v>
      </c>
      <c r="F61" s="30">
        <f t="shared" si="19"/>
        <v>477</v>
      </c>
      <c r="G61" s="30">
        <f t="shared" si="19"/>
        <v>477</v>
      </c>
      <c r="H61" s="30">
        <f t="shared" si="19"/>
        <v>477</v>
      </c>
      <c r="I61" s="30">
        <f t="shared" si="19"/>
        <v>477</v>
      </c>
      <c r="J61" s="30">
        <f t="shared" si="19"/>
        <v>477</v>
      </c>
      <c r="K61" s="30">
        <f t="shared" si="19"/>
        <v>477</v>
      </c>
      <c r="L61" s="30">
        <f t="shared" si="19"/>
        <v>477</v>
      </c>
      <c r="M61" s="30">
        <f t="shared" si="19"/>
        <v>477</v>
      </c>
      <c r="N61" s="30">
        <f t="shared" si="19"/>
        <v>477</v>
      </c>
      <c r="O61" s="30">
        <f t="shared" si="19"/>
        <v>477</v>
      </c>
      <c r="P61" s="30">
        <f t="shared" si="19"/>
        <v>477</v>
      </c>
      <c r="Q61" s="30">
        <f t="shared" si="19"/>
        <v>477</v>
      </c>
      <c r="R61" s="30">
        <f t="shared" si="19"/>
        <v>477</v>
      </c>
      <c r="S61" s="30">
        <f>S55+S56-S57-S60</f>
        <v>0</v>
      </c>
    </row>
    <row r="62" spans="1:19" x14ac:dyDescent="0.2">
      <c r="D62" s="4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x14ac:dyDescent="0.2">
      <c r="C63" s="31" t="s">
        <v>5</v>
      </c>
    </row>
    <row r="64" spans="1:19" x14ac:dyDescent="0.2">
      <c r="A64" s="19">
        <v>0.05</v>
      </c>
      <c r="C64" s="5" t="s">
        <v>41</v>
      </c>
      <c r="D64" s="39">
        <v>9.58</v>
      </c>
      <c r="E64" s="28">
        <f t="shared" ref="E64:S64" si="20">SUM(D64,D65,D66)</f>
        <v>9.58</v>
      </c>
      <c r="F64" s="28">
        <f t="shared" si="20"/>
        <v>9.58</v>
      </c>
      <c r="G64" s="28">
        <f t="shared" si="20"/>
        <v>9.58</v>
      </c>
      <c r="H64" s="28">
        <f t="shared" si="20"/>
        <v>9.58</v>
      </c>
      <c r="I64" s="28">
        <f t="shared" si="20"/>
        <v>9.58</v>
      </c>
      <c r="J64" s="28">
        <f t="shared" si="20"/>
        <v>9.58</v>
      </c>
      <c r="K64" s="28">
        <f t="shared" si="20"/>
        <v>9.58</v>
      </c>
      <c r="L64" s="28">
        <f t="shared" si="20"/>
        <v>9.58</v>
      </c>
      <c r="M64" s="28">
        <f t="shared" si="20"/>
        <v>9.58</v>
      </c>
      <c r="N64" s="28">
        <f t="shared" si="20"/>
        <v>9.58</v>
      </c>
      <c r="O64" s="28">
        <f t="shared" si="20"/>
        <v>9.58</v>
      </c>
      <c r="P64" s="28">
        <f t="shared" si="20"/>
        <v>9.58</v>
      </c>
      <c r="Q64" s="28">
        <f t="shared" si="20"/>
        <v>9.58</v>
      </c>
      <c r="R64" s="28">
        <f t="shared" si="20"/>
        <v>9.58</v>
      </c>
      <c r="S64" s="28">
        <f t="shared" si="20"/>
        <v>9.58</v>
      </c>
    </row>
    <row r="65" spans="1:19" x14ac:dyDescent="0.2">
      <c r="A65" s="19"/>
      <c r="B65" s="16">
        <v>30</v>
      </c>
      <c r="C65" s="5" t="s">
        <v>42</v>
      </c>
      <c r="D65" s="38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B66" s="15">
        <f>1/B65</f>
        <v>3.3333333333333333E-2</v>
      </c>
      <c r="C66" s="5" t="s">
        <v>43</v>
      </c>
      <c r="D66" s="38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C67" s="5" t="s">
        <v>33</v>
      </c>
      <c r="D67" s="38">
        <v>0.16</v>
      </c>
      <c r="E67" s="16">
        <f t="shared" ref="E67:R67" si="21">(E64*(1-$A$64))*$B$66</f>
        <v>0.30336666666666662</v>
      </c>
      <c r="F67" s="16">
        <f t="shared" si="21"/>
        <v>0.30336666666666662</v>
      </c>
      <c r="G67" s="16">
        <f t="shared" si="21"/>
        <v>0.30336666666666662</v>
      </c>
      <c r="H67" s="16">
        <f t="shared" si="21"/>
        <v>0.30336666666666662</v>
      </c>
      <c r="I67" s="16">
        <f t="shared" si="21"/>
        <v>0.30336666666666662</v>
      </c>
      <c r="J67" s="16">
        <f t="shared" si="21"/>
        <v>0.30336666666666662</v>
      </c>
      <c r="K67" s="16">
        <f t="shared" si="21"/>
        <v>0.30336666666666662</v>
      </c>
      <c r="L67" s="16">
        <f t="shared" si="21"/>
        <v>0.30336666666666662</v>
      </c>
      <c r="M67" s="16">
        <f t="shared" si="21"/>
        <v>0.30336666666666662</v>
      </c>
      <c r="N67" s="16">
        <f t="shared" si="21"/>
        <v>0.30336666666666662</v>
      </c>
      <c r="O67" s="16">
        <f t="shared" si="21"/>
        <v>0.30336666666666662</v>
      </c>
      <c r="P67" s="16">
        <f t="shared" si="21"/>
        <v>0.30336666666666662</v>
      </c>
      <c r="Q67" s="16">
        <f t="shared" si="21"/>
        <v>0.30336666666666662</v>
      </c>
      <c r="R67" s="16">
        <f t="shared" si="21"/>
        <v>0.30336666666666662</v>
      </c>
      <c r="S67" s="16">
        <f>(S64*(1-$A$64))*$B$66*(S51/R51)</f>
        <v>0.15168333333333331</v>
      </c>
    </row>
    <row r="68" spans="1:19" x14ac:dyDescent="0.2">
      <c r="C68" s="5" t="s">
        <v>44</v>
      </c>
      <c r="D68" s="3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>
        <f>S64-(R69+S67)</f>
        <v>4.4511833333333337</v>
      </c>
    </row>
    <row r="69" spans="1:19" x14ac:dyDescent="0.2">
      <c r="C69" s="5" t="s">
        <v>45</v>
      </c>
      <c r="D69" s="40">
        <v>0.73</v>
      </c>
      <c r="E69" s="29">
        <f t="shared" ref="E69:S69" si="22">E67+D69+E68-E66</f>
        <v>1.0333666666666665</v>
      </c>
      <c r="F69" s="29">
        <f t="shared" si="22"/>
        <v>1.3367333333333331</v>
      </c>
      <c r="G69" s="29">
        <f t="shared" si="22"/>
        <v>1.6400999999999997</v>
      </c>
      <c r="H69" s="29">
        <f t="shared" si="22"/>
        <v>1.9434666666666662</v>
      </c>
      <c r="I69" s="29">
        <f t="shared" si="22"/>
        <v>2.246833333333333</v>
      </c>
      <c r="J69" s="29">
        <f t="shared" si="22"/>
        <v>2.5501999999999998</v>
      </c>
      <c r="K69" s="29">
        <f t="shared" si="22"/>
        <v>2.8535666666666666</v>
      </c>
      <c r="L69" s="29">
        <f t="shared" si="22"/>
        <v>3.1569333333333334</v>
      </c>
      <c r="M69" s="29">
        <f t="shared" si="22"/>
        <v>3.4603000000000002</v>
      </c>
      <c r="N69" s="29">
        <f t="shared" si="22"/>
        <v>3.7636666666666669</v>
      </c>
      <c r="O69" s="29">
        <f t="shared" si="22"/>
        <v>4.0670333333333337</v>
      </c>
      <c r="P69" s="29">
        <f t="shared" si="22"/>
        <v>4.3704000000000001</v>
      </c>
      <c r="Q69" s="29">
        <f t="shared" si="22"/>
        <v>4.6737666666666664</v>
      </c>
      <c r="R69" s="29">
        <f t="shared" si="22"/>
        <v>4.9771333333333327</v>
      </c>
      <c r="S69" s="29">
        <f t="shared" si="22"/>
        <v>9.58</v>
      </c>
    </row>
    <row r="70" spans="1:19" x14ac:dyDescent="0.2">
      <c r="C70" s="5" t="s">
        <v>46</v>
      </c>
      <c r="D70" s="41">
        <f t="shared" ref="D70:S70" si="23">D64+D65-D69+D66</f>
        <v>8.85</v>
      </c>
      <c r="E70" s="30">
        <f t="shared" si="23"/>
        <v>8.5466333333333342</v>
      </c>
      <c r="F70" s="30">
        <f t="shared" si="23"/>
        <v>8.243266666666667</v>
      </c>
      <c r="G70" s="30">
        <f t="shared" si="23"/>
        <v>7.9399000000000006</v>
      </c>
      <c r="H70" s="30">
        <f t="shared" si="23"/>
        <v>7.6365333333333343</v>
      </c>
      <c r="I70" s="30">
        <f t="shared" si="23"/>
        <v>7.3331666666666671</v>
      </c>
      <c r="J70" s="30">
        <f t="shared" si="23"/>
        <v>7.0297999999999998</v>
      </c>
      <c r="K70" s="30">
        <f t="shared" si="23"/>
        <v>6.7264333333333335</v>
      </c>
      <c r="L70" s="30">
        <f t="shared" si="23"/>
        <v>6.4230666666666671</v>
      </c>
      <c r="M70" s="30">
        <f t="shared" si="23"/>
        <v>6.1196999999999999</v>
      </c>
      <c r="N70" s="30">
        <f t="shared" si="23"/>
        <v>5.8163333333333327</v>
      </c>
      <c r="O70" s="30">
        <f t="shared" si="23"/>
        <v>5.5129666666666663</v>
      </c>
      <c r="P70" s="30">
        <f t="shared" si="23"/>
        <v>5.2096</v>
      </c>
      <c r="Q70" s="30">
        <f t="shared" si="23"/>
        <v>4.9062333333333337</v>
      </c>
      <c r="R70" s="30">
        <f t="shared" si="23"/>
        <v>4.6028666666666673</v>
      </c>
      <c r="S70" s="30">
        <f t="shared" si="23"/>
        <v>0</v>
      </c>
    </row>
    <row r="71" spans="1:19" x14ac:dyDescent="0.2">
      <c r="C71" s="31" t="s">
        <v>250</v>
      </c>
    </row>
    <row r="72" spans="1:19" x14ac:dyDescent="0.2">
      <c r="A72" s="19">
        <v>0.05</v>
      </c>
      <c r="C72" s="5" t="s">
        <v>41</v>
      </c>
      <c r="D72" s="39">
        <v>18.97</v>
      </c>
      <c r="E72" s="28">
        <f t="shared" ref="E72:S72" si="24">D72+D73-D74</f>
        <v>18.97</v>
      </c>
      <c r="F72" s="28">
        <f t="shared" si="24"/>
        <v>18.97</v>
      </c>
      <c r="G72" s="28">
        <f t="shared" si="24"/>
        <v>18.97</v>
      </c>
      <c r="H72" s="28">
        <f t="shared" si="24"/>
        <v>18.97</v>
      </c>
      <c r="I72" s="28">
        <f t="shared" si="24"/>
        <v>18.97</v>
      </c>
      <c r="J72" s="28">
        <f t="shared" si="24"/>
        <v>18.97</v>
      </c>
      <c r="K72" s="28">
        <f t="shared" si="24"/>
        <v>18.97</v>
      </c>
      <c r="L72" s="28">
        <f t="shared" si="24"/>
        <v>18.97</v>
      </c>
      <c r="M72" s="28">
        <f t="shared" si="24"/>
        <v>18.97</v>
      </c>
      <c r="N72" s="28">
        <f t="shared" si="24"/>
        <v>18.97</v>
      </c>
      <c r="O72" s="28">
        <f t="shared" si="24"/>
        <v>18.97</v>
      </c>
      <c r="P72" s="28">
        <f t="shared" si="24"/>
        <v>18.97</v>
      </c>
      <c r="Q72" s="28">
        <f t="shared" si="24"/>
        <v>0</v>
      </c>
      <c r="R72" s="28">
        <f t="shared" si="24"/>
        <v>0</v>
      </c>
      <c r="S72" s="28">
        <f t="shared" si="24"/>
        <v>0</v>
      </c>
    </row>
    <row r="73" spans="1:19" x14ac:dyDescent="0.2">
      <c r="B73" s="5">
        <v>22</v>
      </c>
      <c r="C73" s="5" t="s">
        <v>42</v>
      </c>
      <c r="D73" s="38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9"/>
      <c r="B74" s="15">
        <f>1/B73</f>
        <v>4.5454545454545456E-2</v>
      </c>
      <c r="C74" s="5" t="s">
        <v>43</v>
      </c>
      <c r="D74" s="38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>
        <f>P72</f>
        <v>18.97</v>
      </c>
      <c r="Q74" s="16"/>
      <c r="R74" s="16"/>
      <c r="S74" s="16">
        <f>S72</f>
        <v>0</v>
      </c>
    </row>
    <row r="75" spans="1:19" x14ac:dyDescent="0.2">
      <c r="B75" s="20"/>
      <c r="C75" s="5" t="s">
        <v>33</v>
      </c>
      <c r="D75" s="38">
        <v>0.87</v>
      </c>
      <c r="E75" s="16">
        <f t="shared" ref="E75:S75" si="25">(E72*(1-$A$72))*$B$74</f>
        <v>0.81915909090909089</v>
      </c>
      <c r="F75" s="16">
        <f t="shared" si="25"/>
        <v>0.81915909090909089</v>
      </c>
      <c r="G75" s="16">
        <f t="shared" si="25"/>
        <v>0.81915909090909089</v>
      </c>
      <c r="H75" s="16">
        <f t="shared" si="25"/>
        <v>0.81915909090909089</v>
      </c>
      <c r="I75" s="16">
        <f t="shared" si="25"/>
        <v>0.81915909090909089</v>
      </c>
      <c r="J75" s="16">
        <f t="shared" si="25"/>
        <v>0.81915909090909089</v>
      </c>
      <c r="K75" s="16">
        <f t="shared" si="25"/>
        <v>0.81915909090909089</v>
      </c>
      <c r="L75" s="16">
        <f t="shared" si="25"/>
        <v>0.81915909090909089</v>
      </c>
      <c r="M75" s="16">
        <f t="shared" si="25"/>
        <v>0.81915909090909089</v>
      </c>
      <c r="N75" s="16">
        <f t="shared" si="25"/>
        <v>0.81915909090909089</v>
      </c>
      <c r="O75" s="16">
        <f t="shared" si="25"/>
        <v>0.81915909090909089</v>
      </c>
      <c r="P75" s="16">
        <f t="shared" ref="P75" si="26">(P72*(1-$A$72))*$B$74</f>
        <v>0.81915909090909089</v>
      </c>
      <c r="Q75" s="16">
        <f t="shared" si="25"/>
        <v>0</v>
      </c>
      <c r="R75" s="16">
        <f t="shared" si="25"/>
        <v>0</v>
      </c>
      <c r="S75" s="16">
        <f t="shared" si="25"/>
        <v>0</v>
      </c>
    </row>
    <row r="76" spans="1:19" x14ac:dyDescent="0.2">
      <c r="C76" s="5" t="s">
        <v>44</v>
      </c>
      <c r="D76" s="38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>
        <f>O78-P75</f>
        <v>1.7400909090909078</v>
      </c>
      <c r="Q76" s="16"/>
      <c r="R76" s="16"/>
      <c r="S76" s="16">
        <f>R78-S75</f>
        <v>0</v>
      </c>
    </row>
    <row r="77" spans="1:19" x14ac:dyDescent="0.2">
      <c r="C77" s="5" t="s">
        <v>45</v>
      </c>
      <c r="D77" s="40">
        <v>7.4</v>
      </c>
      <c r="E77" s="29">
        <f>E75+D77+E76-E74</f>
        <v>8.2191590909090912</v>
      </c>
      <c r="F77" s="29">
        <f t="shared" ref="F77:S77" si="27">F75+E77+F76-F74</f>
        <v>9.0383181818181821</v>
      </c>
      <c r="G77" s="29">
        <f>G75+F77+G76-G74</f>
        <v>9.857477272727273</v>
      </c>
      <c r="H77" s="29">
        <f t="shared" si="27"/>
        <v>10.676636363636364</v>
      </c>
      <c r="I77" s="29">
        <f t="shared" si="27"/>
        <v>11.495795454545455</v>
      </c>
      <c r="J77" s="29">
        <f t="shared" si="27"/>
        <v>12.314954545454546</v>
      </c>
      <c r="K77" s="29">
        <f t="shared" si="27"/>
        <v>13.134113636363637</v>
      </c>
      <c r="L77" s="29">
        <f t="shared" si="27"/>
        <v>13.953272727272727</v>
      </c>
      <c r="M77" s="29">
        <f t="shared" si="27"/>
        <v>14.772431818181818</v>
      </c>
      <c r="N77" s="29">
        <f t="shared" si="27"/>
        <v>15.591590909090909</v>
      </c>
      <c r="O77" s="29">
        <f t="shared" si="27"/>
        <v>16.41075</v>
      </c>
      <c r="P77" s="29">
        <f t="shared" si="27"/>
        <v>0</v>
      </c>
      <c r="Q77" s="29">
        <f t="shared" si="27"/>
        <v>0</v>
      </c>
      <c r="R77" s="29">
        <f t="shared" si="27"/>
        <v>0</v>
      </c>
      <c r="S77" s="29">
        <f t="shared" si="27"/>
        <v>0</v>
      </c>
    </row>
    <row r="78" spans="1:19" x14ac:dyDescent="0.2">
      <c r="C78" s="5" t="s">
        <v>46</v>
      </c>
      <c r="D78" s="41">
        <f>D72+D73-D77-D74</f>
        <v>11.569999999999999</v>
      </c>
      <c r="E78" s="30">
        <f>E72+D73-E77-E74</f>
        <v>10.750840909090908</v>
      </c>
      <c r="F78" s="30">
        <f t="shared" ref="F78:S78" si="28">F72+F73-F77-F74</f>
        <v>9.9316818181818167</v>
      </c>
      <c r="G78" s="30">
        <f t="shared" si="28"/>
        <v>9.1125227272727258</v>
      </c>
      <c r="H78" s="30">
        <f t="shared" si="28"/>
        <v>8.2933636363636349</v>
      </c>
      <c r="I78" s="30">
        <f t="shared" si="28"/>
        <v>7.474204545454544</v>
      </c>
      <c r="J78" s="30">
        <f t="shared" si="28"/>
        <v>6.6550454545454532</v>
      </c>
      <c r="K78" s="30">
        <f t="shared" si="28"/>
        <v>5.8358863636363623</v>
      </c>
      <c r="L78" s="30">
        <f t="shared" si="28"/>
        <v>5.0167272727272714</v>
      </c>
      <c r="M78" s="30">
        <f t="shared" si="28"/>
        <v>4.1975681818181805</v>
      </c>
      <c r="N78" s="30">
        <f t="shared" si="28"/>
        <v>3.3784090909090896</v>
      </c>
      <c r="O78" s="30">
        <f t="shared" si="28"/>
        <v>2.5592499999999987</v>
      </c>
      <c r="P78" s="30">
        <f t="shared" si="28"/>
        <v>0</v>
      </c>
      <c r="Q78" s="30">
        <f t="shared" si="28"/>
        <v>0</v>
      </c>
      <c r="R78" s="30">
        <f t="shared" si="28"/>
        <v>0</v>
      </c>
      <c r="S78" s="30">
        <f t="shared" si="28"/>
        <v>0</v>
      </c>
    </row>
    <row r="79" spans="1:19" ht="9.75" customHeight="1" x14ac:dyDescent="0.2">
      <c r="D79" s="42">
        <f t="shared" ref="D79:S79" si="29">IF(D77=0,(D76-D74)/D72,D78/D72)</f>
        <v>0.60991038481813387</v>
      </c>
      <c r="E79" s="18">
        <f t="shared" si="29"/>
        <v>0.56672856663631566</v>
      </c>
      <c r="F79" s="18">
        <f t="shared" si="29"/>
        <v>0.52354674845449745</v>
      </c>
      <c r="G79" s="18">
        <f t="shared" si="29"/>
        <v>0.48036493027267929</v>
      </c>
      <c r="H79" s="18">
        <f t="shared" si="29"/>
        <v>0.43718311209086114</v>
      </c>
      <c r="I79" s="18">
        <f t="shared" si="29"/>
        <v>0.39400129390904293</v>
      </c>
      <c r="J79" s="18">
        <f t="shared" si="29"/>
        <v>0.35081947572722477</v>
      </c>
      <c r="K79" s="18">
        <f t="shared" si="29"/>
        <v>0.30763765754540656</v>
      </c>
      <c r="L79" s="18">
        <f t="shared" si="29"/>
        <v>0.26445583936358841</v>
      </c>
      <c r="M79" s="18">
        <f t="shared" si="29"/>
        <v>0.2212740211817702</v>
      </c>
      <c r="N79" s="18">
        <f t="shared" si="29"/>
        <v>0.17809220299995202</v>
      </c>
      <c r="O79" s="18">
        <f t="shared" si="29"/>
        <v>0.13491038481813383</v>
      </c>
      <c r="P79" s="18">
        <f t="shared" si="29"/>
        <v>-0.90827143336368421</v>
      </c>
      <c r="Q79" s="18" t="e">
        <f t="shared" si="29"/>
        <v>#DIV/0!</v>
      </c>
      <c r="R79" s="18" t="e">
        <f t="shared" si="29"/>
        <v>#DIV/0!</v>
      </c>
      <c r="S79" s="18" t="e">
        <f t="shared" si="29"/>
        <v>#DIV/0!</v>
      </c>
    </row>
    <row r="80" spans="1:19" ht="12.75" customHeight="1" x14ac:dyDescent="0.2">
      <c r="D80" s="206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1:19" x14ac:dyDescent="0.2">
      <c r="C81" s="31" t="s">
        <v>269</v>
      </c>
    </row>
    <row r="82" spans="1:19" x14ac:dyDescent="0.2">
      <c r="A82" s="19">
        <v>0.05</v>
      </c>
      <c r="C82" s="5" t="s">
        <v>41</v>
      </c>
      <c r="D82" s="43">
        <v>2.62</v>
      </c>
      <c r="E82" s="28">
        <f t="shared" ref="E82" si="30">D82+D83-D84</f>
        <v>2.62</v>
      </c>
      <c r="F82" s="28">
        <f t="shared" ref="F82" si="31">E82+E83-E84</f>
        <v>2.62</v>
      </c>
      <c r="G82" s="28">
        <f t="shared" ref="G82" si="32">F82+F83-F84</f>
        <v>3.845123029231913</v>
      </c>
      <c r="H82" s="28">
        <f t="shared" ref="H82" si="33">G82+G83-G84</f>
        <v>3.845123029231913</v>
      </c>
      <c r="I82" s="28">
        <f t="shared" ref="I82" si="34">H82+H83-H84</f>
        <v>3.845123029231913</v>
      </c>
      <c r="J82" s="28">
        <f t="shared" ref="J82" si="35">I82+I83-I84</f>
        <v>3.845123029231913</v>
      </c>
      <c r="K82" s="28">
        <f t="shared" ref="K82" si="36">J82+J83-J84</f>
        <v>3.845123029231913</v>
      </c>
      <c r="L82" s="28">
        <f t="shared" ref="L82" si="37">K82+K83-K84</f>
        <v>3.845123029231913</v>
      </c>
      <c r="M82" s="28">
        <f t="shared" ref="M82" si="38">L82+L83-L84</f>
        <v>3.845123029231913</v>
      </c>
      <c r="N82" s="28">
        <f t="shared" ref="N82" si="39">M82+M83-M84</f>
        <v>3.845123029231913</v>
      </c>
      <c r="O82" s="28">
        <f t="shared" ref="O82" si="40">N82+N83-N84</f>
        <v>3.845123029231913</v>
      </c>
      <c r="P82" s="28">
        <f t="shared" ref="P82" si="41">O82+O83-O84</f>
        <v>3.845123029231913</v>
      </c>
      <c r="Q82" s="28">
        <f t="shared" ref="Q82" si="42">P82+P83-P84</f>
        <v>5.64311874424794</v>
      </c>
      <c r="R82" s="28">
        <f t="shared" ref="R82" si="43">Q82+Q83-Q84</f>
        <v>5.64311874424794</v>
      </c>
      <c r="S82" s="28">
        <f t="shared" ref="S82" si="44">R82+R83-R84</f>
        <v>5.64311874424794</v>
      </c>
    </row>
    <row r="83" spans="1:19" x14ac:dyDescent="0.2">
      <c r="B83" s="5">
        <v>10</v>
      </c>
      <c r="C83" s="5" t="s">
        <v>42</v>
      </c>
      <c r="D83" s="44"/>
      <c r="E83" s="16"/>
      <c r="F83" s="16">
        <f>F82*(1+Assumptions!$C$86)^'Depreciation Schedule'!$B$113</f>
        <v>3.8451230292319125</v>
      </c>
      <c r="G83" s="16"/>
      <c r="H83" s="16"/>
      <c r="I83" s="16"/>
      <c r="J83" s="16"/>
      <c r="K83" s="16"/>
      <c r="L83" s="16"/>
      <c r="M83" s="16"/>
      <c r="N83" s="16"/>
      <c r="O83" s="16"/>
      <c r="P83" s="16">
        <f>P82*(1+Assumptions!$C$86)^'Depreciation Schedule'!$B$113</f>
        <v>5.6431187442479391</v>
      </c>
      <c r="Q83" s="16"/>
      <c r="R83" s="16"/>
      <c r="S83" s="16"/>
    </row>
    <row r="84" spans="1:19" x14ac:dyDescent="0.2">
      <c r="A84" s="19"/>
      <c r="B84" s="22">
        <f>1/B83</f>
        <v>0.1</v>
      </c>
      <c r="C84" s="5" t="s">
        <v>43</v>
      </c>
      <c r="D84" s="44"/>
      <c r="E84" s="16"/>
      <c r="F84" s="16">
        <f>F82</f>
        <v>2.62</v>
      </c>
      <c r="G84" s="16"/>
      <c r="H84" s="16"/>
      <c r="I84" s="16"/>
      <c r="J84" s="16"/>
      <c r="K84" s="16"/>
      <c r="L84" s="16"/>
      <c r="M84" s="16"/>
      <c r="N84" s="16"/>
      <c r="O84" s="16"/>
      <c r="P84" s="16">
        <f>P82</f>
        <v>3.845123029231913</v>
      </c>
      <c r="Q84" s="16"/>
      <c r="R84" s="16"/>
      <c r="S84" s="16">
        <f>S82</f>
        <v>5.64311874424794</v>
      </c>
    </row>
    <row r="85" spans="1:19" x14ac:dyDescent="0.2">
      <c r="A85" s="23"/>
      <c r="B85" s="20"/>
      <c r="C85" s="5" t="s">
        <v>33</v>
      </c>
      <c r="D85" s="44">
        <v>0.34</v>
      </c>
      <c r="E85" s="21">
        <f>(E82*(1-$A$112))*$B$114</f>
        <v>0.24890000000000001</v>
      </c>
      <c r="F85" s="21">
        <f>(F82*(1-$A$112))*$B$114</f>
        <v>0.24890000000000001</v>
      </c>
      <c r="G85" s="21">
        <f t="shared" ref="G85:O85" si="45">(G82*(1-$A$112))/$B$113</f>
        <v>0.36528668777703172</v>
      </c>
      <c r="H85" s="21">
        <f t="shared" si="45"/>
        <v>0.36528668777703172</v>
      </c>
      <c r="I85" s="21">
        <f t="shared" si="45"/>
        <v>0.36528668777703172</v>
      </c>
      <c r="J85" s="21">
        <f t="shared" si="45"/>
        <v>0.36528668777703172</v>
      </c>
      <c r="K85" s="21">
        <f t="shared" si="45"/>
        <v>0.36528668777703172</v>
      </c>
      <c r="L85" s="21">
        <f t="shared" si="45"/>
        <v>0.36528668777703172</v>
      </c>
      <c r="M85" s="21">
        <f t="shared" si="45"/>
        <v>0.36528668777703172</v>
      </c>
      <c r="N85" s="21">
        <f t="shared" si="45"/>
        <v>0.36528668777703172</v>
      </c>
      <c r="O85" s="21">
        <f t="shared" si="45"/>
        <v>0.36528668777703172</v>
      </c>
      <c r="P85" s="21">
        <f>(P82*(1-$A$112))*$B$114</f>
        <v>0.36528668777703177</v>
      </c>
      <c r="Q85" s="21">
        <f>(Q82*(1-$A$112))/$B$113</f>
        <v>0.53609628070355431</v>
      </c>
      <c r="R85" s="21">
        <f>(R82*(1-$A$112))/$B$113</f>
        <v>0.53609628070355431</v>
      </c>
      <c r="S85" s="21">
        <f>(S82*(1-$A$112))/$B$113*(S51/R51)</f>
        <v>0.26804814035177715</v>
      </c>
    </row>
    <row r="86" spans="1:19" x14ac:dyDescent="0.2">
      <c r="C86" s="5" t="s">
        <v>44</v>
      </c>
      <c r="D86" s="44"/>
      <c r="E86" s="16"/>
      <c r="F86" s="16">
        <f>E88-F85</f>
        <v>0.59219999999999995</v>
      </c>
      <c r="G86" s="16"/>
      <c r="H86" s="16"/>
      <c r="I86" s="16"/>
      <c r="J86" s="16"/>
      <c r="K86" s="16"/>
      <c r="L86" s="16"/>
      <c r="M86" s="16"/>
      <c r="N86" s="16"/>
      <c r="O86" s="16"/>
      <c r="P86" s="16">
        <f>O88-P85</f>
        <v>0.19225615146159636</v>
      </c>
      <c r="Q86" s="16"/>
      <c r="R86" s="16"/>
      <c r="S86" s="16">
        <f>R88-S85</f>
        <v>4.3028780424890538</v>
      </c>
    </row>
    <row r="87" spans="1:19" x14ac:dyDescent="0.2">
      <c r="A87" s="24"/>
      <c r="C87" s="5" t="s">
        <v>45</v>
      </c>
      <c r="D87" s="44">
        <v>1.53</v>
      </c>
      <c r="E87" s="16">
        <f t="shared" ref="E87" si="46">D87+E85+E86-E84</f>
        <v>1.7789000000000001</v>
      </c>
      <c r="F87" s="21">
        <f t="shared" ref="F87" si="47">E87+F85+F86-F84</f>
        <v>0</v>
      </c>
      <c r="G87" s="16">
        <f t="shared" ref="G87" si="48">F87+G85+G86-G84</f>
        <v>0.36528668777703172</v>
      </c>
      <c r="H87" s="16">
        <f t="shared" ref="H87" si="49">G87+H85+H86-H84</f>
        <v>0.73057337555406343</v>
      </c>
      <c r="I87" s="16">
        <f t="shared" ref="I87" si="50">H87+I85+I86-I84</f>
        <v>1.0958600633310951</v>
      </c>
      <c r="J87" s="16">
        <f t="shared" ref="J87" si="51">I87+J85+J86-J84</f>
        <v>1.4611467511081269</v>
      </c>
      <c r="K87" s="16">
        <f t="shared" ref="K87" si="52">J87+K85+K86-K84</f>
        <v>1.8264334388851586</v>
      </c>
      <c r="L87" s="16">
        <f t="shared" ref="L87" si="53">K87+L85+L86-L84</f>
        <v>2.1917201266621902</v>
      </c>
      <c r="M87" s="21">
        <f t="shared" ref="M87" si="54">L87+M85+M86-M84</f>
        <v>2.5570068144392217</v>
      </c>
      <c r="N87" s="16">
        <f t="shared" ref="N87" si="55">M87+N85+N86-N84</f>
        <v>2.9222935022162533</v>
      </c>
      <c r="O87" s="16">
        <f t="shared" ref="O87" si="56">N87+O85+O86-O84</f>
        <v>3.2875801899932848</v>
      </c>
      <c r="P87" s="21">
        <f t="shared" ref="P87" si="57">O87+P85+P86-P84</f>
        <v>0</v>
      </c>
      <c r="Q87" s="16">
        <f t="shared" ref="Q87" si="58">P87+Q85+Q86-Q84</f>
        <v>0.53609628070355431</v>
      </c>
      <c r="R87" s="16">
        <f t="shared" ref="R87" si="59">Q87+R85+R86-R84</f>
        <v>1.0721925614071086</v>
      </c>
      <c r="S87" s="16">
        <f t="shared" ref="S87" si="60">R87+S85+S86-S84</f>
        <v>0</v>
      </c>
    </row>
    <row r="88" spans="1:19" x14ac:dyDescent="0.2">
      <c r="B88" s="15"/>
      <c r="C88" s="5" t="s">
        <v>46</v>
      </c>
      <c r="D88" s="45">
        <f t="shared" ref="D88:S88" si="61">D82+D83-D87-D84</f>
        <v>1.0900000000000001</v>
      </c>
      <c r="E88" s="30">
        <f t="shared" si="61"/>
        <v>0.84109999999999996</v>
      </c>
      <c r="F88" s="30">
        <f t="shared" si="61"/>
        <v>3.845123029231913</v>
      </c>
      <c r="G88" s="30">
        <f t="shared" si="61"/>
        <v>3.4798363414548814</v>
      </c>
      <c r="H88" s="30">
        <f t="shared" si="61"/>
        <v>3.1145496536778494</v>
      </c>
      <c r="I88" s="30">
        <f t="shared" si="61"/>
        <v>2.7492629659008179</v>
      </c>
      <c r="J88" s="30">
        <f t="shared" si="61"/>
        <v>2.3839762781237859</v>
      </c>
      <c r="K88" s="30">
        <f t="shared" si="61"/>
        <v>2.0186895903467543</v>
      </c>
      <c r="L88" s="30">
        <f t="shared" si="61"/>
        <v>1.6534029025697228</v>
      </c>
      <c r="M88" s="30">
        <f t="shared" si="61"/>
        <v>1.2881162147926912</v>
      </c>
      <c r="N88" s="30">
        <f t="shared" si="61"/>
        <v>0.92282952701565968</v>
      </c>
      <c r="O88" s="30">
        <f t="shared" si="61"/>
        <v>0.55754283923862813</v>
      </c>
      <c r="P88" s="30">
        <f t="shared" si="61"/>
        <v>5.64311874424794</v>
      </c>
      <c r="Q88" s="30">
        <f t="shared" si="61"/>
        <v>5.1070224635443857</v>
      </c>
      <c r="R88" s="30">
        <f t="shared" si="61"/>
        <v>4.5709261828408314</v>
      </c>
      <c r="S88" s="30">
        <f t="shared" si="61"/>
        <v>0</v>
      </c>
    </row>
    <row r="89" spans="1:19" ht="9.75" customHeight="1" x14ac:dyDescent="0.2">
      <c r="D89" s="42">
        <f t="shared" ref="D89:S89" si="62">IF(D87=0,(D86-D84)/D82,D88/D82)</f>
        <v>0.41603053435114506</v>
      </c>
      <c r="E89" s="42">
        <f t="shared" si="62"/>
        <v>0.32103053435114504</v>
      </c>
      <c r="F89" s="42">
        <f t="shared" si="62"/>
        <v>-0.77396946564885494</v>
      </c>
      <c r="G89" s="42">
        <f t="shared" si="62"/>
        <v>0.90500000000000003</v>
      </c>
      <c r="H89" s="42">
        <f t="shared" si="62"/>
        <v>0.80999999999999994</v>
      </c>
      <c r="I89" s="42">
        <f t="shared" si="62"/>
        <v>0.71500000000000008</v>
      </c>
      <c r="J89" s="42">
        <f t="shared" si="62"/>
        <v>0.62</v>
      </c>
      <c r="K89" s="42">
        <f t="shared" si="62"/>
        <v>0.52500000000000002</v>
      </c>
      <c r="L89" s="42">
        <f t="shared" si="62"/>
        <v>0.43000000000000005</v>
      </c>
      <c r="M89" s="42">
        <f t="shared" si="62"/>
        <v>0.33500000000000008</v>
      </c>
      <c r="N89" s="42">
        <f t="shared" si="62"/>
        <v>0.24000000000000016</v>
      </c>
      <c r="O89" s="42">
        <f t="shared" si="62"/>
        <v>0.14500000000000018</v>
      </c>
      <c r="P89" s="42">
        <f t="shared" si="62"/>
        <v>-0.94999999999999973</v>
      </c>
      <c r="Q89" s="42">
        <f t="shared" si="62"/>
        <v>0.90500000000000003</v>
      </c>
      <c r="R89" s="42">
        <f t="shared" si="62"/>
        <v>0.81</v>
      </c>
      <c r="S89" s="42">
        <f t="shared" si="62"/>
        <v>-0.23750000000000007</v>
      </c>
    </row>
    <row r="90" spans="1:19" ht="9.75" customHeight="1" x14ac:dyDescent="0.2">
      <c r="D90" s="204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</row>
    <row r="91" spans="1:19" x14ac:dyDescent="0.2">
      <c r="C91" s="31" t="s">
        <v>11</v>
      </c>
    </row>
    <row r="92" spans="1:19" x14ac:dyDescent="0.2">
      <c r="A92" s="19">
        <v>0.05</v>
      </c>
      <c r="C92" s="5" t="s">
        <v>41</v>
      </c>
      <c r="D92" s="43">
        <v>1.94</v>
      </c>
      <c r="E92" s="28">
        <f t="shared" ref="E92" si="63">D92+D93-D94</f>
        <v>1.94</v>
      </c>
      <c r="F92" s="28">
        <f t="shared" ref="F92" si="64">E92+E93-E94</f>
        <v>1.94</v>
      </c>
      <c r="G92" s="28">
        <f t="shared" ref="G92" si="65">F92+F93-F94</f>
        <v>2.8471521666831712</v>
      </c>
      <c r="H92" s="28">
        <f t="shared" ref="H92" si="66">G92+G93-G94</f>
        <v>2.8471521666831712</v>
      </c>
      <c r="I92" s="28">
        <f t="shared" ref="I92" si="67">H92+H93-H94</f>
        <v>2.8471521666831712</v>
      </c>
      <c r="J92" s="28">
        <f t="shared" ref="J92" si="68">I92+I93-I94</f>
        <v>2.8471521666831712</v>
      </c>
      <c r="K92" s="28">
        <f t="shared" ref="K92" si="69">J92+J93-J94</f>
        <v>2.8471521666831712</v>
      </c>
      <c r="L92" s="28">
        <f t="shared" ref="L92" si="70">K92+K93-K94</f>
        <v>2.8471521666831712</v>
      </c>
      <c r="M92" s="28">
        <f t="shared" ref="M92" si="71">L92+L93-L94</f>
        <v>2.8471521666831712</v>
      </c>
      <c r="N92" s="28">
        <f t="shared" ref="N92" si="72">M92+M93-M94</f>
        <v>2.8471521666831712</v>
      </c>
      <c r="O92" s="28">
        <f t="shared" ref="O92" si="73">N92+N93-N94</f>
        <v>2.8471521666831712</v>
      </c>
      <c r="P92" s="28">
        <f t="shared" ref="P92" si="74">O92+O93-O94</f>
        <v>2.8471521666831712</v>
      </c>
      <c r="Q92" s="28">
        <f t="shared" ref="Q92" si="75">P92+P93-P94</f>
        <v>4.1784925052828239</v>
      </c>
      <c r="R92" s="28">
        <f t="shared" ref="R92" si="76">Q92+Q93-Q94</f>
        <v>4.1784925052828239</v>
      </c>
      <c r="S92" s="28">
        <f t="shared" ref="S92" si="77">R92+R93-R94</f>
        <v>4.1784925052828239</v>
      </c>
    </row>
    <row r="93" spans="1:19" x14ac:dyDescent="0.2">
      <c r="B93" s="5">
        <v>5</v>
      </c>
      <c r="C93" s="5" t="s">
        <v>42</v>
      </c>
      <c r="D93" s="44"/>
      <c r="E93" s="16"/>
      <c r="F93" s="16">
        <f>F92*(1+Assumptions!$C$86)^'Depreciation Schedule'!$B$113</f>
        <v>2.8471521666831716</v>
      </c>
      <c r="G93" s="16"/>
      <c r="H93" s="16"/>
      <c r="I93" s="16"/>
      <c r="J93" s="16"/>
      <c r="K93" s="16"/>
      <c r="L93" s="16"/>
      <c r="M93" s="16"/>
      <c r="N93" s="16"/>
      <c r="O93" s="16"/>
      <c r="P93" s="16">
        <f>P92*(1+Assumptions!$C$86)^'Depreciation Schedule'!$B$113</f>
        <v>4.1784925052828239</v>
      </c>
      <c r="Q93" s="16"/>
      <c r="R93" s="16"/>
      <c r="S93" s="16"/>
    </row>
    <row r="94" spans="1:19" x14ac:dyDescent="0.2">
      <c r="A94" s="19"/>
      <c r="B94" s="22">
        <f>1/B93</f>
        <v>0.2</v>
      </c>
      <c r="C94" s="5" t="s">
        <v>43</v>
      </c>
      <c r="D94" s="44"/>
      <c r="E94" s="16"/>
      <c r="F94" s="16">
        <f>F92</f>
        <v>1.94</v>
      </c>
      <c r="G94" s="16"/>
      <c r="H94" s="16"/>
      <c r="I94" s="16"/>
      <c r="J94" s="16"/>
      <c r="K94" s="16"/>
      <c r="L94" s="16"/>
      <c r="M94" s="16"/>
      <c r="N94" s="16"/>
      <c r="O94" s="16"/>
      <c r="P94" s="16">
        <f>P92</f>
        <v>2.8471521666831712</v>
      </c>
      <c r="Q94" s="16"/>
      <c r="R94" s="16"/>
      <c r="S94" s="16">
        <f>S92</f>
        <v>4.1784925052828239</v>
      </c>
    </row>
    <row r="95" spans="1:19" x14ac:dyDescent="0.2">
      <c r="A95" s="23"/>
      <c r="B95" s="20"/>
      <c r="C95" s="5" t="s">
        <v>33</v>
      </c>
      <c r="D95" s="44">
        <v>0</v>
      </c>
      <c r="E95" s="21">
        <f>(E92*(1-$A$112))*$B$114</f>
        <v>0.18430000000000002</v>
      </c>
      <c r="F95" s="21">
        <f>(F92*(1-$A$112))*$B$114</f>
        <v>0.18430000000000002</v>
      </c>
      <c r="G95" s="21">
        <f t="shared" ref="G95:O95" si="78">(G92*(1-$A$112))/$B$113</f>
        <v>0.27047945583490124</v>
      </c>
      <c r="H95" s="21">
        <f t="shared" si="78"/>
        <v>0.27047945583490124</v>
      </c>
      <c r="I95" s="21">
        <f t="shared" si="78"/>
        <v>0.27047945583490124</v>
      </c>
      <c r="J95" s="21">
        <f t="shared" si="78"/>
        <v>0.27047945583490124</v>
      </c>
      <c r="K95" s="21">
        <f t="shared" si="78"/>
        <v>0.27047945583490124</v>
      </c>
      <c r="L95" s="21">
        <f t="shared" si="78"/>
        <v>0.27047945583490124</v>
      </c>
      <c r="M95" s="21">
        <f t="shared" si="78"/>
        <v>0.27047945583490124</v>
      </c>
      <c r="N95" s="21">
        <f t="shared" si="78"/>
        <v>0.27047945583490124</v>
      </c>
      <c r="O95" s="21">
        <f t="shared" si="78"/>
        <v>0.27047945583490124</v>
      </c>
      <c r="P95" s="21">
        <f>(P92*(1-$A$112))*$B$114</f>
        <v>0.27047945583490124</v>
      </c>
      <c r="Q95" s="21">
        <f>(Q92*(1-$A$112))/$B$113</f>
        <v>0.39695678800186823</v>
      </c>
      <c r="R95" s="21">
        <f>(R92*(1-$A$112))/$B$113</f>
        <v>0.39695678800186823</v>
      </c>
      <c r="S95" s="21">
        <f>(S92*(1-$A$112))/$B$113*(S51/R51)</f>
        <v>0.19847839400093412</v>
      </c>
    </row>
    <row r="96" spans="1:19" x14ac:dyDescent="0.2">
      <c r="C96" s="5" t="s">
        <v>44</v>
      </c>
      <c r="D96" s="44"/>
      <c r="E96" s="16"/>
      <c r="F96" s="16">
        <f>E98-F95</f>
        <v>-6.8600000000000105E-2</v>
      </c>
      <c r="G96" s="16"/>
      <c r="H96" s="16"/>
      <c r="I96" s="16"/>
      <c r="J96" s="16"/>
      <c r="K96" s="16"/>
      <c r="L96" s="16"/>
      <c r="M96" s="16"/>
      <c r="N96" s="16"/>
      <c r="O96" s="16"/>
      <c r="P96" s="16">
        <f>O98-P95</f>
        <v>0.14235760833415873</v>
      </c>
      <c r="Q96" s="16"/>
      <c r="R96" s="16"/>
      <c r="S96" s="16">
        <f>R98-S95</f>
        <v>3.1861005352781531</v>
      </c>
    </row>
    <row r="97" spans="1:19" x14ac:dyDescent="0.2">
      <c r="A97" s="24"/>
      <c r="C97" s="5" t="s">
        <v>45</v>
      </c>
      <c r="D97" s="44">
        <v>1.64</v>
      </c>
      <c r="E97" s="16">
        <f t="shared" ref="E97" si="79">D97+E95+E96-E94</f>
        <v>1.8243</v>
      </c>
      <c r="F97" s="21">
        <f t="shared" ref="F97" si="80">E97+F95+F96-F94</f>
        <v>0</v>
      </c>
      <c r="G97" s="16">
        <f t="shared" ref="G97" si="81">F97+G95+G96-G94</f>
        <v>0.27047945583490124</v>
      </c>
      <c r="H97" s="16">
        <f t="shared" ref="H97" si="82">G97+H95+H96-H94</f>
        <v>0.54095891166980248</v>
      </c>
      <c r="I97" s="16">
        <f t="shared" ref="I97" si="83">H97+I95+I96-I94</f>
        <v>0.81143836750470366</v>
      </c>
      <c r="J97" s="16">
        <f t="shared" ref="J97" si="84">I97+J95+J96-J94</f>
        <v>1.081917823339605</v>
      </c>
      <c r="K97" s="16">
        <f t="shared" ref="K97" si="85">J97+K95+K96-K94</f>
        <v>1.3523972791745063</v>
      </c>
      <c r="L97" s="16">
        <f t="shared" ref="L97" si="86">K97+L95+L96-L94</f>
        <v>1.6228767350094075</v>
      </c>
      <c r="M97" s="21">
        <f t="shared" ref="M97" si="87">L97+M95+M96-M94</f>
        <v>1.8933561908443088</v>
      </c>
      <c r="N97" s="16">
        <f t="shared" ref="N97" si="88">M97+N95+N96-N94</f>
        <v>2.1638356466792099</v>
      </c>
      <c r="O97" s="16">
        <f t="shared" ref="O97" si="89">N97+O95+O96-O94</f>
        <v>2.4343151025141112</v>
      </c>
      <c r="P97" s="21">
        <f t="shared" ref="P97" si="90">O97+P95+P96-P94</f>
        <v>0</v>
      </c>
      <c r="Q97" s="16">
        <f t="shared" ref="Q97" si="91">P97+Q95+Q96-Q94</f>
        <v>0.39695678800186823</v>
      </c>
      <c r="R97" s="16">
        <f t="shared" ref="R97" si="92">Q97+R95+R96-R94</f>
        <v>0.79391357600373647</v>
      </c>
      <c r="S97" s="16">
        <f t="shared" ref="S97" si="93">R97+S95+S96-S94</f>
        <v>0</v>
      </c>
    </row>
    <row r="98" spans="1:19" x14ac:dyDescent="0.2">
      <c r="B98" s="15"/>
      <c r="C98" s="5" t="s">
        <v>46</v>
      </c>
      <c r="D98" s="45">
        <f t="shared" ref="D98:S98" si="94">D92+D93-D97-D94</f>
        <v>0.30000000000000004</v>
      </c>
      <c r="E98" s="30">
        <f t="shared" si="94"/>
        <v>0.11569999999999991</v>
      </c>
      <c r="F98" s="30">
        <f t="shared" si="94"/>
        <v>2.8471521666831712</v>
      </c>
      <c r="G98" s="30">
        <f t="shared" si="94"/>
        <v>2.5766727108482699</v>
      </c>
      <c r="H98" s="30">
        <f t="shared" si="94"/>
        <v>2.3061932550133686</v>
      </c>
      <c r="I98" s="30">
        <f t="shared" si="94"/>
        <v>2.0357137991784677</v>
      </c>
      <c r="J98" s="30">
        <f t="shared" si="94"/>
        <v>1.7652343433435662</v>
      </c>
      <c r="K98" s="30">
        <f t="shared" si="94"/>
        <v>1.4947548875086649</v>
      </c>
      <c r="L98" s="30">
        <f t="shared" si="94"/>
        <v>1.2242754316737636</v>
      </c>
      <c r="M98" s="30">
        <f t="shared" si="94"/>
        <v>0.95379597583886233</v>
      </c>
      <c r="N98" s="30">
        <f t="shared" si="94"/>
        <v>0.68331652000396126</v>
      </c>
      <c r="O98" s="30">
        <f t="shared" si="94"/>
        <v>0.41283706416905996</v>
      </c>
      <c r="P98" s="30">
        <f t="shared" si="94"/>
        <v>4.1784925052828239</v>
      </c>
      <c r="Q98" s="30">
        <f t="shared" si="94"/>
        <v>3.7815357172809558</v>
      </c>
      <c r="R98" s="30">
        <f t="shared" si="94"/>
        <v>3.3845789292790873</v>
      </c>
      <c r="S98" s="30">
        <f t="shared" si="94"/>
        <v>0</v>
      </c>
    </row>
    <row r="99" spans="1:19" x14ac:dyDescent="0.2">
      <c r="B99" s="15"/>
      <c r="D99" s="42">
        <f t="shared" ref="D99:S99" si="95">IF(D97=0,(D96-D94)/D92,D98/D92)</f>
        <v>0.15463917525773199</v>
      </c>
      <c r="E99" s="42">
        <f t="shared" si="95"/>
        <v>5.9639175257731915E-2</v>
      </c>
      <c r="F99" s="42">
        <f t="shared" si="95"/>
        <v>-1.0353608247422681</v>
      </c>
      <c r="G99" s="42">
        <f t="shared" si="95"/>
        <v>0.90500000000000003</v>
      </c>
      <c r="H99" s="42">
        <f t="shared" si="95"/>
        <v>0.80999999999999994</v>
      </c>
      <c r="I99" s="42">
        <f t="shared" si="95"/>
        <v>0.71500000000000008</v>
      </c>
      <c r="J99" s="42">
        <f t="shared" si="95"/>
        <v>0.62</v>
      </c>
      <c r="K99" s="42">
        <f t="shared" si="95"/>
        <v>0.52500000000000002</v>
      </c>
      <c r="L99" s="42">
        <f t="shared" si="95"/>
        <v>0.43</v>
      </c>
      <c r="M99" s="42">
        <f t="shared" si="95"/>
        <v>0.33500000000000002</v>
      </c>
      <c r="N99" s="42">
        <f t="shared" si="95"/>
        <v>0.24000000000000007</v>
      </c>
      <c r="O99" s="42">
        <f t="shared" si="95"/>
        <v>0.14500000000000005</v>
      </c>
      <c r="P99" s="42">
        <f t="shared" si="95"/>
        <v>-0.95</v>
      </c>
      <c r="Q99" s="42">
        <f t="shared" si="95"/>
        <v>0.90500000000000003</v>
      </c>
      <c r="R99" s="42">
        <f t="shared" si="95"/>
        <v>0.80999999999999994</v>
      </c>
      <c r="S99" s="42">
        <f t="shared" si="95"/>
        <v>-0.23750000000000004</v>
      </c>
    </row>
    <row r="100" spans="1:19" x14ac:dyDescent="0.2">
      <c r="B100" s="15"/>
      <c r="D100" s="208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</row>
    <row r="101" spans="1:19" x14ac:dyDescent="0.2">
      <c r="C101" s="31" t="s">
        <v>2</v>
      </c>
    </row>
    <row r="102" spans="1:19" x14ac:dyDescent="0.2">
      <c r="A102" s="19">
        <v>0.05</v>
      </c>
      <c r="C102" s="5" t="s">
        <v>41</v>
      </c>
      <c r="D102" s="43">
        <v>9.8800000000000008</v>
      </c>
      <c r="E102" s="28">
        <f t="shared" ref="E102" si="96">D102+D103-D104</f>
        <v>9.8800000000000008</v>
      </c>
      <c r="F102" s="28">
        <f t="shared" ref="F102" si="97">E102+E103-E104</f>
        <v>9.8800000000000008</v>
      </c>
      <c r="G102" s="28">
        <f t="shared" ref="G102" si="98">F102+F103-F104</f>
        <v>14.499929591149348</v>
      </c>
      <c r="H102" s="28">
        <f t="shared" ref="H102" si="99">G102+G103-G104</f>
        <v>14.499929591149348</v>
      </c>
      <c r="I102" s="28">
        <f t="shared" ref="I102" si="100">H102+H103-H104</f>
        <v>14.499929591149348</v>
      </c>
      <c r="J102" s="28">
        <f t="shared" ref="J102" si="101">I102+I103-I104</f>
        <v>14.499929591149348</v>
      </c>
      <c r="K102" s="28">
        <f t="shared" ref="K102" si="102">J102+J103-J104</f>
        <v>14.499929591149348</v>
      </c>
      <c r="L102" s="28">
        <f t="shared" ref="L102" si="103">K102+K103-K104</f>
        <v>14.499929591149348</v>
      </c>
      <c r="M102" s="28">
        <f t="shared" ref="M102" si="104">L102+L103-L104</f>
        <v>14.499929591149348</v>
      </c>
      <c r="N102" s="28">
        <f t="shared" ref="N102" si="105">M102+M103-M104</f>
        <v>14.499929591149348</v>
      </c>
      <c r="O102" s="28">
        <f t="shared" ref="O102" si="106">N102+N103-N104</f>
        <v>14.499929591149348</v>
      </c>
      <c r="P102" s="28">
        <f t="shared" ref="P102" si="107">O102+O103-O104</f>
        <v>14.499929591149348</v>
      </c>
      <c r="Q102" s="28">
        <f t="shared" ref="Q102" si="108">P102+P103-P104</f>
        <v>21.280157707316654</v>
      </c>
      <c r="R102" s="28">
        <f t="shared" ref="R102" si="109">Q102+Q103-Q104</f>
        <v>21.280157707316654</v>
      </c>
      <c r="S102" s="28">
        <f t="shared" ref="S102" si="110">R102+R103-R104</f>
        <v>21.280157707316654</v>
      </c>
    </row>
    <row r="103" spans="1:19" x14ac:dyDescent="0.2">
      <c r="B103" s="5">
        <v>3</v>
      </c>
      <c r="C103" s="5" t="s">
        <v>42</v>
      </c>
      <c r="D103" s="44"/>
      <c r="E103" s="16"/>
      <c r="F103" s="16">
        <f>F102*(1+Assumptions!$C$86)^'Depreciation Schedule'!$B$113</f>
        <v>14.49992959114935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>
        <f>P102*(1+Assumptions!$C$86)^'Depreciation Schedule'!$B$113</f>
        <v>21.280157707316651</v>
      </c>
      <c r="Q103" s="16"/>
      <c r="R103" s="16"/>
      <c r="S103" s="16"/>
    </row>
    <row r="104" spans="1:19" x14ac:dyDescent="0.2">
      <c r="A104" s="19"/>
      <c r="B104" s="22">
        <f>1/B103</f>
        <v>0.33333333333333331</v>
      </c>
      <c r="C104" s="5" t="s">
        <v>43</v>
      </c>
      <c r="D104" s="44"/>
      <c r="E104" s="16"/>
      <c r="F104" s="16">
        <f>F102</f>
        <v>9.8800000000000008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>
        <f>P102</f>
        <v>14.499929591149348</v>
      </c>
      <c r="Q104" s="16"/>
      <c r="R104" s="16"/>
      <c r="S104" s="16">
        <f>S102</f>
        <v>21.280157707316654</v>
      </c>
    </row>
    <row r="105" spans="1:19" x14ac:dyDescent="0.2">
      <c r="A105" s="23"/>
      <c r="B105" s="20"/>
      <c r="C105" s="5" t="s">
        <v>33</v>
      </c>
      <c r="D105" s="44">
        <v>1.05</v>
      </c>
      <c r="E105" s="21">
        <f>(E102*(1-$A$112))*$B$114</f>
        <v>0.9386000000000001</v>
      </c>
      <c r="F105" s="21">
        <f>(F102*(1-$A$112))*$B$114</f>
        <v>0.9386000000000001</v>
      </c>
      <c r="G105" s="21">
        <f t="shared" ref="G105:O105" si="111">(G102*(1-$A$112))/$B$113</f>
        <v>1.377493311159188</v>
      </c>
      <c r="H105" s="21">
        <f t="shared" si="111"/>
        <v>1.377493311159188</v>
      </c>
      <c r="I105" s="21">
        <f t="shared" si="111"/>
        <v>1.377493311159188</v>
      </c>
      <c r="J105" s="21">
        <f t="shared" si="111"/>
        <v>1.377493311159188</v>
      </c>
      <c r="K105" s="21">
        <f t="shared" si="111"/>
        <v>1.377493311159188</v>
      </c>
      <c r="L105" s="21">
        <f t="shared" si="111"/>
        <v>1.377493311159188</v>
      </c>
      <c r="M105" s="21">
        <f t="shared" si="111"/>
        <v>1.377493311159188</v>
      </c>
      <c r="N105" s="21">
        <f t="shared" si="111"/>
        <v>1.377493311159188</v>
      </c>
      <c r="O105" s="21">
        <f t="shared" si="111"/>
        <v>1.377493311159188</v>
      </c>
      <c r="P105" s="21">
        <f>(P102*(1-$A$112))*$B$114</f>
        <v>1.377493311159188</v>
      </c>
      <c r="Q105" s="21">
        <f>(Q102*(1-$A$112))/$B$113</f>
        <v>2.0216149821950822</v>
      </c>
      <c r="R105" s="21">
        <f>(R102*(1-$A$112))/$B$113</f>
        <v>2.0216149821950822</v>
      </c>
      <c r="S105" s="21">
        <f>(S102*(1-$A$112))/$B$113*(S51/R51)</f>
        <v>1.0108074910975411</v>
      </c>
    </row>
    <row r="106" spans="1:19" x14ac:dyDescent="0.2">
      <c r="C106" s="5" t="s">
        <v>44</v>
      </c>
      <c r="D106" s="44"/>
      <c r="E106" s="16"/>
      <c r="F106" s="16">
        <f>E108-F105</f>
        <v>1.8328000000000007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>
        <f>O108-P105</f>
        <v>0.72499647955746527</v>
      </c>
      <c r="Q106" s="16"/>
      <c r="R106" s="16"/>
      <c r="S106" s="16">
        <f>R108-S105</f>
        <v>16.226120251828949</v>
      </c>
    </row>
    <row r="107" spans="1:19" x14ac:dyDescent="0.2">
      <c r="A107" s="24"/>
      <c r="C107" s="5" t="s">
        <v>45</v>
      </c>
      <c r="D107" s="44">
        <v>6.17</v>
      </c>
      <c r="E107" s="16">
        <f t="shared" ref="E107" si="112">D107+E105+E106-E104</f>
        <v>7.1086</v>
      </c>
      <c r="F107" s="21">
        <f t="shared" ref="F107" si="113">E107+F105+F106-F104</f>
        <v>0</v>
      </c>
      <c r="G107" s="16">
        <f t="shared" ref="G107" si="114">F107+G105+G106-G104</f>
        <v>1.377493311159188</v>
      </c>
      <c r="H107" s="16">
        <f t="shared" ref="H107" si="115">G107+H105+H106-H104</f>
        <v>2.7549866223183761</v>
      </c>
      <c r="I107" s="16">
        <f t="shared" ref="I107" si="116">H107+I105+I106-I104</f>
        <v>4.1324799334775637</v>
      </c>
      <c r="J107" s="16">
        <f t="shared" ref="J107" si="117">I107+J105+J106-J104</f>
        <v>5.5099732446367522</v>
      </c>
      <c r="K107" s="16">
        <f t="shared" ref="K107" si="118">J107+K105+K106-K104</f>
        <v>6.8874665557959407</v>
      </c>
      <c r="L107" s="16">
        <f t="shared" ref="L107" si="119">K107+L105+L106-L104</f>
        <v>8.2649598669551292</v>
      </c>
      <c r="M107" s="21">
        <f t="shared" ref="M107" si="120">L107+M105+M106-M104</f>
        <v>9.6424531781143177</v>
      </c>
      <c r="N107" s="16">
        <f t="shared" ref="N107" si="121">M107+N105+N106-N104</f>
        <v>11.019946489273506</v>
      </c>
      <c r="O107" s="16">
        <f t="shared" ref="O107" si="122">N107+O105+O106-O104</f>
        <v>12.397439800432695</v>
      </c>
      <c r="P107" s="21">
        <f t="shared" ref="P107" si="123">O107+P105+P106-P104</f>
        <v>0</v>
      </c>
      <c r="Q107" s="16">
        <f t="shared" ref="Q107" si="124">P107+Q105+Q106-Q104</f>
        <v>2.0216149821950822</v>
      </c>
      <c r="R107" s="16">
        <f t="shared" ref="R107" si="125">Q107+R105+R106-R104</f>
        <v>4.0432299643901644</v>
      </c>
      <c r="S107" s="16">
        <f t="shared" ref="S107" si="126">R107+S105+S106-S104</f>
        <v>0</v>
      </c>
    </row>
    <row r="108" spans="1:19" x14ac:dyDescent="0.2">
      <c r="B108" s="15"/>
      <c r="C108" s="5" t="s">
        <v>46</v>
      </c>
      <c r="D108" s="45">
        <f t="shared" ref="D108:S108" si="127">D102+D103-D107-D104</f>
        <v>3.7100000000000009</v>
      </c>
      <c r="E108" s="30">
        <f t="shared" si="127"/>
        <v>2.7714000000000008</v>
      </c>
      <c r="F108" s="30">
        <f t="shared" si="127"/>
        <v>14.499929591149348</v>
      </c>
      <c r="G108" s="30">
        <f t="shared" si="127"/>
        <v>13.122436279990159</v>
      </c>
      <c r="H108" s="30">
        <f t="shared" si="127"/>
        <v>11.744942968830973</v>
      </c>
      <c r="I108" s="30">
        <f t="shared" si="127"/>
        <v>10.367449657671784</v>
      </c>
      <c r="J108" s="30">
        <f t="shared" si="127"/>
        <v>8.9899563465125958</v>
      </c>
      <c r="K108" s="30">
        <f t="shared" si="127"/>
        <v>7.6124630353534073</v>
      </c>
      <c r="L108" s="30">
        <f t="shared" si="127"/>
        <v>6.2349697241942188</v>
      </c>
      <c r="M108" s="30">
        <f t="shared" si="127"/>
        <v>4.8574764130350303</v>
      </c>
      <c r="N108" s="30">
        <f t="shared" si="127"/>
        <v>3.4799831018758418</v>
      </c>
      <c r="O108" s="30">
        <f t="shared" si="127"/>
        <v>2.1024897907166533</v>
      </c>
      <c r="P108" s="30">
        <f t="shared" si="127"/>
        <v>21.280157707316654</v>
      </c>
      <c r="Q108" s="30">
        <f t="shared" si="127"/>
        <v>19.258542725121572</v>
      </c>
      <c r="R108" s="30">
        <f t="shared" si="127"/>
        <v>17.23692774292649</v>
      </c>
      <c r="S108" s="30">
        <f t="shared" si="127"/>
        <v>0</v>
      </c>
    </row>
    <row r="109" spans="1:19" x14ac:dyDescent="0.2">
      <c r="B109" s="15"/>
      <c r="D109" s="42">
        <f t="shared" ref="D109" si="128">IF(D107=0,(D106-D104)/D102,D108/D102)</f>
        <v>0.375506072874494</v>
      </c>
      <c r="E109" s="42">
        <f t="shared" ref="E109" si="129">IF(E107=0,(E106-E104)/E102,E108/E102)</f>
        <v>0.28050607287449397</v>
      </c>
      <c r="F109" s="42">
        <f t="shared" ref="F109" si="130">IF(F107=0,(F106-F104)/F102,F108/F102)</f>
        <v>-0.81449392712550606</v>
      </c>
      <c r="G109" s="42">
        <f t="shared" ref="G109" si="131">IF(G107=0,(G106-G104)/G102,G108/G102)</f>
        <v>0.90499999999999992</v>
      </c>
      <c r="H109" s="42">
        <f t="shared" ref="H109" si="132">IF(H107=0,(H106-H104)/H102,H108/H102)</f>
        <v>0.81</v>
      </c>
      <c r="I109" s="42">
        <f t="shared" ref="I109" si="133">IF(I107=0,(I106-I104)/I102,I108/I102)</f>
        <v>0.71500000000000008</v>
      </c>
      <c r="J109" s="42">
        <f t="shared" ref="J109" si="134">IF(J107=0,(J106-J104)/J102,J108/J102)</f>
        <v>0.62</v>
      </c>
      <c r="K109" s="42">
        <f t="shared" ref="K109" si="135">IF(K107=0,(K106-K104)/K102,K108/K102)</f>
        <v>0.52500000000000002</v>
      </c>
      <c r="L109" s="42">
        <f t="shared" ref="L109" si="136">IF(L107=0,(L106-L104)/L102,L108/L102)</f>
        <v>0.42999999999999994</v>
      </c>
      <c r="M109" s="42">
        <f t="shared" ref="M109" si="137">IF(M107=0,(M106-M104)/M102,M108/M102)</f>
        <v>0.33499999999999991</v>
      </c>
      <c r="N109" s="42">
        <f t="shared" ref="N109" si="138">IF(N107=0,(N106-N104)/N102,N108/N102)</f>
        <v>0.23999999999999988</v>
      </c>
      <c r="O109" s="42">
        <f t="shared" ref="O109" si="139">IF(O107=0,(O106-O104)/O102,O108/O102)</f>
        <v>0.14499999999999985</v>
      </c>
      <c r="P109" s="42">
        <f t="shared" ref="P109" si="140">IF(P107=0,(P106-P104)/P102,P108/P102)</f>
        <v>-0.95000000000000018</v>
      </c>
      <c r="Q109" s="42">
        <f t="shared" ref="Q109" si="141">IF(Q107=0,(Q106-Q104)/Q102,Q108/Q102)</f>
        <v>0.90500000000000003</v>
      </c>
      <c r="R109" s="42">
        <f t="shared" ref="R109" si="142">IF(R107=0,(R106-R104)/R102,R108/R102)</f>
        <v>0.80999999999999994</v>
      </c>
      <c r="S109" s="42">
        <f t="shared" ref="S109" si="143">IF(S107=0,(S106-S104)/S102,S108/S102)</f>
        <v>-0.23750000000000002</v>
      </c>
    </row>
    <row r="110" spans="1:19" x14ac:dyDescent="0.2">
      <c r="B110" s="15"/>
      <c r="D110" s="208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</row>
    <row r="111" spans="1:19" x14ac:dyDescent="0.2">
      <c r="C111" s="31" t="s">
        <v>268</v>
      </c>
    </row>
    <row r="112" spans="1:19" x14ac:dyDescent="0.2">
      <c r="A112" s="19">
        <v>0.05</v>
      </c>
      <c r="C112" s="5" t="s">
        <v>41</v>
      </c>
      <c r="D112" s="43">
        <v>8.0299999999999994</v>
      </c>
      <c r="E112" s="28">
        <f t="shared" ref="E112:S112" si="144">D112+D113-D114</f>
        <v>8.0299999999999994</v>
      </c>
      <c r="F112" s="28">
        <f t="shared" si="144"/>
        <v>8.0299999999999994</v>
      </c>
      <c r="G112" s="28">
        <f t="shared" si="144"/>
        <v>11.784861803332921</v>
      </c>
      <c r="H112" s="28">
        <f t="shared" si="144"/>
        <v>11.784861803332921</v>
      </c>
      <c r="I112" s="28">
        <f t="shared" si="144"/>
        <v>11.784861803332921</v>
      </c>
      <c r="J112" s="28">
        <f t="shared" si="144"/>
        <v>11.784861803332921</v>
      </c>
      <c r="K112" s="28">
        <f t="shared" si="144"/>
        <v>11.784861803332921</v>
      </c>
      <c r="L112" s="28">
        <f t="shared" si="144"/>
        <v>11.784861803332921</v>
      </c>
      <c r="M112" s="28">
        <f t="shared" si="144"/>
        <v>11.784861803332921</v>
      </c>
      <c r="N112" s="28">
        <f t="shared" si="144"/>
        <v>11.784861803332921</v>
      </c>
      <c r="O112" s="28">
        <f t="shared" si="144"/>
        <v>11.784861803332921</v>
      </c>
      <c r="P112" s="28">
        <f t="shared" si="144"/>
        <v>11.784861803332921</v>
      </c>
      <c r="Q112" s="28">
        <f t="shared" si="144"/>
        <v>17.295512792485091</v>
      </c>
      <c r="R112" s="28">
        <f t="shared" si="144"/>
        <v>17.295512792485091</v>
      </c>
      <c r="S112" s="28">
        <f t="shared" si="144"/>
        <v>17.295512792485091</v>
      </c>
    </row>
    <row r="113" spans="1:19" x14ac:dyDescent="0.2">
      <c r="B113" s="5">
        <v>10</v>
      </c>
      <c r="C113" s="5" t="s">
        <v>42</v>
      </c>
      <c r="D113" s="44"/>
      <c r="E113" s="16"/>
      <c r="F113" s="16">
        <f>F112*(1+Assumptions!$C$86)^'Depreciation Schedule'!$B$113</f>
        <v>11.784861803332921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>
        <f>P112*(1+Assumptions!$C$86)^'Depreciation Schedule'!$B$113</f>
        <v>17.295512792485091</v>
      </c>
      <c r="Q113" s="16"/>
      <c r="R113" s="16"/>
      <c r="S113" s="16"/>
    </row>
    <row r="114" spans="1:19" x14ac:dyDescent="0.2">
      <c r="A114" s="19"/>
      <c r="B114" s="22">
        <f>1/B113</f>
        <v>0.1</v>
      </c>
      <c r="C114" s="5" t="s">
        <v>43</v>
      </c>
      <c r="D114" s="44"/>
      <c r="E114" s="16"/>
      <c r="F114" s="16">
        <f>F112</f>
        <v>8.0299999999999994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>
        <f>P112</f>
        <v>11.784861803332921</v>
      </c>
      <c r="Q114" s="16"/>
      <c r="R114" s="16"/>
      <c r="S114" s="16">
        <f>S112</f>
        <v>17.295512792485091</v>
      </c>
    </row>
    <row r="115" spans="1:19" x14ac:dyDescent="0.2">
      <c r="A115" s="23"/>
      <c r="B115" s="20"/>
      <c r="C115" s="5" t="s">
        <v>33</v>
      </c>
      <c r="D115" s="44">
        <v>0.42</v>
      </c>
      <c r="E115" s="21">
        <f>(E112*(1-$A$112))*$B$114</f>
        <v>0.76284999999999992</v>
      </c>
      <c r="F115" s="21">
        <f t="shared" ref="F115" si="145">(F112*(1-$A$112))*$B$114</f>
        <v>0.76284999999999992</v>
      </c>
      <c r="G115" s="21">
        <f>(G112*(1-$A$112))/$B$113</f>
        <v>1.1195618713166273</v>
      </c>
      <c r="H115" s="21">
        <f t="shared" ref="H115:R115" si="146">(H112*(1-$A$112))/$B$113</f>
        <v>1.1195618713166273</v>
      </c>
      <c r="I115" s="21">
        <f t="shared" si="146"/>
        <v>1.1195618713166273</v>
      </c>
      <c r="J115" s="21">
        <f t="shared" si="146"/>
        <v>1.1195618713166273</v>
      </c>
      <c r="K115" s="21">
        <f t="shared" si="146"/>
        <v>1.1195618713166273</v>
      </c>
      <c r="L115" s="21">
        <f t="shared" si="146"/>
        <v>1.1195618713166273</v>
      </c>
      <c r="M115" s="21">
        <f t="shared" si="146"/>
        <v>1.1195618713166273</v>
      </c>
      <c r="N115" s="21">
        <f t="shared" si="146"/>
        <v>1.1195618713166273</v>
      </c>
      <c r="O115" s="21">
        <f t="shared" si="146"/>
        <v>1.1195618713166273</v>
      </c>
      <c r="P115" s="21">
        <f t="shared" ref="P115" si="147">(P112*(1-$A$112))*$B$114</f>
        <v>1.1195618713166275</v>
      </c>
      <c r="Q115" s="21">
        <f t="shared" si="146"/>
        <v>1.6430737152860835</v>
      </c>
      <c r="R115" s="21">
        <f t="shared" si="146"/>
        <v>1.6430737152860835</v>
      </c>
      <c r="S115" s="21">
        <f>(S112*(1-$A$112))/$B$113*(S51/R51)</f>
        <v>0.82153685764304174</v>
      </c>
    </row>
    <row r="116" spans="1:19" x14ac:dyDescent="0.2">
      <c r="C116" s="5" t="s">
        <v>44</v>
      </c>
      <c r="D116" s="44"/>
      <c r="E116" s="16"/>
      <c r="F116" s="16">
        <f>E118-F115</f>
        <v>2.1742999999999992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>
        <f>O118-P115</f>
        <v>0.58924309016665011</v>
      </c>
      <c r="Q116" s="16"/>
      <c r="R116" s="16"/>
      <c r="S116" s="16">
        <f>R118-S115</f>
        <v>13.187828504269882</v>
      </c>
    </row>
    <row r="117" spans="1:19" x14ac:dyDescent="0.2">
      <c r="A117" s="24"/>
      <c r="C117" s="5" t="s">
        <v>45</v>
      </c>
      <c r="D117" s="44">
        <v>4.33</v>
      </c>
      <c r="E117" s="16">
        <f t="shared" ref="E117:S117" si="148">D117+E115+E116-E114</f>
        <v>5.0928500000000003</v>
      </c>
      <c r="F117" s="21">
        <f t="shared" si="148"/>
        <v>0</v>
      </c>
      <c r="G117" s="16">
        <f t="shared" si="148"/>
        <v>1.1195618713166273</v>
      </c>
      <c r="H117" s="16">
        <f t="shared" si="148"/>
        <v>2.2391237426332546</v>
      </c>
      <c r="I117" s="16">
        <f t="shared" si="148"/>
        <v>3.358685613949882</v>
      </c>
      <c r="J117" s="16">
        <f t="shared" si="148"/>
        <v>4.4782474852665093</v>
      </c>
      <c r="K117" s="16">
        <f t="shared" si="148"/>
        <v>5.5978093565831362</v>
      </c>
      <c r="L117" s="16">
        <f t="shared" si="148"/>
        <v>6.717371227899763</v>
      </c>
      <c r="M117" s="21">
        <f t="shared" si="148"/>
        <v>7.8369330992163899</v>
      </c>
      <c r="N117" s="16">
        <f t="shared" si="148"/>
        <v>8.9564949705330168</v>
      </c>
      <c r="O117" s="16">
        <f t="shared" si="148"/>
        <v>10.076056841849644</v>
      </c>
      <c r="P117" s="21">
        <f t="shared" si="148"/>
        <v>0</v>
      </c>
      <c r="Q117" s="16">
        <f t="shared" si="148"/>
        <v>1.6430737152860835</v>
      </c>
      <c r="R117" s="16">
        <f t="shared" si="148"/>
        <v>3.286147430572167</v>
      </c>
      <c r="S117" s="16">
        <f t="shared" si="148"/>
        <v>0</v>
      </c>
    </row>
    <row r="118" spans="1:19" x14ac:dyDescent="0.2">
      <c r="B118" s="15"/>
      <c r="C118" s="5" t="s">
        <v>46</v>
      </c>
      <c r="D118" s="45">
        <f t="shared" ref="D118:R118" si="149">D112+D113-D117-D114</f>
        <v>3.6999999999999993</v>
      </c>
      <c r="E118" s="30">
        <f t="shared" si="149"/>
        <v>2.937149999999999</v>
      </c>
      <c r="F118" s="30">
        <f t="shared" si="149"/>
        <v>11.784861803332921</v>
      </c>
      <c r="G118" s="30">
        <f t="shared" si="149"/>
        <v>10.665299932016294</v>
      </c>
      <c r="H118" s="30">
        <f t="shared" si="149"/>
        <v>9.5457380606996658</v>
      </c>
      <c r="I118" s="30">
        <f t="shared" si="149"/>
        <v>8.4261761893830389</v>
      </c>
      <c r="J118" s="30">
        <f t="shared" si="149"/>
        <v>7.306614318066412</v>
      </c>
      <c r="K118" s="30">
        <f t="shared" si="149"/>
        <v>6.1870524467497852</v>
      </c>
      <c r="L118" s="30">
        <f t="shared" si="149"/>
        <v>5.0674905754331583</v>
      </c>
      <c r="M118" s="30">
        <f t="shared" si="149"/>
        <v>3.9479287041165314</v>
      </c>
      <c r="N118" s="30">
        <f t="shared" si="149"/>
        <v>2.8283668327999045</v>
      </c>
      <c r="O118" s="30">
        <f t="shared" si="149"/>
        <v>1.7088049614832777</v>
      </c>
      <c r="P118" s="30">
        <f t="shared" si="149"/>
        <v>17.295512792485091</v>
      </c>
      <c r="Q118" s="30">
        <f t="shared" si="149"/>
        <v>15.652439077199007</v>
      </c>
      <c r="R118" s="30">
        <f t="shared" si="149"/>
        <v>14.009365361912923</v>
      </c>
      <c r="S118" s="30">
        <f t="shared" ref="S118" si="150">S112+S113-S117-S114</f>
        <v>0</v>
      </c>
    </row>
    <row r="119" spans="1:19" x14ac:dyDescent="0.2">
      <c r="D119" s="46">
        <f t="shared" ref="D119:R119" si="151">IF(D117=0,(D116-D114)/D112,D118/D112)</f>
        <v>0.460772104607721</v>
      </c>
      <c r="E119" s="25">
        <f t="shared" si="151"/>
        <v>0.36577210460772097</v>
      </c>
      <c r="F119" s="25">
        <f t="shared" si="151"/>
        <v>-0.72922789539227906</v>
      </c>
      <c r="G119" s="25">
        <f t="shared" si="151"/>
        <v>0.90500000000000003</v>
      </c>
      <c r="H119" s="25">
        <f t="shared" si="151"/>
        <v>0.80999999999999994</v>
      </c>
      <c r="I119" s="25">
        <f t="shared" si="151"/>
        <v>0.71499999999999997</v>
      </c>
      <c r="J119" s="25">
        <f t="shared" si="151"/>
        <v>0.62000000000000011</v>
      </c>
      <c r="K119" s="25">
        <f t="shared" si="151"/>
        <v>0.52500000000000013</v>
      </c>
      <c r="L119" s="25">
        <f t="shared" si="151"/>
        <v>0.43000000000000016</v>
      </c>
      <c r="M119" s="25">
        <f t="shared" si="151"/>
        <v>0.33500000000000024</v>
      </c>
      <c r="N119" s="25">
        <f t="shared" si="151"/>
        <v>0.2400000000000003</v>
      </c>
      <c r="O119" s="25">
        <f t="shared" si="151"/>
        <v>0.14500000000000035</v>
      </c>
      <c r="P119" s="25">
        <f t="shared" si="151"/>
        <v>-0.94999999999999962</v>
      </c>
      <c r="Q119" s="25">
        <f t="shared" si="151"/>
        <v>0.90500000000000003</v>
      </c>
      <c r="R119" s="25">
        <f t="shared" si="151"/>
        <v>0.80999999999999994</v>
      </c>
      <c r="S119" s="25">
        <f t="shared" ref="S119" si="152">IF(S117=0,(S116-S114)/S112,S118/S112)</f>
        <v>-0.23749999999999999</v>
      </c>
    </row>
    <row r="120" spans="1:19" x14ac:dyDescent="0.2">
      <c r="C120" s="31" t="s">
        <v>210</v>
      </c>
    </row>
    <row r="121" spans="1:19" x14ac:dyDescent="0.2">
      <c r="A121" s="19">
        <v>0.05</v>
      </c>
      <c r="C121" s="5" t="s">
        <v>41</v>
      </c>
      <c r="D121" s="43">
        <v>35497.72</v>
      </c>
      <c r="E121" s="28">
        <f t="shared" ref="E121:S121" si="153">D121+D122-D123</f>
        <v>35497.72</v>
      </c>
      <c r="F121" s="28">
        <f t="shared" si="153"/>
        <v>35497.72</v>
      </c>
      <c r="G121" s="28">
        <f t="shared" si="153"/>
        <v>35497.72</v>
      </c>
      <c r="H121" s="28">
        <f t="shared" si="153"/>
        <v>35497.72</v>
      </c>
      <c r="I121" s="28">
        <f t="shared" si="153"/>
        <v>35497.72</v>
      </c>
      <c r="J121" s="28">
        <f t="shared" si="153"/>
        <v>35497.72</v>
      </c>
      <c r="K121" s="28">
        <f t="shared" si="153"/>
        <v>35497.72</v>
      </c>
      <c r="L121" s="28">
        <f t="shared" si="153"/>
        <v>35497.72</v>
      </c>
      <c r="M121" s="28">
        <f t="shared" si="153"/>
        <v>35497.72</v>
      </c>
      <c r="N121" s="28">
        <f t="shared" si="153"/>
        <v>35497.72</v>
      </c>
      <c r="O121" s="28">
        <f t="shared" si="153"/>
        <v>35497.72</v>
      </c>
      <c r="P121" s="28">
        <f t="shared" si="153"/>
        <v>35497.72</v>
      </c>
      <c r="Q121" s="28">
        <f t="shared" si="153"/>
        <v>35497.72</v>
      </c>
      <c r="R121" s="28">
        <f t="shared" si="153"/>
        <v>35497.72</v>
      </c>
      <c r="S121" s="28">
        <f t="shared" si="153"/>
        <v>35497.72</v>
      </c>
    </row>
    <row r="122" spans="1:19" x14ac:dyDescent="0.2">
      <c r="B122" s="5">
        <v>25</v>
      </c>
      <c r="C122" s="5" t="s">
        <v>42</v>
      </c>
      <c r="D122" s="44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">
      <c r="A123" s="19"/>
      <c r="B123" s="22">
        <f>1/B122</f>
        <v>0.04</v>
      </c>
      <c r="C123" s="5" t="s">
        <v>43</v>
      </c>
      <c r="D123" s="44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>
        <f>S121</f>
        <v>35497.72</v>
      </c>
    </row>
    <row r="124" spans="1:19" x14ac:dyDescent="0.2">
      <c r="A124" s="23"/>
      <c r="B124" s="20"/>
      <c r="C124" s="5" t="s">
        <v>33</v>
      </c>
      <c r="D124" s="44">
        <v>2101.0500000000002</v>
      </c>
      <c r="E124" s="16">
        <f t="shared" ref="E124:R124" si="154">(E121*(1-$A$121))*$B$123</f>
        <v>1348.9133600000002</v>
      </c>
      <c r="F124" s="16">
        <f t="shared" si="154"/>
        <v>1348.9133600000002</v>
      </c>
      <c r="G124" s="16">
        <f t="shared" si="154"/>
        <v>1348.9133600000002</v>
      </c>
      <c r="H124" s="16">
        <f t="shared" si="154"/>
        <v>1348.9133600000002</v>
      </c>
      <c r="I124" s="16">
        <f t="shared" si="154"/>
        <v>1348.9133600000002</v>
      </c>
      <c r="J124" s="16">
        <f t="shared" si="154"/>
        <v>1348.9133600000002</v>
      </c>
      <c r="K124" s="16">
        <f t="shared" si="154"/>
        <v>1348.9133600000002</v>
      </c>
      <c r="L124" s="16">
        <f t="shared" si="154"/>
        <v>1348.9133600000002</v>
      </c>
      <c r="M124" s="16">
        <f t="shared" si="154"/>
        <v>1348.9133600000002</v>
      </c>
      <c r="N124" s="16">
        <f t="shared" si="154"/>
        <v>1348.9133600000002</v>
      </c>
      <c r="O124" s="16">
        <f t="shared" si="154"/>
        <v>1348.9133600000002</v>
      </c>
      <c r="P124" s="16">
        <f t="shared" si="154"/>
        <v>1348.9133600000002</v>
      </c>
      <c r="Q124" s="16">
        <f t="shared" si="154"/>
        <v>1348.9133600000002</v>
      </c>
      <c r="R124" s="16">
        <f t="shared" si="154"/>
        <v>1348.9133600000002</v>
      </c>
      <c r="S124" s="16">
        <f>(S121*(1-$A$121))*$B$123*(S51/R51)</f>
        <v>674.45668000000012</v>
      </c>
    </row>
    <row r="125" spans="1:19" x14ac:dyDescent="0.2">
      <c r="C125" s="5" t="s">
        <v>44</v>
      </c>
      <c r="D125" s="44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>
        <f>R127-S124</f>
        <v>-5230.6837199999836</v>
      </c>
    </row>
    <row r="126" spans="1:19" x14ac:dyDescent="0.2">
      <c r="A126" s="24"/>
      <c r="C126" s="5" t="s">
        <v>45</v>
      </c>
      <c r="D126" s="44">
        <v>21169.16</v>
      </c>
      <c r="E126" s="16">
        <f t="shared" ref="E126:S126" si="155">D126+E124+E125-E123</f>
        <v>22518.073359999999</v>
      </c>
      <c r="F126" s="16">
        <f t="shared" si="155"/>
        <v>23866.986719999997</v>
      </c>
      <c r="G126" s="16">
        <f t="shared" si="155"/>
        <v>25215.900079999996</v>
      </c>
      <c r="H126" s="16">
        <f t="shared" si="155"/>
        <v>26564.813439999994</v>
      </c>
      <c r="I126" s="16">
        <f t="shared" si="155"/>
        <v>27913.726799999993</v>
      </c>
      <c r="J126" s="16">
        <f t="shared" si="155"/>
        <v>29262.640159999992</v>
      </c>
      <c r="K126" s="16">
        <f t="shared" si="155"/>
        <v>30611.55351999999</v>
      </c>
      <c r="L126" s="16">
        <f t="shared" si="155"/>
        <v>31960.466879999989</v>
      </c>
      <c r="M126" s="16">
        <f t="shared" si="155"/>
        <v>33309.380239999991</v>
      </c>
      <c r="N126" s="16">
        <f t="shared" si="155"/>
        <v>34658.29359999999</v>
      </c>
      <c r="O126" s="16">
        <f t="shared" si="155"/>
        <v>36007.206959999989</v>
      </c>
      <c r="P126" s="16">
        <f t="shared" si="155"/>
        <v>37356.120319999987</v>
      </c>
      <c r="Q126" s="16">
        <f t="shared" si="155"/>
        <v>38705.033679999986</v>
      </c>
      <c r="R126" s="16">
        <f t="shared" si="155"/>
        <v>40053.947039999985</v>
      </c>
      <c r="S126" s="16">
        <f t="shared" si="155"/>
        <v>0</v>
      </c>
    </row>
    <row r="127" spans="1:19" x14ac:dyDescent="0.2">
      <c r="B127" s="15"/>
      <c r="C127" s="5" t="s">
        <v>46</v>
      </c>
      <c r="D127" s="45">
        <f t="shared" ref="D127:R127" si="156">D121+D122-D126-D123</f>
        <v>14328.560000000001</v>
      </c>
      <c r="E127" s="30">
        <f t="shared" si="156"/>
        <v>12979.646640000003</v>
      </c>
      <c r="F127" s="30">
        <f t="shared" si="156"/>
        <v>11630.733280000004</v>
      </c>
      <c r="G127" s="30">
        <f t="shared" si="156"/>
        <v>10281.819920000005</v>
      </c>
      <c r="H127" s="30">
        <f t="shared" si="156"/>
        <v>8932.9065600000067</v>
      </c>
      <c r="I127" s="30">
        <f t="shared" si="156"/>
        <v>7583.9932000000081</v>
      </c>
      <c r="J127" s="30">
        <f t="shared" si="156"/>
        <v>6235.0798400000094</v>
      </c>
      <c r="K127" s="30">
        <f t="shared" si="156"/>
        <v>4886.1664800000108</v>
      </c>
      <c r="L127" s="30">
        <f t="shared" si="156"/>
        <v>3537.2531200000121</v>
      </c>
      <c r="M127" s="30">
        <f t="shared" si="156"/>
        <v>2188.3397600000098</v>
      </c>
      <c r="N127" s="30">
        <f t="shared" si="156"/>
        <v>839.4264000000112</v>
      </c>
      <c r="O127" s="30">
        <f t="shared" si="156"/>
        <v>-509.48695999998745</v>
      </c>
      <c r="P127" s="30">
        <f t="shared" si="156"/>
        <v>-1858.4003199999861</v>
      </c>
      <c r="Q127" s="30">
        <f t="shared" si="156"/>
        <v>-3207.3136799999847</v>
      </c>
      <c r="R127" s="30">
        <f t="shared" si="156"/>
        <v>-4556.2270399999834</v>
      </c>
      <c r="S127" s="30">
        <f t="shared" ref="S127" si="157">S121+S122-S126-S123</f>
        <v>0</v>
      </c>
    </row>
    <row r="128" spans="1:19" x14ac:dyDescent="0.2">
      <c r="D128" s="46">
        <f t="shared" ref="D128:R128" si="158">IF(D126=0,(D125-D123)/D121,D127/D121)</f>
        <v>0.40364733284278542</v>
      </c>
      <c r="E128" s="25">
        <f t="shared" si="158"/>
        <v>0.36564733284278544</v>
      </c>
      <c r="F128" s="25">
        <f t="shared" si="158"/>
        <v>0.32764733284278552</v>
      </c>
      <c r="G128" s="25">
        <f t="shared" si="158"/>
        <v>0.28964733284278554</v>
      </c>
      <c r="H128" s="25">
        <f t="shared" si="158"/>
        <v>0.25164733284278556</v>
      </c>
      <c r="I128" s="25">
        <f t="shared" si="158"/>
        <v>0.21364733284278561</v>
      </c>
      <c r="J128" s="25">
        <f t="shared" si="158"/>
        <v>0.17564733284278566</v>
      </c>
      <c r="K128" s="25">
        <f t="shared" si="158"/>
        <v>0.13764733284278569</v>
      </c>
      <c r="L128" s="25">
        <f t="shared" si="158"/>
        <v>9.9647332842785735E-2</v>
      </c>
      <c r="M128" s="25">
        <f t="shared" si="158"/>
        <v>6.1647332842785674E-2</v>
      </c>
      <c r="N128" s="25">
        <f t="shared" si="158"/>
        <v>2.3647332842785709E-2</v>
      </c>
      <c r="O128" s="25">
        <f t="shared" si="158"/>
        <v>-1.435266715721425E-2</v>
      </c>
      <c r="P128" s="25">
        <f t="shared" si="158"/>
        <v>-5.2352667157214212E-2</v>
      </c>
      <c r="Q128" s="25">
        <f t="shared" si="158"/>
        <v>-9.035266715721417E-2</v>
      </c>
      <c r="R128" s="25">
        <f t="shared" si="158"/>
        <v>-0.12835266715721413</v>
      </c>
      <c r="S128" s="25">
        <f t="shared" ref="S128" si="159">IF(S126=0,(S125-S123)/S121,S127/S121)</f>
        <v>-1.1473526671572143</v>
      </c>
    </row>
    <row r="129" spans="1:19" x14ac:dyDescent="0.2">
      <c r="C129" s="31" t="s">
        <v>216</v>
      </c>
    </row>
    <row r="130" spans="1:19" x14ac:dyDescent="0.2">
      <c r="A130" s="19">
        <v>0.05</v>
      </c>
      <c r="C130" s="5" t="s">
        <v>41</v>
      </c>
      <c r="D130" s="43">
        <v>13.66</v>
      </c>
      <c r="E130" s="28">
        <f t="shared" ref="E130" si="160">D130+D131-D132</f>
        <v>13.66</v>
      </c>
      <c r="F130" s="28">
        <f t="shared" ref="F130" si="161">E130+E131-E132</f>
        <v>13.66</v>
      </c>
      <c r="G130" s="28">
        <f t="shared" ref="G130" si="162">F130+F131-F132</f>
        <v>13.66</v>
      </c>
      <c r="H130" s="28">
        <f t="shared" ref="H130" si="163">G130+G131-G132</f>
        <v>16.548368138838619</v>
      </c>
      <c r="I130" s="28">
        <f t="shared" ref="I130" si="164">H130+H131-H132</f>
        <v>16.548368138838619</v>
      </c>
      <c r="J130" s="28">
        <f t="shared" ref="J130" si="165">I130+I131-I132</f>
        <v>16.548368138838619</v>
      </c>
      <c r="K130" s="28">
        <f t="shared" ref="K130" si="166">J130+J131-J132</f>
        <v>16.548368138838619</v>
      </c>
      <c r="L130" s="28">
        <f t="shared" ref="L130" si="167">K130+K131-K132</f>
        <v>16.548368138838619</v>
      </c>
      <c r="M130" s="28">
        <f t="shared" ref="M130" si="168">L130+L131-L132</f>
        <v>20.047473503552645</v>
      </c>
      <c r="N130" s="28">
        <f t="shared" ref="N130" si="169">M130+M131-M132</f>
        <v>20.047473503552645</v>
      </c>
      <c r="O130" s="28">
        <f t="shared" ref="O130" si="170">N130+N131-N132</f>
        <v>20.047473503552645</v>
      </c>
      <c r="P130" s="28">
        <f t="shared" ref="P130" si="171">O130+O131-O132</f>
        <v>20.047473503552645</v>
      </c>
      <c r="Q130" s="28">
        <f t="shared" ref="Q130" si="172">P130+P131-P132</f>
        <v>20.047473503552645</v>
      </c>
      <c r="R130" s="28">
        <f t="shared" ref="R130:S130" si="173">Q130+Q131-Q132</f>
        <v>24.286454743074813</v>
      </c>
      <c r="S130" s="28">
        <f t="shared" si="173"/>
        <v>24.286454743074813</v>
      </c>
    </row>
    <row r="131" spans="1:19" x14ac:dyDescent="0.2">
      <c r="B131" s="5">
        <v>5</v>
      </c>
      <c r="C131" s="5" t="s">
        <v>42</v>
      </c>
      <c r="D131" s="44"/>
      <c r="E131" s="16"/>
      <c r="F131" s="16"/>
      <c r="G131" s="21">
        <f>G130*(1+Assumptions!$C$86)^'Depreciation Schedule'!$B$131</f>
        <v>16.548368138838619</v>
      </c>
      <c r="H131" s="16"/>
      <c r="I131" s="16"/>
      <c r="J131" s="16"/>
      <c r="K131" s="16"/>
      <c r="L131" s="21">
        <f>L130*(1+Assumptions!$C$86)^'Depreciation Schedule'!$B$131</f>
        <v>20.047473503552641</v>
      </c>
      <c r="M131" s="16"/>
      <c r="N131" s="16"/>
      <c r="O131" s="16"/>
      <c r="P131" s="16"/>
      <c r="Q131" s="21">
        <f>Q130*(1+Assumptions!$C$86)^'Depreciation Schedule'!$B$131</f>
        <v>24.286454743074813</v>
      </c>
      <c r="R131" s="16"/>
      <c r="S131" s="16"/>
    </row>
    <row r="132" spans="1:19" x14ac:dyDescent="0.2">
      <c r="A132" s="19"/>
      <c r="B132" s="22">
        <f>1/B131</f>
        <v>0.2</v>
      </c>
      <c r="C132" s="5" t="s">
        <v>43</v>
      </c>
      <c r="D132" s="44"/>
      <c r="E132" s="16"/>
      <c r="F132" s="16"/>
      <c r="G132" s="21">
        <f>G130</f>
        <v>13.66</v>
      </c>
      <c r="H132" s="16"/>
      <c r="I132" s="16"/>
      <c r="J132" s="16"/>
      <c r="K132" s="16"/>
      <c r="L132" s="21">
        <f>L130</f>
        <v>16.548368138838619</v>
      </c>
      <c r="M132" s="16"/>
      <c r="N132" s="16"/>
      <c r="O132" s="16"/>
      <c r="P132" s="16"/>
      <c r="Q132" s="21">
        <f>Q130</f>
        <v>20.047473503552645</v>
      </c>
      <c r="R132" s="16"/>
      <c r="S132" s="16">
        <f>S130</f>
        <v>24.286454743074813</v>
      </c>
    </row>
    <row r="133" spans="1:19" x14ac:dyDescent="0.2">
      <c r="A133" s="23"/>
      <c r="B133" s="20"/>
      <c r="C133" s="5" t="s">
        <v>33</v>
      </c>
      <c r="D133" s="44">
        <v>0</v>
      </c>
      <c r="E133" s="21">
        <f t="shared" ref="E133:R133" si="174">(E130*(1-$A$130))/$B$131</f>
        <v>2.5954000000000002</v>
      </c>
      <c r="F133" s="21">
        <f t="shared" si="174"/>
        <v>2.5954000000000002</v>
      </c>
      <c r="G133" s="21">
        <f t="shared" si="174"/>
        <v>2.5954000000000002</v>
      </c>
      <c r="H133" s="21">
        <f>(H130*(1-$A$130))/$B$131</f>
        <v>3.1441899463793375</v>
      </c>
      <c r="I133" s="21">
        <f t="shared" si="174"/>
        <v>3.1441899463793375</v>
      </c>
      <c r="J133" s="21">
        <f t="shared" si="174"/>
        <v>3.1441899463793375</v>
      </c>
      <c r="K133" s="21">
        <f t="shared" si="174"/>
        <v>3.1441899463793375</v>
      </c>
      <c r="L133" s="21">
        <f t="shared" si="174"/>
        <v>3.1441899463793375</v>
      </c>
      <c r="M133" s="21">
        <f t="shared" si="174"/>
        <v>3.8090199656750023</v>
      </c>
      <c r="N133" s="21">
        <f t="shared" si="174"/>
        <v>3.8090199656750023</v>
      </c>
      <c r="O133" s="21">
        <f t="shared" si="174"/>
        <v>3.8090199656750023</v>
      </c>
      <c r="P133" s="21">
        <f t="shared" si="174"/>
        <v>3.8090199656750023</v>
      </c>
      <c r="Q133" s="21">
        <f t="shared" ref="Q133" si="175">(Q130*(1-$A$130))/$B$131</f>
        <v>3.8090199656750023</v>
      </c>
      <c r="R133" s="21">
        <f t="shared" si="174"/>
        <v>4.6144264011842138</v>
      </c>
      <c r="S133" s="21">
        <f>(S130*(1-$A$130))/$B$131*(S51/R51)</f>
        <v>2.3072132005921069</v>
      </c>
    </row>
    <row r="134" spans="1:19" x14ac:dyDescent="0.2">
      <c r="C134" s="5" t="s">
        <v>44</v>
      </c>
      <c r="D134" s="44"/>
      <c r="E134" s="16"/>
      <c r="F134" s="16"/>
      <c r="G134" s="21">
        <f>F136-G133</f>
        <v>-5.3261999999999983</v>
      </c>
      <c r="H134" s="16"/>
      <c r="I134" s="16"/>
      <c r="J134" s="16"/>
      <c r="K134" s="16"/>
      <c r="L134" s="21">
        <f>K136-L133</f>
        <v>0.82741840694193147</v>
      </c>
      <c r="M134" s="16"/>
      <c r="N134" s="16"/>
      <c r="O134" s="16"/>
      <c r="P134" s="16"/>
      <c r="Q134" s="21">
        <f>P136-Q133</f>
        <v>1.0023736751776333</v>
      </c>
      <c r="R134" s="16"/>
      <c r="S134" s="16">
        <f>R136-S133</f>
        <v>17.364815141298493</v>
      </c>
    </row>
    <row r="135" spans="1:19" x14ac:dyDescent="0.2">
      <c r="A135" s="24"/>
      <c r="C135" s="5" t="s">
        <v>45</v>
      </c>
      <c r="D135" s="44">
        <v>11.2</v>
      </c>
      <c r="E135" s="16">
        <f t="shared" ref="E135" si="176">D135+E133+E134-E132</f>
        <v>13.795399999999999</v>
      </c>
      <c r="F135" s="16">
        <f t="shared" ref="F135" si="177">E135+F133+F134-F132</f>
        <v>16.390799999999999</v>
      </c>
      <c r="G135" s="21">
        <f>F135+G133+G134-G132</f>
        <v>0</v>
      </c>
      <c r="H135" s="16">
        <f t="shared" ref="H135" si="178">G135+H133+H134-H132</f>
        <v>3.1441899463793375</v>
      </c>
      <c r="I135" s="16">
        <f t="shared" ref="I135" si="179">H135+I133+I134-I132</f>
        <v>6.2883798927586749</v>
      </c>
      <c r="J135" s="16">
        <f t="shared" ref="J135" si="180">I135+J133+J134-J132</f>
        <v>9.4325698391380115</v>
      </c>
      <c r="K135" s="16">
        <f t="shared" ref="K135" si="181">J135+K133+K134-K132</f>
        <v>12.57675978551735</v>
      </c>
      <c r="L135" s="21">
        <f>K135+L133+L134-L132</f>
        <v>0</v>
      </c>
      <c r="M135" s="16">
        <f t="shared" ref="M135" si="182">L135+M133+M134-M132</f>
        <v>3.8090199656750023</v>
      </c>
      <c r="N135" s="16">
        <f t="shared" ref="N135" si="183">M135+N133+N134-N132</f>
        <v>7.6180399313500047</v>
      </c>
      <c r="O135" s="16">
        <f t="shared" ref="O135" si="184">N135+O133+O134-O132</f>
        <v>11.427059897025007</v>
      </c>
      <c r="P135" s="16">
        <f t="shared" ref="P135" si="185">O135+P133+P134-P132</f>
        <v>15.236079862700009</v>
      </c>
      <c r="Q135" s="21">
        <f>P135+Q133+Q134-Q132</f>
        <v>0</v>
      </c>
      <c r="R135" s="16">
        <f t="shared" ref="R135:S135" si="186">Q135+R133+R134-R132</f>
        <v>4.6144264011842138</v>
      </c>
      <c r="S135" s="16">
        <f t="shared" si="186"/>
        <v>0</v>
      </c>
    </row>
    <row r="136" spans="1:19" x14ac:dyDescent="0.2">
      <c r="B136" s="15"/>
      <c r="C136" s="5" t="s">
        <v>46</v>
      </c>
      <c r="D136" s="45">
        <f t="shared" ref="D136:R136" si="187">D130+D131-D135-D132</f>
        <v>2.4600000000000009</v>
      </c>
      <c r="E136" s="30">
        <f t="shared" si="187"/>
        <v>-0.13539999999999885</v>
      </c>
      <c r="F136" s="30">
        <f t="shared" si="187"/>
        <v>-2.7307999999999986</v>
      </c>
      <c r="G136" s="30">
        <f t="shared" si="187"/>
        <v>16.548368138838619</v>
      </c>
      <c r="H136" s="30">
        <f t="shared" si="187"/>
        <v>13.40417819245928</v>
      </c>
      <c r="I136" s="30">
        <f t="shared" si="187"/>
        <v>10.259988246079944</v>
      </c>
      <c r="J136" s="30">
        <f t="shared" si="187"/>
        <v>7.1157982997006073</v>
      </c>
      <c r="K136" s="30">
        <f t="shared" si="187"/>
        <v>3.9716083533212689</v>
      </c>
      <c r="L136" s="30">
        <f t="shared" si="187"/>
        <v>20.047473503552645</v>
      </c>
      <c r="M136" s="30">
        <f t="shared" si="187"/>
        <v>16.238453537877643</v>
      </c>
      <c r="N136" s="30">
        <f t="shared" si="187"/>
        <v>12.42943357220264</v>
      </c>
      <c r="O136" s="30">
        <f t="shared" si="187"/>
        <v>8.620413606527638</v>
      </c>
      <c r="P136" s="30">
        <f t="shared" si="187"/>
        <v>4.8113936408526357</v>
      </c>
      <c r="Q136" s="30">
        <f t="shared" si="187"/>
        <v>24.286454743074813</v>
      </c>
      <c r="R136" s="30">
        <f t="shared" si="187"/>
        <v>19.672028341890599</v>
      </c>
      <c r="S136" s="30">
        <f t="shared" ref="S136" si="188">S130+S131-S135-S132</f>
        <v>0</v>
      </c>
    </row>
    <row r="137" spans="1:19" x14ac:dyDescent="0.2">
      <c r="D137" s="46">
        <f t="shared" ref="D137:R137" si="189">IF(D135=0,(D134-D132)/D130,D136/D130)</f>
        <v>0.18008784773060035</v>
      </c>
      <c r="E137" s="25">
        <f t="shared" si="189"/>
        <v>-9.9121522693996229E-3</v>
      </c>
      <c r="F137" s="25">
        <f t="shared" si="189"/>
        <v>-0.1999121522693996</v>
      </c>
      <c r="G137" s="25">
        <f t="shared" si="189"/>
        <v>-1.3899121522693993</v>
      </c>
      <c r="H137" s="25">
        <f t="shared" si="189"/>
        <v>0.80999999999999994</v>
      </c>
      <c r="I137" s="25">
        <f t="shared" si="189"/>
        <v>0.62</v>
      </c>
      <c r="J137" s="25">
        <f t="shared" si="189"/>
        <v>0.43000000000000005</v>
      </c>
      <c r="K137" s="25">
        <f t="shared" si="189"/>
        <v>0.24000000000000002</v>
      </c>
      <c r="L137" s="25">
        <f t="shared" si="189"/>
        <v>-0.95000000000000007</v>
      </c>
      <c r="M137" s="25">
        <f t="shared" si="189"/>
        <v>0.81</v>
      </c>
      <c r="N137" s="25">
        <f t="shared" si="189"/>
        <v>0.62</v>
      </c>
      <c r="O137" s="25">
        <f t="shared" si="189"/>
        <v>0.43000000000000005</v>
      </c>
      <c r="P137" s="25">
        <f t="shared" si="189"/>
        <v>0.24000000000000005</v>
      </c>
      <c r="Q137" s="25">
        <f t="shared" si="189"/>
        <v>-0.95</v>
      </c>
      <c r="R137" s="25">
        <f t="shared" si="189"/>
        <v>0.80999999999999994</v>
      </c>
      <c r="S137" s="25">
        <f t="shared" ref="S137" si="190">IF(S135=0,(S134-S132)/S130,S136/S130)</f>
        <v>-0.28499999999999992</v>
      </c>
    </row>
    <row r="138" spans="1:19" x14ac:dyDescent="0.2">
      <c r="C138" s="26" t="s">
        <v>53</v>
      </c>
    </row>
    <row r="139" spans="1:19" x14ac:dyDescent="0.2">
      <c r="C139" s="32" t="s">
        <v>47</v>
      </c>
      <c r="D139" s="203">
        <f t="shared" ref="D139:S139" si="191">SUMIF($C54:$C137,"Addition",D54:D137)/(10^2)</f>
        <v>0</v>
      </c>
      <c r="E139" s="67">
        <f t="shared" si="191"/>
        <v>0</v>
      </c>
      <c r="F139" s="67">
        <f t="shared" si="191"/>
        <v>0.32977066590397358</v>
      </c>
      <c r="G139" s="67">
        <f t="shared" si="191"/>
        <v>0.16548368138838618</v>
      </c>
      <c r="H139" s="67">
        <f t="shared" si="191"/>
        <v>0</v>
      </c>
      <c r="I139" s="67">
        <f t="shared" si="191"/>
        <v>0</v>
      </c>
      <c r="J139" s="67">
        <f t="shared" si="191"/>
        <v>0</v>
      </c>
      <c r="K139" s="67">
        <f t="shared" si="191"/>
        <v>0</v>
      </c>
      <c r="L139" s="67">
        <f t="shared" si="191"/>
        <v>0.2004747350355264</v>
      </c>
      <c r="M139" s="67">
        <f t="shared" si="191"/>
        <v>0</v>
      </c>
      <c r="N139" s="67">
        <f t="shared" si="191"/>
        <v>0</v>
      </c>
      <c r="O139" s="67">
        <f t="shared" si="191"/>
        <v>0</v>
      </c>
      <c r="P139" s="67">
        <f t="shared" si="191"/>
        <v>0.48397281749332505</v>
      </c>
      <c r="Q139" s="67">
        <f t="shared" si="191"/>
        <v>0.24286454743074815</v>
      </c>
      <c r="R139" s="67">
        <f t="shared" si="191"/>
        <v>0</v>
      </c>
      <c r="S139" s="67">
        <f t="shared" si="191"/>
        <v>0</v>
      </c>
    </row>
    <row r="140" spans="1:19" x14ac:dyDescent="0.2">
      <c r="C140" s="32" t="s">
        <v>48</v>
      </c>
      <c r="D140" s="203">
        <f t="shared" ref="D140:S140" si="192">SUMIF($C54:$C136,"Asset Write off (Net block)",D54:D136)/(10^2)</f>
        <v>0</v>
      </c>
      <c r="E140" s="67">
        <f t="shared" si="192"/>
        <v>0</v>
      </c>
      <c r="F140" s="67">
        <f t="shared" si="192"/>
        <v>4.5306999999999993E-2</v>
      </c>
      <c r="G140" s="67">
        <f t="shared" si="192"/>
        <v>-5.3261999999999983E-2</v>
      </c>
      <c r="H140" s="67">
        <f t="shared" si="192"/>
        <v>0</v>
      </c>
      <c r="I140" s="67">
        <f t="shared" si="192"/>
        <v>0</v>
      </c>
      <c r="J140" s="67">
        <f t="shared" si="192"/>
        <v>0</v>
      </c>
      <c r="K140" s="67">
        <f t="shared" si="192"/>
        <v>0</v>
      </c>
      <c r="L140" s="67">
        <f t="shared" si="192"/>
        <v>8.2741840694193144E-3</v>
      </c>
      <c r="M140" s="67">
        <f t="shared" si="192"/>
        <v>0</v>
      </c>
      <c r="N140" s="67">
        <f t="shared" si="192"/>
        <v>0</v>
      </c>
      <c r="O140" s="67">
        <f t="shared" si="192"/>
        <v>0</v>
      </c>
      <c r="P140" s="67">
        <f t="shared" si="192"/>
        <v>3.3889442386107783E-2</v>
      </c>
      <c r="Q140" s="67">
        <f t="shared" si="192"/>
        <v>1.0023736751776334E-2</v>
      </c>
      <c r="R140" s="67">
        <f t="shared" si="192"/>
        <v>0</v>
      </c>
      <c r="S140" s="67">
        <f t="shared" si="192"/>
        <v>-46.949647941914861</v>
      </c>
    </row>
    <row r="141" spans="1:19" x14ac:dyDescent="0.2">
      <c r="C141" s="32" t="s">
        <v>49</v>
      </c>
      <c r="D141" s="203">
        <f t="shared" ref="D141:S141" si="193">SUMIF($C54:$C138,"Depreciation",D54:D138)/(10^2)</f>
        <v>21.038900000000002</v>
      </c>
      <c r="E141" s="67">
        <f t="shared" si="193"/>
        <v>13.54765935757576</v>
      </c>
      <c r="F141" s="67">
        <f t="shared" si="193"/>
        <v>13.54765935757576</v>
      </c>
      <c r="G141" s="67">
        <f t="shared" si="193"/>
        <v>13.557641070836636</v>
      </c>
      <c r="H141" s="67">
        <f t="shared" si="193"/>
        <v>13.563128970300431</v>
      </c>
      <c r="I141" s="67">
        <f t="shared" si="193"/>
        <v>13.563128970300431</v>
      </c>
      <c r="J141" s="67">
        <f t="shared" si="193"/>
        <v>13.563128970300431</v>
      </c>
      <c r="K141" s="67">
        <f t="shared" si="193"/>
        <v>13.563128970300431</v>
      </c>
      <c r="L141" s="67">
        <f t="shared" si="193"/>
        <v>13.563128970300431</v>
      </c>
      <c r="M141" s="67">
        <f t="shared" si="193"/>
        <v>13.569777270493386</v>
      </c>
      <c r="N141" s="67">
        <f t="shared" si="193"/>
        <v>13.569777270493386</v>
      </c>
      <c r="O141" s="67">
        <f t="shared" si="193"/>
        <v>13.569777270493386</v>
      </c>
      <c r="P141" s="67">
        <f t="shared" si="193"/>
        <v>13.569777270493386</v>
      </c>
      <c r="Q141" s="67">
        <f t="shared" si="193"/>
        <v>13.576234883985284</v>
      </c>
      <c r="R141" s="67">
        <f t="shared" si="193"/>
        <v>13.584288948340378</v>
      </c>
      <c r="S141" s="67">
        <f t="shared" si="193"/>
        <v>6.7921444741701889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workbookViewId="0">
      <pane ySplit="2" topLeftCell="A3" activePane="bottomLeft" state="frozen"/>
      <selection pane="bottomLeft" activeCell="C37" sqref="C36:C37"/>
    </sheetView>
  </sheetViews>
  <sheetFormatPr defaultColWidth="9.140625" defaultRowHeight="12.75" x14ac:dyDescent="0.2"/>
  <cols>
    <col min="1" max="1" width="6.140625" style="68" customWidth="1"/>
    <col min="2" max="2" width="35" style="68" bestFit="1" customWidth="1"/>
    <col min="3" max="3" width="15.140625" style="68" customWidth="1"/>
    <col min="4" max="4" width="9" style="68" bestFit="1" customWidth="1"/>
    <col min="5" max="5" width="10.7109375" style="68" customWidth="1"/>
    <col min="6" max="6" width="12.85546875" style="68" bestFit="1" customWidth="1"/>
    <col min="7" max="7" width="9.85546875" style="68" bestFit="1" customWidth="1"/>
    <col min="8" max="8" width="14.28515625" style="68" customWidth="1"/>
    <col min="9" max="9" width="12" style="68" bestFit="1" customWidth="1"/>
    <col min="10" max="10" width="13.28515625" style="68" bestFit="1" customWidth="1"/>
    <col min="11" max="11" width="15.140625" style="68" bestFit="1" customWidth="1"/>
    <col min="12" max="13" width="9.140625" style="68"/>
    <col min="14" max="14" width="13.7109375" style="68" bestFit="1" customWidth="1"/>
    <col min="15" max="16384" width="9.140625" style="68"/>
  </cols>
  <sheetData>
    <row r="1" spans="1:17" ht="15" x14ac:dyDescent="0.25">
      <c r="A1" s="68" t="s">
        <v>87</v>
      </c>
      <c r="N1"/>
      <c r="O1"/>
      <c r="P1"/>
      <c r="Q1"/>
    </row>
    <row r="2" spans="1:17" ht="38.25" x14ac:dyDescent="0.2">
      <c r="A2" s="69" t="s">
        <v>67</v>
      </c>
      <c r="B2" s="69" t="s">
        <v>68</v>
      </c>
      <c r="C2" s="69" t="s">
        <v>91</v>
      </c>
      <c r="D2" s="69" t="s">
        <v>69</v>
      </c>
      <c r="E2" s="69" t="s">
        <v>70</v>
      </c>
      <c r="F2" s="69" t="s">
        <v>90</v>
      </c>
      <c r="G2" s="69" t="s">
        <v>71</v>
      </c>
      <c r="H2" s="69" t="s">
        <v>72</v>
      </c>
      <c r="I2" s="69" t="s">
        <v>73</v>
      </c>
      <c r="J2" s="69" t="s">
        <v>74</v>
      </c>
      <c r="K2" s="69" t="s">
        <v>75</v>
      </c>
    </row>
    <row r="3" spans="1:17" ht="15" x14ac:dyDescent="0.25">
      <c r="A3" s="70">
        <v>1</v>
      </c>
      <c r="B3" s="2" t="s">
        <v>86</v>
      </c>
      <c r="C3" s="90">
        <v>20.56</v>
      </c>
      <c r="D3" s="71">
        <v>0</v>
      </c>
      <c r="E3" s="76">
        <v>301.54000000000002</v>
      </c>
      <c r="F3" s="72">
        <v>98.56</v>
      </c>
      <c r="G3" s="72">
        <v>199.59</v>
      </c>
      <c r="H3" s="73">
        <f>N3/$N$6</f>
        <v>0.82317560619861707</v>
      </c>
      <c r="I3" s="72">
        <f>F3/G3</f>
        <v>0.49381231524625485</v>
      </c>
      <c r="J3" s="76">
        <v>1.2116</v>
      </c>
      <c r="K3" s="72">
        <f>J3/(1+(1-D3)*I3)</f>
        <v>0.81107913466375992</v>
      </c>
      <c r="L3" s="68">
        <f>K3/AVERAGE($K$3:$K$5)</f>
        <v>0.71828318240447753</v>
      </c>
      <c r="N3" s="74">
        <f>IFERROR(1/IF(L3=0,,ABS(E3-$N$1)),0)</f>
        <v>3.3163096106652514E-3</v>
      </c>
      <c r="O3" s="75">
        <f>IFERROR(1/IF(L3=0,,E3-$N$1),0)</f>
        <v>3.3163096106652514E-3</v>
      </c>
      <c r="P3"/>
    </row>
    <row r="4" spans="1:17" ht="15" x14ac:dyDescent="0.25">
      <c r="A4" s="70">
        <v>2</v>
      </c>
      <c r="B4" s="2" t="s">
        <v>88</v>
      </c>
      <c r="C4" s="90">
        <v>1345.48</v>
      </c>
      <c r="D4" s="71">
        <v>0.35039999999999999</v>
      </c>
      <c r="E4" s="93">
        <v>3770.89</v>
      </c>
      <c r="F4" s="72">
        <v>652.09</v>
      </c>
      <c r="G4" s="72">
        <v>2010.82</v>
      </c>
      <c r="H4" s="73">
        <f>N4/$N$6</f>
        <v>6.5825407872712016E-2</v>
      </c>
      <c r="I4" s="72">
        <f>F4/G4</f>
        <v>0.32429058791935633</v>
      </c>
      <c r="J4" s="76">
        <v>1.4774099999999999</v>
      </c>
      <c r="K4" s="72">
        <f>J4/(1+(1-D4)*I4)</f>
        <v>1.2203352038280313</v>
      </c>
      <c r="L4" s="68">
        <f t="shared" ref="L4:L5" si="0">K4/AVERAGE($K$3:$K$5)</f>
        <v>1.0807160686844632</v>
      </c>
      <c r="N4" s="74">
        <f>IFERROR(1/IF(L4=0,,ABS(E4-$N$1)),0)</f>
        <v>2.6518938499929724E-4</v>
      </c>
      <c r="O4" s="75"/>
      <c r="P4"/>
    </row>
    <row r="5" spans="1:17" ht="15" x14ac:dyDescent="0.25">
      <c r="A5" s="70">
        <v>3</v>
      </c>
      <c r="B5" s="2" t="s">
        <v>89</v>
      </c>
      <c r="C5" s="92">
        <v>323.27999999999997</v>
      </c>
      <c r="D5" s="71">
        <v>0.19055</v>
      </c>
      <c r="E5" s="76">
        <v>2236.2399999999998</v>
      </c>
      <c r="F5" s="72">
        <v>362.08</v>
      </c>
      <c r="G5" s="72">
        <v>735.58</v>
      </c>
      <c r="H5" s="73">
        <f>N5/$N$6</f>
        <v>0.1109989859286709</v>
      </c>
      <c r="I5" s="72">
        <f>F5/G5</f>
        <v>0.49223741809184585</v>
      </c>
      <c r="J5" s="76">
        <v>1.8965099999999999</v>
      </c>
      <c r="K5" s="72">
        <f>J5/(1+(1-D5)*I5)</f>
        <v>1.3561596206338205</v>
      </c>
      <c r="L5" s="68">
        <f t="shared" si="0"/>
        <v>1.2010007489110592</v>
      </c>
      <c r="N5" s="74">
        <f>IFERROR(1/IF(L5=0,,ABS(E5-$N$1)),0)</f>
        <v>4.4717919364647805E-4</v>
      </c>
      <c r="O5" s="75"/>
      <c r="P5"/>
    </row>
    <row r="6" spans="1:17" x14ac:dyDescent="0.2">
      <c r="A6" s="77"/>
      <c r="B6" s="77" t="s">
        <v>76</v>
      </c>
      <c r="C6" s="91"/>
      <c r="D6" s="78">
        <f>0.3*1.12*1.04</f>
        <v>0.34944000000000003</v>
      </c>
      <c r="E6" s="77"/>
      <c r="F6" s="77"/>
      <c r="G6" s="77"/>
      <c r="H6" s="78">
        <f>SUM(H3:H5)</f>
        <v>1</v>
      </c>
      <c r="I6" s="79">
        <f>AVERAGE(I3:I5)</f>
        <v>0.43678010708581905</v>
      </c>
      <c r="J6" s="79">
        <f>AVERAGE(J3:J5)</f>
        <v>1.5285066666666667</v>
      </c>
      <c r="K6" s="79">
        <f>SUMPRODUCT(H3:H5,K3:K5)</f>
        <v>0.89852196353306479</v>
      </c>
      <c r="N6" s="74">
        <f>SUM(N3:N5)</f>
        <v>4.0286781893110269E-3</v>
      </c>
      <c r="P6" s="80"/>
    </row>
    <row r="7" spans="1:17" x14ac:dyDescent="0.2">
      <c r="D7" s="81"/>
    </row>
    <row r="8" spans="1:17" x14ac:dyDescent="0.2">
      <c r="D8" s="81"/>
    </row>
    <row r="9" spans="1:17" x14ac:dyDescent="0.2">
      <c r="B9" s="109" t="s">
        <v>92</v>
      </c>
      <c r="C9" s="110" t="s">
        <v>120</v>
      </c>
      <c r="D9" s="81"/>
    </row>
    <row r="10" spans="1:17" x14ac:dyDescent="0.2">
      <c r="B10" s="108" t="s">
        <v>90</v>
      </c>
      <c r="C10" s="173" t="e">
        <f>'Debt Sch'!C6+'Debt Sch'!#REF!+'Debt Sch'!#REF!+'Debt Sch'!C76</f>
        <v>#REF!</v>
      </c>
      <c r="D10" s="81"/>
    </row>
    <row r="11" spans="1:17" x14ac:dyDescent="0.2">
      <c r="B11" s="108" t="s">
        <v>71</v>
      </c>
      <c r="C11" s="173">
        <v>139.24</v>
      </c>
      <c r="D11" s="81"/>
    </row>
    <row r="12" spans="1:17" x14ac:dyDescent="0.2">
      <c r="B12" s="77" t="s">
        <v>93</v>
      </c>
      <c r="C12" s="91" t="e">
        <f>C10/C11</f>
        <v>#REF!</v>
      </c>
      <c r="D12" s="81"/>
    </row>
    <row r="13" spans="1:17" x14ac:dyDescent="0.2">
      <c r="D13" s="81"/>
    </row>
    <row r="14" spans="1:17" x14ac:dyDescent="0.2">
      <c r="D14" s="81"/>
      <c r="F14" s="81"/>
      <c r="H14" s="81"/>
    </row>
    <row r="15" spans="1:17" x14ac:dyDescent="0.2">
      <c r="D15" s="81"/>
    </row>
    <row r="16" spans="1:17" x14ac:dyDescent="0.2">
      <c r="D16" s="81"/>
      <c r="F16" s="81"/>
    </row>
    <row r="17" spans="2:10" ht="15" x14ac:dyDescent="0.25">
      <c r="B17" s="82" t="s">
        <v>77</v>
      </c>
      <c r="C17"/>
      <c r="E17" s="81"/>
    </row>
    <row r="18" spans="2:10" ht="15" x14ac:dyDescent="0.25">
      <c r="B18"/>
      <c r="C18"/>
      <c r="J18" s="81"/>
    </row>
    <row r="19" spans="2:10" ht="15" x14ac:dyDescent="0.25">
      <c r="B19" s="83" t="s">
        <v>78</v>
      </c>
      <c r="C19" s="84">
        <f>K6</f>
        <v>0.89852196353306479</v>
      </c>
    </row>
    <row r="20" spans="2:10" ht="15" x14ac:dyDescent="0.25">
      <c r="B20"/>
      <c r="C20"/>
    </row>
    <row r="21" spans="2:10" ht="15" x14ac:dyDescent="0.25">
      <c r="B21" t="s">
        <v>79</v>
      </c>
      <c r="C21" s="85" t="e">
        <f>C12</f>
        <v>#REF!</v>
      </c>
      <c r="E21" s="115"/>
    </row>
    <row r="22" spans="2:10" ht="15" x14ac:dyDescent="0.25">
      <c r="B22" t="s">
        <v>80</v>
      </c>
      <c r="C22" s="86">
        <v>0</v>
      </c>
    </row>
    <row r="23" spans="2:10" ht="15" x14ac:dyDescent="0.25">
      <c r="B23"/>
      <c r="C23"/>
      <c r="H23" s="94"/>
    </row>
    <row r="24" spans="2:10" ht="15" x14ac:dyDescent="0.25">
      <c r="B24" s="83" t="s">
        <v>81</v>
      </c>
      <c r="C24" s="87" t="e">
        <f>C19*(1+((1-C22)*C21))</f>
        <v>#REF!</v>
      </c>
    </row>
    <row r="25" spans="2:10" ht="15" x14ac:dyDescent="0.25">
      <c r="B25"/>
      <c r="C25"/>
    </row>
    <row r="26" spans="2:10" ht="15" x14ac:dyDescent="0.25">
      <c r="B26"/>
      <c r="C26"/>
    </row>
    <row r="27" spans="2:10" ht="15" x14ac:dyDescent="0.25">
      <c r="B27" s="82" t="s">
        <v>82</v>
      </c>
      <c r="C27" s="171"/>
    </row>
    <row r="28" spans="2:10" ht="15" x14ac:dyDescent="0.25">
      <c r="B28"/>
      <c r="C28"/>
    </row>
    <row r="29" spans="2:10" ht="15" x14ac:dyDescent="0.25">
      <c r="B29" t="s">
        <v>83</v>
      </c>
      <c r="C29" s="86">
        <v>5.8999999999999997E-2</v>
      </c>
    </row>
    <row r="30" spans="2:10" ht="15" x14ac:dyDescent="0.25">
      <c r="B30" t="s">
        <v>84</v>
      </c>
      <c r="C30" s="86">
        <v>8.4599999999999995E-2</v>
      </c>
    </row>
    <row r="31" spans="2:10" ht="15" x14ac:dyDescent="0.25">
      <c r="B31"/>
      <c r="C31"/>
    </row>
    <row r="32" spans="2:10" ht="15" x14ac:dyDescent="0.25">
      <c r="B32" s="88" t="s">
        <v>85</v>
      </c>
      <c r="C32" s="89" t="e">
        <f>C29+C24*C30</f>
        <v>#REF!</v>
      </c>
    </row>
    <row r="33" spans="2:3" ht="15" x14ac:dyDescent="0.25">
      <c r="C33"/>
    </row>
    <row r="36" spans="2:3" ht="15" x14ac:dyDescent="0.25">
      <c r="B36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EA42-0735-4C0C-91F3-CD1E305B8EBD}">
  <dimension ref="B1:K29"/>
  <sheetViews>
    <sheetView workbookViewId="0">
      <pane ySplit="2" topLeftCell="A3" activePane="bottomLeft" state="frozen"/>
      <selection pane="bottomLeft" activeCell="I16" sqref="I16"/>
    </sheetView>
  </sheetViews>
  <sheetFormatPr defaultColWidth="8.85546875" defaultRowHeight="15" x14ac:dyDescent="0.25"/>
  <cols>
    <col min="2" max="2" width="33.42578125" bestFit="1" customWidth="1"/>
    <col min="3" max="3" width="11.7109375" style="179" bestFit="1" customWidth="1"/>
    <col min="4" max="4" width="9.28515625" style="179" bestFit="1" customWidth="1"/>
    <col min="5" max="5" width="9.28515625" style="106" bestFit="1" customWidth="1"/>
    <col min="6" max="6" width="9" style="106" bestFit="1" customWidth="1"/>
    <col min="7" max="8" width="9" style="106" customWidth="1"/>
    <col min="9" max="9" width="13.42578125" style="106" customWidth="1"/>
    <col min="11" max="11" width="4" bestFit="1" customWidth="1"/>
  </cols>
  <sheetData>
    <row r="1" spans="2:11" x14ac:dyDescent="0.25">
      <c r="I1" s="198" t="s">
        <v>263</v>
      </c>
    </row>
    <row r="2" spans="2:11" s="201" customFormat="1" x14ac:dyDescent="0.25">
      <c r="B2" s="199" t="s">
        <v>178</v>
      </c>
      <c r="C2" s="200">
        <v>42430</v>
      </c>
      <c r="D2" s="200">
        <v>42795</v>
      </c>
      <c r="E2" s="200">
        <v>43160</v>
      </c>
      <c r="F2" s="200">
        <v>43525</v>
      </c>
      <c r="G2" s="200">
        <f>EDATE(F2,12)+1</f>
        <v>43892</v>
      </c>
      <c r="H2" s="200">
        <f t="shared" ref="H2:I2" si="0">EDATE(G2,12)+1</f>
        <v>44258</v>
      </c>
      <c r="I2" s="200">
        <f t="shared" si="0"/>
        <v>44624</v>
      </c>
    </row>
    <row r="3" spans="2:11" x14ac:dyDescent="0.25">
      <c r="B3" s="2"/>
      <c r="C3" s="180"/>
      <c r="D3" s="180"/>
      <c r="E3" s="3"/>
      <c r="F3" s="3"/>
      <c r="G3" s="3"/>
      <c r="H3" s="3"/>
      <c r="I3" s="3"/>
      <c r="K3">
        <v>100</v>
      </c>
    </row>
    <row r="4" spans="2:11" x14ac:dyDescent="0.25">
      <c r="B4" s="2" t="s">
        <v>168</v>
      </c>
      <c r="C4" s="180">
        <f>([95]Sheet1!D9)/100</f>
        <v>83.24</v>
      </c>
      <c r="D4" s="180">
        <f>([95]Sheet1!E9)/100</f>
        <v>96.68</v>
      </c>
      <c r="E4" s="180">
        <f>([95]Sheet1!F9)/100</f>
        <v>148.51</v>
      </c>
      <c r="F4" s="180">
        <f>([95]Sheet1!G9)/100</f>
        <v>108.4</v>
      </c>
      <c r="G4" s="180">
        <f>([95]Sheet1!H9)/100</f>
        <v>97.64</v>
      </c>
      <c r="H4" s="180">
        <f>([95]Sheet1!I9)/100</f>
        <v>87.323800000000006</v>
      </c>
      <c r="I4" s="180">
        <f>([95]Sheet1!J9)/100</f>
        <v>90</v>
      </c>
    </row>
    <row r="5" spans="2:11" x14ac:dyDescent="0.25">
      <c r="B5" s="2"/>
      <c r="C5" s="180"/>
      <c r="D5" s="180"/>
      <c r="E5" s="180"/>
      <c r="F5" s="180"/>
      <c r="G5" s="180"/>
      <c r="H5" s="180"/>
      <c r="I5" s="180"/>
    </row>
    <row r="6" spans="2:11" x14ac:dyDescent="0.25">
      <c r="B6" s="2" t="s">
        <v>264</v>
      </c>
      <c r="C6" s="180">
        <f>([95]Sheet1!D12+[95]Sheet1!D13+[95]Sheet1!D16)/100</f>
        <v>30.82</v>
      </c>
      <c r="D6" s="180">
        <f>([95]Sheet1!E12+[95]Sheet1!E13+[95]Sheet1!E16)/100</f>
        <v>28.45</v>
      </c>
      <c r="E6" s="180">
        <f>([95]Sheet1!F12+[95]Sheet1!F13+[95]Sheet1!F16)/100</f>
        <v>25.53</v>
      </c>
      <c r="F6" s="180">
        <f>([95]Sheet1!G12+[95]Sheet1!G13+[95]Sheet1!G16)/100</f>
        <v>23.53</v>
      </c>
      <c r="G6" s="180">
        <f>([95]Sheet1!H12+[95]Sheet1!H13+[95]Sheet1!H16)/100</f>
        <v>45.07</v>
      </c>
      <c r="H6" s="180">
        <f>([95]Sheet1!I12+[95]Sheet1!I13+[95]Sheet1!I16)/100</f>
        <v>18.913800000000002</v>
      </c>
      <c r="I6" s="180">
        <f>([95]Sheet1!J12+[95]Sheet1!J13+[95]Sheet1!J16)/100</f>
        <v>17.7013</v>
      </c>
    </row>
    <row r="7" spans="2:11" x14ac:dyDescent="0.25">
      <c r="B7" s="2"/>
      <c r="C7" s="180"/>
      <c r="D7" s="180"/>
      <c r="E7" s="3"/>
      <c r="F7" s="3"/>
      <c r="G7" s="3"/>
      <c r="H7" s="3"/>
      <c r="I7" s="3"/>
    </row>
    <row r="8" spans="2:11" x14ac:dyDescent="0.25">
      <c r="B8" s="54" t="s">
        <v>151</v>
      </c>
      <c r="C8" s="125">
        <f>C4-C6</f>
        <v>52.419999999999995</v>
      </c>
      <c r="D8" s="125">
        <f t="shared" ref="D8" si="1">D4-D6</f>
        <v>68.23</v>
      </c>
      <c r="E8" s="125">
        <f>E4-E6</f>
        <v>122.97999999999999</v>
      </c>
      <c r="F8" s="125">
        <f>F4-F6</f>
        <v>84.87</v>
      </c>
      <c r="G8" s="125">
        <f t="shared" ref="G8:I8" si="2">G4-G6</f>
        <v>52.57</v>
      </c>
      <c r="H8" s="125">
        <f t="shared" si="2"/>
        <v>68.41</v>
      </c>
      <c r="I8" s="125">
        <f t="shared" si="2"/>
        <v>72.298699999999997</v>
      </c>
    </row>
    <row r="9" spans="2:11" x14ac:dyDescent="0.25">
      <c r="B9" s="136" t="s">
        <v>152</v>
      </c>
      <c r="C9" s="137">
        <f>C8/C$4</f>
        <v>0.62974531475252282</v>
      </c>
      <c r="D9" s="137">
        <f>D8/D$4</f>
        <v>0.70573024410426144</v>
      </c>
      <c r="E9" s="137">
        <f>E8/E$4</f>
        <v>0.82809238435122212</v>
      </c>
      <c r="F9" s="137">
        <f>F8/F$4</f>
        <v>0.78293357933579333</v>
      </c>
      <c r="G9" s="137">
        <f t="shared" ref="G9:I9" si="3">G8/G$4</f>
        <v>0.538406390823433</v>
      </c>
      <c r="H9" s="137">
        <f t="shared" si="3"/>
        <v>0.78340612753911298</v>
      </c>
      <c r="I9" s="137">
        <f t="shared" si="3"/>
        <v>0.8033188888888888</v>
      </c>
    </row>
    <row r="10" spans="2:11" x14ac:dyDescent="0.25">
      <c r="B10" s="2"/>
      <c r="C10" s="180"/>
      <c r="D10" s="102"/>
      <c r="E10" s="102"/>
      <c r="F10" s="102"/>
      <c r="G10" s="102"/>
      <c r="H10" s="102"/>
      <c r="I10" s="102"/>
    </row>
    <row r="11" spans="2:11" ht="30" x14ac:dyDescent="0.25">
      <c r="B11" s="202" t="s">
        <v>265</v>
      </c>
      <c r="C11" s="180">
        <f>([95]Sheet1!D15)/100</f>
        <v>17.68</v>
      </c>
      <c r="D11" s="180">
        <f>([95]Sheet1!E15)/100</f>
        <v>17.350000000000001</v>
      </c>
      <c r="E11" s="180">
        <f>([95]Sheet1!F15)/100</f>
        <v>17.11</v>
      </c>
      <c r="F11" s="180">
        <f>([95]Sheet1!G15)/100</f>
        <v>16.87</v>
      </c>
      <c r="G11" s="180">
        <f>([95]Sheet1!H15)/100</f>
        <v>17.72</v>
      </c>
      <c r="H11" s="180">
        <f>([95]Sheet1!I15)/100</f>
        <v>17.684899999999999</v>
      </c>
      <c r="I11" s="180">
        <f>([95]Sheet1!J15)/100</f>
        <v>15.2227</v>
      </c>
    </row>
    <row r="12" spans="2:11" x14ac:dyDescent="0.25">
      <c r="B12" s="2"/>
      <c r="C12" s="180"/>
      <c r="D12" s="180"/>
      <c r="E12" s="180"/>
      <c r="F12" s="180"/>
      <c r="G12" s="180"/>
      <c r="H12" s="180"/>
      <c r="I12" s="180"/>
    </row>
    <row r="13" spans="2:11" x14ac:dyDescent="0.25">
      <c r="B13" s="54" t="s">
        <v>154</v>
      </c>
      <c r="C13" s="125">
        <f>C8-C11</f>
        <v>34.739999999999995</v>
      </c>
      <c r="D13" s="125">
        <f>D8-D11</f>
        <v>50.88</v>
      </c>
      <c r="E13" s="125">
        <f t="shared" ref="E13" si="4">E8-E11</f>
        <v>105.86999999999999</v>
      </c>
      <c r="F13" s="125">
        <f>F8-F11</f>
        <v>68</v>
      </c>
      <c r="G13" s="125">
        <f t="shared" ref="G13:I13" si="5">G8-G11</f>
        <v>34.85</v>
      </c>
      <c r="H13" s="125">
        <f t="shared" si="5"/>
        <v>50.725099999999998</v>
      </c>
      <c r="I13" s="125">
        <f t="shared" si="5"/>
        <v>57.075999999999993</v>
      </c>
    </row>
    <row r="14" spans="2:11" x14ac:dyDescent="0.25">
      <c r="B14" s="136" t="s">
        <v>155</v>
      </c>
      <c r="C14" s="137">
        <f>C13/C$4</f>
        <v>0.41734742912061507</v>
      </c>
      <c r="D14" s="137">
        <f>D13/D$4</f>
        <v>0.52627223831195691</v>
      </c>
      <c r="E14" s="137">
        <f>E13/E$4</f>
        <v>0.71288128745539014</v>
      </c>
      <c r="F14" s="137">
        <f>F13/F$4</f>
        <v>0.62730627306273057</v>
      </c>
      <c r="G14" s="137">
        <f t="shared" ref="G14:I14" si="6">G13/G$4</f>
        <v>0.35692339205243756</v>
      </c>
      <c r="H14" s="137">
        <f t="shared" si="6"/>
        <v>0.58088516532720746</v>
      </c>
      <c r="I14" s="137">
        <f t="shared" si="6"/>
        <v>0.63417777777777773</v>
      </c>
    </row>
    <row r="15" spans="2:11" x14ac:dyDescent="0.25">
      <c r="B15" s="2"/>
      <c r="C15" s="180"/>
      <c r="D15" s="180"/>
      <c r="E15" s="180"/>
      <c r="F15" s="180"/>
      <c r="G15" s="180"/>
      <c r="H15" s="180"/>
      <c r="I15" s="180"/>
    </row>
    <row r="16" spans="2:11" x14ac:dyDescent="0.25">
      <c r="B16" s="2" t="s">
        <v>266</v>
      </c>
      <c r="C16" s="98">
        <f>([95]Sheet1!D14)/100</f>
        <v>40.950000000000003</v>
      </c>
      <c r="D16" s="98">
        <f>([95]Sheet1!E14)/100</f>
        <v>43.44</v>
      </c>
      <c r="E16" s="98">
        <f>([95]Sheet1!F14)/100</f>
        <v>44.42</v>
      </c>
      <c r="F16" s="98">
        <f>([95]Sheet1!G14)/100</f>
        <v>42.07</v>
      </c>
      <c r="G16" s="98">
        <f>([95]Sheet1!H14)/100</f>
        <v>39.56</v>
      </c>
      <c r="H16" s="98">
        <f>([95]Sheet1!I14)/100</f>
        <v>40.512300000000003</v>
      </c>
      <c r="I16" s="98">
        <f>([95]Sheet1!J14)/100</f>
        <v>29.945100000000004</v>
      </c>
    </row>
    <row r="17" spans="2:9" x14ac:dyDescent="0.25">
      <c r="B17" s="2"/>
      <c r="C17" s="180"/>
      <c r="D17" s="180"/>
      <c r="E17" s="180"/>
      <c r="F17" s="180"/>
      <c r="G17" s="180"/>
      <c r="H17" s="180"/>
      <c r="I17" s="180"/>
    </row>
    <row r="18" spans="2:9" x14ac:dyDescent="0.25">
      <c r="B18" s="54" t="s">
        <v>156</v>
      </c>
      <c r="C18" s="125">
        <f>C13-C16</f>
        <v>-6.210000000000008</v>
      </c>
      <c r="D18" s="125">
        <f>D13-D16</f>
        <v>7.4400000000000048</v>
      </c>
      <c r="E18" s="125">
        <f t="shared" ref="E18" si="7">E13-E16</f>
        <v>61.449999999999989</v>
      </c>
      <c r="F18" s="125">
        <f>F13-F16</f>
        <v>25.93</v>
      </c>
      <c r="G18" s="125">
        <f t="shared" ref="G18:I18" si="8">G13-G16</f>
        <v>-4.7100000000000009</v>
      </c>
      <c r="H18" s="125">
        <f t="shared" si="8"/>
        <v>10.212799999999994</v>
      </c>
      <c r="I18" s="125">
        <f t="shared" si="8"/>
        <v>27.13089999999999</v>
      </c>
    </row>
    <row r="19" spans="2:9" x14ac:dyDescent="0.25">
      <c r="B19" s="136" t="s">
        <v>157</v>
      </c>
      <c r="C19" s="137">
        <f>C18/C$4</f>
        <v>-7.4603555982700728E-2</v>
      </c>
      <c r="D19" s="137">
        <f>D18/D$4</f>
        <v>7.6954902772031486E-2</v>
      </c>
      <c r="E19" s="137">
        <f>E18/E$4</f>
        <v>0.41377685004376802</v>
      </c>
      <c r="F19" s="137">
        <f>F18/F$4</f>
        <v>0.23920664206642064</v>
      </c>
      <c r="G19" s="137">
        <f t="shared" ref="G19:I19" si="9">G18/G$4</f>
        <v>-4.8238426874231882E-2</v>
      </c>
      <c r="H19" s="137">
        <f t="shared" si="9"/>
        <v>0.11695322466498244</v>
      </c>
      <c r="I19" s="137">
        <f t="shared" si="9"/>
        <v>0.30145444444444436</v>
      </c>
    </row>
    <row r="20" spans="2:9" x14ac:dyDescent="0.25">
      <c r="B20" s="230" t="s">
        <v>289</v>
      </c>
      <c r="C20" s="98">
        <f>[95]Sheet1!D21/100</f>
        <v>0</v>
      </c>
      <c r="D20" s="98">
        <f>[95]Sheet1!E21/100</f>
        <v>491.49</v>
      </c>
      <c r="E20" s="98">
        <f>[95]Sheet1!F21/100</f>
        <v>337.68</v>
      </c>
      <c r="F20" s="98">
        <f>[95]Sheet1!G21/100</f>
        <v>52.28</v>
      </c>
      <c r="G20" s="98">
        <f>[95]Sheet1!H21/100</f>
        <v>84.69</v>
      </c>
      <c r="H20" s="98">
        <f>[95]Sheet1!I21/100</f>
        <v>134.15540000000001</v>
      </c>
      <c r="I20" s="98">
        <f>[95]Sheet1!J21/100</f>
        <v>78.841899999999995</v>
      </c>
    </row>
    <row r="21" spans="2:9" x14ac:dyDescent="0.25">
      <c r="B21" s="136"/>
      <c r="C21" s="137"/>
      <c r="D21" s="137"/>
      <c r="E21" s="137"/>
      <c r="F21" s="137"/>
      <c r="G21" s="137"/>
      <c r="H21" s="137"/>
      <c r="I21" s="137"/>
    </row>
    <row r="22" spans="2:9" x14ac:dyDescent="0.25">
      <c r="B22" s="54" t="s">
        <v>156</v>
      </c>
      <c r="C22" s="125">
        <f>C18-C20</f>
        <v>-6.210000000000008</v>
      </c>
      <c r="D22" s="125">
        <f t="shared" ref="D22:I22" si="10">D18-D20</f>
        <v>-484.05</v>
      </c>
      <c r="E22" s="125">
        <f t="shared" si="10"/>
        <v>-276.23</v>
      </c>
      <c r="F22" s="125">
        <f t="shared" si="10"/>
        <v>-26.35</v>
      </c>
      <c r="G22" s="125">
        <f t="shared" si="10"/>
        <v>-89.4</v>
      </c>
      <c r="H22" s="125">
        <f t="shared" si="10"/>
        <v>-123.94260000000003</v>
      </c>
      <c r="I22" s="125">
        <f t="shared" si="10"/>
        <v>-51.711000000000006</v>
      </c>
    </row>
    <row r="23" spans="2:9" x14ac:dyDescent="0.25">
      <c r="B23" s="2" t="s">
        <v>267</v>
      </c>
      <c r="C23" s="180">
        <f>([95]Sheet1!D29)/100</f>
        <v>-4.2699999999999996</v>
      </c>
      <c r="D23" s="180">
        <f>([95]Sheet1!E29)/100</f>
        <v>5.08</v>
      </c>
      <c r="E23" s="180">
        <f>([95]Sheet1!F29)/100</f>
        <v>-8.5</v>
      </c>
      <c r="F23" s="180">
        <f>([95]Sheet1!G29)/100</f>
        <v>-2.08</v>
      </c>
      <c r="G23" s="180">
        <f>([95]Sheet1!H29)/100</f>
        <v>-7.37</v>
      </c>
      <c r="H23" s="180">
        <f>([95]Sheet1!I29)/100</f>
        <v>-1.2999999999999999E-3</v>
      </c>
      <c r="I23" s="180">
        <f>([95]Sheet1!J29)/100</f>
        <v>0</v>
      </c>
    </row>
    <row r="24" spans="2:9" x14ac:dyDescent="0.25">
      <c r="B24" s="2"/>
      <c r="C24" s="180"/>
      <c r="D24" s="180"/>
      <c r="E24" s="3"/>
      <c r="F24" s="3"/>
      <c r="G24" s="3"/>
      <c r="H24" s="3"/>
      <c r="I24" s="3"/>
    </row>
    <row r="25" spans="2:9" x14ac:dyDescent="0.25">
      <c r="B25" s="54" t="s">
        <v>164</v>
      </c>
      <c r="C25" s="125">
        <f>C22-C23</f>
        <v>-1.9400000000000084</v>
      </c>
      <c r="D25" s="125">
        <f t="shared" ref="D25:I25" si="11">D22-D23</f>
        <v>-489.13</v>
      </c>
      <c r="E25" s="125">
        <f t="shared" si="11"/>
        <v>-267.73</v>
      </c>
      <c r="F25" s="125">
        <f t="shared" si="11"/>
        <v>-24.270000000000003</v>
      </c>
      <c r="G25" s="125">
        <f t="shared" si="11"/>
        <v>-82.03</v>
      </c>
      <c r="H25" s="125">
        <f t="shared" si="11"/>
        <v>-123.94130000000003</v>
      </c>
      <c r="I25" s="125">
        <f t="shared" si="11"/>
        <v>-51.711000000000006</v>
      </c>
    </row>
    <row r="26" spans="2:9" x14ac:dyDescent="0.25">
      <c r="B26" s="136" t="s">
        <v>165</v>
      </c>
      <c r="C26" s="137">
        <f>C25/C$4</f>
        <v>-2.3306102835175497E-2</v>
      </c>
      <c r="D26" s="137">
        <f>D25/D$4</f>
        <v>-5.0592676872155558</v>
      </c>
      <c r="E26" s="137">
        <f>E25/E$4</f>
        <v>-1.8027742239579829</v>
      </c>
      <c r="F26" s="137">
        <f>F25/F$4</f>
        <v>-0.22389298892988932</v>
      </c>
      <c r="G26" s="137">
        <f t="shared" ref="G26:I26" si="12">G25/G$4</f>
        <v>-0.84012699713232286</v>
      </c>
      <c r="H26" s="137">
        <f t="shared" si="12"/>
        <v>-1.4193301253495614</v>
      </c>
      <c r="I26" s="137">
        <f t="shared" si="12"/>
        <v>-0.57456666666666678</v>
      </c>
    </row>
    <row r="29" spans="2:9" x14ac:dyDescent="0.25">
      <c r="E29" s="179"/>
      <c r="F29" s="179"/>
      <c r="G29" s="179"/>
      <c r="H29" s="179"/>
      <c r="I29" s="1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7603-B570-4A01-AE28-8EF851B1702E}">
  <dimension ref="A1:AB91"/>
  <sheetViews>
    <sheetView topLeftCell="O1" workbookViewId="0">
      <pane ySplit="4" topLeftCell="A28" activePane="bottomLeft" state="frozen"/>
      <selection pane="bottomLeft" activeCell="V31" sqref="V31:AB49"/>
    </sheetView>
  </sheetViews>
  <sheetFormatPr defaultRowHeight="15" outlineLevelCol="1" x14ac:dyDescent="0.25"/>
  <cols>
    <col min="1" max="1" width="32.28515625" bestFit="1" customWidth="1"/>
    <col min="2" max="2" width="8" customWidth="1" outlineLevel="1"/>
    <col min="3" max="5" width="14.5703125" hidden="1" customWidth="1" outlineLevel="1"/>
    <col min="6" max="10" width="13.42578125" hidden="1" customWidth="1" outlineLevel="1"/>
    <col min="11" max="11" width="13.85546875" hidden="1" customWidth="1"/>
    <col min="12" max="12" width="13.42578125" hidden="1" customWidth="1"/>
    <col min="13" max="28" width="13.42578125" bestFit="1" customWidth="1"/>
    <col min="29" max="34" width="2" bestFit="1" customWidth="1"/>
  </cols>
  <sheetData>
    <row r="1" spans="1:28" x14ac:dyDescent="0.25">
      <c r="A1" s="2" t="str">
        <f>Assumptions!A1</f>
        <v>Plant Year</v>
      </c>
      <c r="B1" s="2"/>
      <c r="C1" s="2"/>
      <c r="D1" s="3"/>
      <c r="E1" s="3"/>
      <c r="F1" s="3">
        <f>Assumptions!F1</f>
        <v>1</v>
      </c>
      <c r="G1" s="3">
        <f>Assumptions!G1</f>
        <v>2</v>
      </c>
      <c r="H1" s="3">
        <f>Assumptions!H1</f>
        <v>3</v>
      </c>
      <c r="I1" s="3">
        <f>Assumptions!I1</f>
        <v>4</v>
      </c>
      <c r="J1" s="3">
        <f>Assumptions!J1</f>
        <v>5</v>
      </c>
      <c r="K1" s="3">
        <f>Assumptions!K1</f>
        <v>6</v>
      </c>
      <c r="L1" s="3">
        <f>Assumptions!L1</f>
        <v>7</v>
      </c>
      <c r="M1" s="3">
        <f>Assumptions!M1</f>
        <v>8</v>
      </c>
      <c r="N1" s="3">
        <f>Assumptions!N1</f>
        <v>9</v>
      </c>
      <c r="O1" s="3">
        <f>Assumptions!O1</f>
        <v>10</v>
      </c>
      <c r="P1" s="3">
        <f>Assumptions!P1</f>
        <v>11</v>
      </c>
      <c r="Q1" s="3">
        <f>Assumptions!Q1</f>
        <v>12</v>
      </c>
      <c r="R1" s="3">
        <f>Assumptions!R1</f>
        <v>13</v>
      </c>
      <c r="S1" s="3">
        <f>Assumptions!S1</f>
        <v>14</v>
      </c>
      <c r="T1" s="3">
        <f>Assumptions!T1</f>
        <v>15</v>
      </c>
      <c r="U1" s="3">
        <f>Assumptions!U1</f>
        <v>16</v>
      </c>
      <c r="V1" s="3">
        <f>Assumptions!V1</f>
        <v>17</v>
      </c>
      <c r="W1" s="3">
        <f>Assumptions!W1</f>
        <v>18</v>
      </c>
      <c r="X1" s="3">
        <f>Assumptions!X1</f>
        <v>19</v>
      </c>
      <c r="Y1" s="3">
        <f>Assumptions!Y1</f>
        <v>20</v>
      </c>
      <c r="Z1" s="3">
        <f>Assumptions!Z1</f>
        <v>21</v>
      </c>
      <c r="AA1" s="3">
        <f>Assumptions!AA1</f>
        <v>22</v>
      </c>
      <c r="AB1" s="3">
        <f>Assumptions!AB1</f>
        <v>23</v>
      </c>
    </row>
    <row r="2" spans="1:28" x14ac:dyDescent="0.25">
      <c r="A2" s="2" t="str">
        <f>Assumptions!A2</f>
        <v>Projecton Year</v>
      </c>
      <c r="B2" s="2"/>
      <c r="C2" s="2"/>
      <c r="D2" s="2"/>
      <c r="E2" s="2"/>
      <c r="F2" s="2"/>
      <c r="G2" s="2"/>
      <c r="H2" s="2"/>
      <c r="I2" s="2"/>
      <c r="J2" s="2"/>
      <c r="K2" s="3">
        <f>Assumptions!K2</f>
        <v>0</v>
      </c>
      <c r="L2" s="3">
        <f>Assumptions!L2</f>
        <v>0</v>
      </c>
      <c r="M2" s="3">
        <f>Assumptions!M2</f>
        <v>0</v>
      </c>
      <c r="N2" s="3">
        <f>Assumptions!N2</f>
        <v>1</v>
      </c>
      <c r="O2" s="3">
        <f>Assumptions!O2</f>
        <v>2</v>
      </c>
      <c r="P2" s="3">
        <f>Assumptions!P2</f>
        <v>3</v>
      </c>
      <c r="Q2" s="3">
        <f>Assumptions!Q2</f>
        <v>4</v>
      </c>
      <c r="R2" s="3">
        <f>Assumptions!R2</f>
        <v>5</v>
      </c>
      <c r="S2" s="3">
        <f>Assumptions!S2</f>
        <v>6</v>
      </c>
      <c r="T2" s="3">
        <f>Assumptions!T2</f>
        <v>7</v>
      </c>
      <c r="U2" s="3">
        <f>Assumptions!U2</f>
        <v>8</v>
      </c>
      <c r="V2" s="3">
        <f>Assumptions!V2</f>
        <v>9</v>
      </c>
      <c r="W2" s="3">
        <f>Assumptions!W2</f>
        <v>10</v>
      </c>
      <c r="X2" s="3">
        <f>Assumptions!X2</f>
        <v>11</v>
      </c>
      <c r="Y2" s="3">
        <f>Assumptions!Y2</f>
        <v>12</v>
      </c>
      <c r="Z2" s="3">
        <f>Assumptions!Z2</f>
        <v>13</v>
      </c>
      <c r="AA2" s="3">
        <f>Assumptions!AA2</f>
        <v>14</v>
      </c>
      <c r="AB2" s="3">
        <f>Assumptions!AB2</f>
        <v>15</v>
      </c>
    </row>
    <row r="3" spans="1:28" x14ac:dyDescent="0.25">
      <c r="A3" s="2" t="str">
        <f>Assumptions!A3</f>
        <v>No. of Days</v>
      </c>
      <c r="B3" s="2"/>
      <c r="C3" s="2"/>
      <c r="D3" s="2"/>
      <c r="E3" s="2"/>
      <c r="F3" s="2"/>
      <c r="G3" s="2"/>
      <c r="H3" s="2"/>
      <c r="I3" s="2"/>
      <c r="J3" s="2"/>
      <c r="K3" s="3">
        <f>Assumptions!K3</f>
        <v>366</v>
      </c>
      <c r="L3" s="3">
        <f>Assumptions!L3</f>
        <v>365</v>
      </c>
      <c r="M3" s="3">
        <f>Assumptions!M3</f>
        <v>365</v>
      </c>
      <c r="N3" s="3">
        <f>Assumptions!N3</f>
        <v>365</v>
      </c>
      <c r="O3" s="3">
        <f>Assumptions!O3</f>
        <v>366</v>
      </c>
      <c r="P3" s="3">
        <f>Assumptions!P3</f>
        <v>365</v>
      </c>
      <c r="Q3" s="3">
        <f>Assumptions!Q3</f>
        <v>365</v>
      </c>
      <c r="R3" s="3">
        <f>Assumptions!R3</f>
        <v>365</v>
      </c>
      <c r="S3" s="3">
        <f>Assumptions!S3</f>
        <v>366</v>
      </c>
      <c r="T3" s="3">
        <f>Assumptions!T3</f>
        <v>365</v>
      </c>
      <c r="U3" s="3">
        <f>Assumptions!U3</f>
        <v>365</v>
      </c>
      <c r="V3" s="3">
        <f>Assumptions!V3</f>
        <v>365</v>
      </c>
      <c r="W3" s="3">
        <f>Assumptions!W3</f>
        <v>366</v>
      </c>
      <c r="X3" s="3">
        <f>Assumptions!X3</f>
        <v>365</v>
      </c>
      <c r="Y3" s="3">
        <f>Assumptions!Y3</f>
        <v>365</v>
      </c>
      <c r="Z3" s="3">
        <f>Assumptions!Z3</f>
        <v>365</v>
      </c>
      <c r="AA3" s="3">
        <f>Assumptions!AA3</f>
        <v>366</v>
      </c>
      <c r="AB3" s="3">
        <f>AB4-Assumptions!C37</f>
        <v>183</v>
      </c>
    </row>
    <row r="4" spans="1:28" x14ac:dyDescent="0.25">
      <c r="A4" s="2" t="str">
        <f>Assumptions!A4</f>
        <v>Year End</v>
      </c>
      <c r="B4" s="122"/>
      <c r="C4" s="122"/>
      <c r="D4" s="122"/>
      <c r="E4" s="122"/>
      <c r="F4" s="4">
        <f>Assumptions!F4</f>
        <v>42094</v>
      </c>
      <c r="G4" s="4">
        <f>Assumptions!G4</f>
        <v>42460</v>
      </c>
      <c r="H4" s="4">
        <f>Assumptions!H4</f>
        <v>42825</v>
      </c>
      <c r="I4" s="4">
        <f>Assumptions!I4</f>
        <v>43190</v>
      </c>
      <c r="J4" s="4">
        <f>Assumptions!J4</f>
        <v>43555</v>
      </c>
      <c r="K4" s="4">
        <f>Assumptions!K4</f>
        <v>43921</v>
      </c>
      <c r="L4" s="4">
        <f>Assumptions!L4</f>
        <v>44286</v>
      </c>
      <c r="M4" s="4">
        <f>Assumptions!M4</f>
        <v>44651</v>
      </c>
      <c r="N4" s="4">
        <f>Assumptions!N4</f>
        <v>45016</v>
      </c>
      <c r="O4" s="4">
        <f>Assumptions!O4</f>
        <v>45382</v>
      </c>
      <c r="P4" s="4">
        <f>Assumptions!P4</f>
        <v>45747</v>
      </c>
      <c r="Q4" s="4">
        <f>Assumptions!Q4</f>
        <v>46112</v>
      </c>
      <c r="R4" s="4">
        <f>Assumptions!R4</f>
        <v>46477</v>
      </c>
      <c r="S4" s="4">
        <f>Assumptions!S4</f>
        <v>46843</v>
      </c>
      <c r="T4" s="4">
        <f>Assumptions!T4</f>
        <v>47208</v>
      </c>
      <c r="U4" s="4">
        <f>Assumptions!U4</f>
        <v>47573</v>
      </c>
      <c r="V4" s="4">
        <f>Assumptions!V4</f>
        <v>47938</v>
      </c>
      <c r="W4" s="4">
        <f>Assumptions!W4</f>
        <v>48304</v>
      </c>
      <c r="X4" s="4">
        <f>Assumptions!X4</f>
        <v>48669</v>
      </c>
      <c r="Y4" s="4">
        <f>Assumptions!Y4</f>
        <v>49034</v>
      </c>
      <c r="Z4" s="4">
        <f>Assumptions!Z4</f>
        <v>49399</v>
      </c>
      <c r="AA4" s="4">
        <f>Assumptions!AA4</f>
        <v>49765</v>
      </c>
      <c r="AB4" s="4">
        <f>Assumptions!AB4</f>
        <v>50130</v>
      </c>
    </row>
    <row r="5" spans="1:28" x14ac:dyDescent="0.25">
      <c r="B5" s="123"/>
    </row>
    <row r="6" spans="1:28" x14ac:dyDescent="0.25">
      <c r="A6" s="130" t="s">
        <v>142</v>
      </c>
      <c r="B6" s="12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9">
        <v>0.33</v>
      </c>
      <c r="O6" s="129">
        <v>0.33</v>
      </c>
      <c r="P6" s="129">
        <v>0.33</v>
      </c>
      <c r="Q6" s="129">
        <v>0.33</v>
      </c>
      <c r="R6" s="129">
        <v>0.33</v>
      </c>
      <c r="S6" s="129">
        <v>0.33</v>
      </c>
      <c r="T6" s="129">
        <v>0.33</v>
      </c>
      <c r="U6" s="129">
        <v>0.33</v>
      </c>
      <c r="V6" s="129">
        <v>0.33</v>
      </c>
      <c r="W6" s="129">
        <v>0.33</v>
      </c>
      <c r="X6" s="129">
        <v>0.33</v>
      </c>
      <c r="Y6" s="129">
        <v>0.33</v>
      </c>
      <c r="Z6" s="129">
        <v>0.33</v>
      </c>
      <c r="AA6" s="129">
        <v>0.33</v>
      </c>
      <c r="AB6" s="129">
        <v>0.33</v>
      </c>
    </row>
    <row r="8" spans="1:28" x14ac:dyDescent="0.25">
      <c r="A8" s="111" t="s">
        <v>137</v>
      </c>
    </row>
    <row r="10" spans="1:28" x14ac:dyDescent="0.25">
      <c r="A10" s="111" t="s">
        <v>223</v>
      </c>
    </row>
    <row r="11" spans="1:28" x14ac:dyDescent="0.25">
      <c r="A11" s="2" t="s">
        <v>138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f>(Assumptions!$C$19*N6)*(24*'RKA P&amp;L'!N3*1000)</f>
        <v>14454000.000000002</v>
      </c>
      <c r="O11" s="2">
        <f>(Assumptions!$C$19*O6)*(24*'RKA P&amp;L'!O3*1000)</f>
        <v>14493600.000000002</v>
      </c>
      <c r="P11" s="2">
        <f>(Assumptions!$C$19*P6)*(24*'RKA P&amp;L'!P3*1000)</f>
        <v>14454000.000000002</v>
      </c>
      <c r="Q11" s="2">
        <f>(Assumptions!$C$19*Q6)*(24*'RKA P&amp;L'!Q3*1000)</f>
        <v>14454000.000000002</v>
      </c>
      <c r="R11" s="2">
        <f>(Assumptions!$C$19*R6)*(24*'RKA P&amp;L'!R3*1000)</f>
        <v>14454000.000000002</v>
      </c>
      <c r="S11" s="2">
        <f>(Assumptions!$C$19*S6)*(24*'RKA P&amp;L'!S3*1000)</f>
        <v>14493600.000000002</v>
      </c>
      <c r="T11" s="2">
        <f>(Assumptions!$C$19*T6)*(24*'RKA P&amp;L'!T3*1000)</f>
        <v>14454000.000000002</v>
      </c>
      <c r="U11" s="2">
        <f>(Assumptions!$C$19*U6)*(24*'RKA P&amp;L'!U3*1000)</f>
        <v>14454000.000000002</v>
      </c>
      <c r="V11" s="2">
        <f>(Assumptions!$C$19*V6)*(24*'RKA P&amp;L'!V3*1000)</f>
        <v>14454000.000000002</v>
      </c>
      <c r="W11" s="2">
        <f>(Assumptions!$C$19*W6)*(24*(W4-Assumptions!C36)*1000)</f>
        <v>7246800.0000000009</v>
      </c>
      <c r="X11" s="2"/>
      <c r="Y11" s="2"/>
      <c r="Z11" s="2"/>
      <c r="AA11" s="2"/>
      <c r="AB11" s="2"/>
    </row>
    <row r="12" spans="1:28" x14ac:dyDescent="0.25">
      <c r="A12" s="2" t="str">
        <f>Assumptions!$A$22</f>
        <v>Auxiliary Consumption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f>N11*Assumptions!$C$22</f>
        <v>7227.0000000000009</v>
      </c>
      <c r="O12" s="2">
        <f>O11*Assumptions!$C$22</f>
        <v>7246.8000000000011</v>
      </c>
      <c r="P12" s="2">
        <f>P11*Assumptions!$C$22</f>
        <v>7227.0000000000009</v>
      </c>
      <c r="Q12" s="2">
        <f>Q11*Assumptions!$C$22</f>
        <v>7227.0000000000009</v>
      </c>
      <c r="R12" s="2">
        <f>R11*Assumptions!$C$22</f>
        <v>7227.0000000000009</v>
      </c>
      <c r="S12" s="2">
        <f>S11*Assumptions!$C$22</f>
        <v>7246.8000000000011</v>
      </c>
      <c r="T12" s="2">
        <f>T11*Assumptions!$C$22</f>
        <v>7227.0000000000009</v>
      </c>
      <c r="U12" s="2">
        <f>U11*Assumptions!$C$22</f>
        <v>7227.0000000000009</v>
      </c>
      <c r="V12" s="2">
        <f>V11*Assumptions!$C$22</f>
        <v>7227.0000000000009</v>
      </c>
      <c r="W12" s="2">
        <f>W11*Assumptions!$C$22</f>
        <v>3623.4000000000005</v>
      </c>
      <c r="X12" s="2"/>
      <c r="Y12" s="2"/>
      <c r="Z12" s="2"/>
      <c r="AA12" s="2"/>
      <c r="AB12" s="2"/>
    </row>
    <row r="13" spans="1:28" x14ac:dyDescent="0.25">
      <c r="A13" s="104" t="s">
        <v>139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04">
        <f t="shared" ref="N13:W13" si="0">N11-N12</f>
        <v>14446773.000000002</v>
      </c>
      <c r="O13" s="104">
        <f t="shared" si="0"/>
        <v>14486353.200000001</v>
      </c>
      <c r="P13" s="104">
        <f t="shared" si="0"/>
        <v>14446773.000000002</v>
      </c>
      <c r="Q13" s="104">
        <f t="shared" si="0"/>
        <v>14446773.000000002</v>
      </c>
      <c r="R13" s="104">
        <f t="shared" si="0"/>
        <v>14446773.000000002</v>
      </c>
      <c r="S13" s="104">
        <f t="shared" si="0"/>
        <v>14486353.200000001</v>
      </c>
      <c r="T13" s="104">
        <f t="shared" si="0"/>
        <v>14446773.000000002</v>
      </c>
      <c r="U13" s="104">
        <f t="shared" si="0"/>
        <v>14446773.000000002</v>
      </c>
      <c r="V13" s="104">
        <f t="shared" si="0"/>
        <v>14446773.000000002</v>
      </c>
      <c r="W13" s="104">
        <f t="shared" si="0"/>
        <v>7243176.6000000006</v>
      </c>
      <c r="X13" s="104"/>
      <c r="Y13" s="104"/>
      <c r="Z13" s="104"/>
      <c r="AA13" s="104"/>
      <c r="AB13" s="104"/>
    </row>
    <row r="14" spans="1:28" x14ac:dyDescent="0.25">
      <c r="A14" s="104" t="s">
        <v>140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5">
        <f>Assumptions!$C$24</f>
        <v>3.56</v>
      </c>
      <c r="O14" s="125">
        <f>Assumptions!$C$24</f>
        <v>3.56</v>
      </c>
      <c r="P14" s="125">
        <f>Assumptions!$C$24</f>
        <v>3.56</v>
      </c>
      <c r="Q14" s="125">
        <f>Assumptions!$C$24</f>
        <v>3.56</v>
      </c>
      <c r="R14" s="125">
        <f>Assumptions!$C$24</f>
        <v>3.56</v>
      </c>
      <c r="S14" s="125">
        <f>Assumptions!$C$25</f>
        <v>3.56</v>
      </c>
      <c r="T14" s="125">
        <f>Assumptions!$C$25</f>
        <v>3.56</v>
      </c>
      <c r="U14" s="125">
        <f>Assumptions!$C$25</f>
        <v>3.56</v>
      </c>
      <c r="V14" s="125">
        <f>Assumptions!$C$25</f>
        <v>3.56</v>
      </c>
      <c r="W14" s="125">
        <f>Assumptions!$C$25</f>
        <v>3.56</v>
      </c>
      <c r="X14" s="125"/>
      <c r="Y14" s="125"/>
      <c r="Z14" s="125"/>
      <c r="AA14" s="125"/>
      <c r="AB14" s="125"/>
    </row>
    <row r="15" spans="1:28" x14ac:dyDescent="0.25">
      <c r="A15" s="104" t="s">
        <v>257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5">
        <f t="shared" ref="N15:W15" si="1">(N13*N14)/(10^7)</f>
        <v>5.1430511880000012</v>
      </c>
      <c r="O15" s="125">
        <f t="shared" si="1"/>
        <v>5.1571417392000001</v>
      </c>
      <c r="P15" s="125">
        <f t="shared" si="1"/>
        <v>5.1430511880000012</v>
      </c>
      <c r="Q15" s="125">
        <f t="shared" si="1"/>
        <v>5.1430511880000012</v>
      </c>
      <c r="R15" s="125">
        <f t="shared" si="1"/>
        <v>5.1430511880000012</v>
      </c>
      <c r="S15" s="125">
        <f t="shared" si="1"/>
        <v>5.1571417392000001</v>
      </c>
      <c r="T15" s="125">
        <f t="shared" si="1"/>
        <v>5.1430511880000012</v>
      </c>
      <c r="U15" s="125">
        <f t="shared" si="1"/>
        <v>5.1430511880000012</v>
      </c>
      <c r="V15" s="125">
        <f t="shared" si="1"/>
        <v>5.1430511880000012</v>
      </c>
      <c r="W15" s="125">
        <f t="shared" si="1"/>
        <v>2.5785708696</v>
      </c>
      <c r="X15" s="194"/>
      <c r="Y15" s="194"/>
      <c r="Z15" s="194"/>
      <c r="AA15" s="194"/>
      <c r="AB15" s="194"/>
    </row>
    <row r="17" spans="1:28" x14ac:dyDescent="0.25">
      <c r="A17" s="111" t="s">
        <v>224</v>
      </c>
    </row>
    <row r="18" spans="1:28" x14ac:dyDescent="0.25">
      <c r="A18" s="2" t="s">
        <v>138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96">
        <f>(Assumptions!$C$38*N6)*(24*1000*'RKA P&amp;L'!N3)</f>
        <v>145696320</v>
      </c>
      <c r="O18" s="196">
        <f>(Assumptions!$C$38*O6)*(24*1000*'RKA P&amp;L'!O3)</f>
        <v>146095488</v>
      </c>
      <c r="P18" s="196">
        <f>(Assumptions!$C$38*P6)*(24*1000*'RKA P&amp;L'!P3)</f>
        <v>145696320</v>
      </c>
      <c r="Q18" s="196">
        <f>(Assumptions!$C$38*Q6)*(24*1000*'RKA P&amp;L'!Q3)</f>
        <v>145696320</v>
      </c>
      <c r="R18" s="196">
        <f>(Assumptions!$C$38*R6)*(24*1000*'RKA P&amp;L'!R3)</f>
        <v>145696320</v>
      </c>
      <c r="S18" s="196">
        <f>(Assumptions!$C$38*S6)*(24*1000*'RKA P&amp;L'!S3)</f>
        <v>146095488</v>
      </c>
      <c r="T18" s="196">
        <f>(Assumptions!$C$38*T6)*(24*1000*'RKA P&amp;L'!T3)</f>
        <v>145696320</v>
      </c>
      <c r="U18" s="196">
        <f>(Assumptions!$C$38*U6)*(24*1000*'RKA P&amp;L'!U3)</f>
        <v>145696320</v>
      </c>
      <c r="V18" s="196">
        <f>(Assumptions!$C$38*V6)*(24*1000*'RKA P&amp;L'!V3)</f>
        <v>145696320</v>
      </c>
      <c r="W18" s="196">
        <f>(Assumptions!$C$38*W6)*(24*1000*'RKA P&amp;L'!W3)</f>
        <v>146095488</v>
      </c>
      <c r="X18" s="196">
        <f>(Assumptions!$C$38*X6)*(24*1000*'RKA P&amp;L'!X3)</f>
        <v>145696320</v>
      </c>
      <c r="Y18" s="196">
        <f>(Assumptions!$C$38*Y6)*(24*1000*'RKA P&amp;L'!Y3)</f>
        <v>145696320</v>
      </c>
      <c r="Z18" s="196">
        <f>(Assumptions!$C$38*Z6)*(24*1000*'RKA P&amp;L'!Z3)</f>
        <v>145696320</v>
      </c>
      <c r="AA18" s="196">
        <f>(Assumptions!$C$38*AA6)*(24*1000*'RKA P&amp;L'!AA3)</f>
        <v>146095488</v>
      </c>
      <c r="AB18" s="196">
        <f>(Assumptions!$C$38*AB6)*(24*1000*'RKA P&amp;L'!AB3)</f>
        <v>73047744</v>
      </c>
    </row>
    <row r="19" spans="1:28" x14ac:dyDescent="0.25">
      <c r="A19" s="2" t="str">
        <f>Assumptions!$A$22</f>
        <v>Auxiliary Consumption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8">
        <f>N18*Assumptions!$C$41</f>
        <v>72848.160000000003</v>
      </c>
      <c r="O19" s="98">
        <f>O18*Assumptions!$C$41</f>
        <v>73047.744000000006</v>
      </c>
      <c r="P19" s="98">
        <f>P18*Assumptions!$C$41</f>
        <v>72848.160000000003</v>
      </c>
      <c r="Q19" s="98">
        <f>Q18*Assumptions!$C$41</f>
        <v>72848.160000000003</v>
      </c>
      <c r="R19" s="98">
        <f>R18*Assumptions!$C$41</f>
        <v>72848.160000000003</v>
      </c>
      <c r="S19" s="98">
        <f>S18*Assumptions!$C$41</f>
        <v>73047.744000000006</v>
      </c>
      <c r="T19" s="98">
        <f>T18*Assumptions!$C$41</f>
        <v>72848.160000000003</v>
      </c>
      <c r="U19" s="98">
        <f>U18*Assumptions!$C$41</f>
        <v>72848.160000000003</v>
      </c>
      <c r="V19" s="98">
        <f>V18*Assumptions!$C$41</f>
        <v>72848.160000000003</v>
      </c>
      <c r="W19" s="98">
        <f>W18*Assumptions!$C$41</f>
        <v>73047.744000000006</v>
      </c>
      <c r="X19" s="98">
        <f>X18*Assumptions!$C$41</f>
        <v>72848.160000000003</v>
      </c>
      <c r="Y19" s="98">
        <f>Y18*Assumptions!$C$41</f>
        <v>72848.160000000003</v>
      </c>
      <c r="Z19" s="98">
        <f>Z18*Assumptions!$C$41</f>
        <v>72848.160000000003</v>
      </c>
      <c r="AA19" s="98">
        <f>AA18*Assumptions!$C$41</f>
        <v>73047.744000000006</v>
      </c>
      <c r="AB19" s="98">
        <f>AB18*Assumptions!$C$41</f>
        <v>36523.872000000003</v>
      </c>
    </row>
    <row r="20" spans="1:28" x14ac:dyDescent="0.25">
      <c r="A20" s="104" t="s">
        <v>139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04">
        <f t="shared" ref="N20:AB20" si="2">N18-N19</f>
        <v>145623471.84</v>
      </c>
      <c r="O20" s="104">
        <f t="shared" si="2"/>
        <v>146022440.25600001</v>
      </c>
      <c r="P20" s="104">
        <f t="shared" si="2"/>
        <v>145623471.84</v>
      </c>
      <c r="Q20" s="104">
        <f t="shared" si="2"/>
        <v>145623471.84</v>
      </c>
      <c r="R20" s="104">
        <f t="shared" si="2"/>
        <v>145623471.84</v>
      </c>
      <c r="S20" s="104">
        <f t="shared" si="2"/>
        <v>146022440.25600001</v>
      </c>
      <c r="T20" s="104">
        <f t="shared" si="2"/>
        <v>145623471.84</v>
      </c>
      <c r="U20" s="104">
        <f t="shared" si="2"/>
        <v>145623471.84</v>
      </c>
      <c r="V20" s="104">
        <f t="shared" si="2"/>
        <v>145623471.84</v>
      </c>
      <c r="W20" s="104">
        <f t="shared" si="2"/>
        <v>146022440.25600001</v>
      </c>
      <c r="X20" s="104">
        <f t="shared" si="2"/>
        <v>145623471.84</v>
      </c>
      <c r="Y20" s="104">
        <f t="shared" si="2"/>
        <v>145623471.84</v>
      </c>
      <c r="Z20" s="104">
        <f t="shared" si="2"/>
        <v>145623471.84</v>
      </c>
      <c r="AA20" s="104">
        <f t="shared" si="2"/>
        <v>146022440.25600001</v>
      </c>
      <c r="AB20" s="104">
        <f t="shared" si="2"/>
        <v>73011220.128000006</v>
      </c>
    </row>
    <row r="21" spans="1:28" x14ac:dyDescent="0.25">
      <c r="A21" s="104" t="s">
        <v>140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5">
        <f>Assumptions!$C$43</f>
        <v>3.56</v>
      </c>
      <c r="O21" s="125">
        <f>Assumptions!$C$43</f>
        <v>3.56</v>
      </c>
      <c r="P21" s="125">
        <f>Assumptions!$C$43</f>
        <v>3.56</v>
      </c>
      <c r="Q21" s="125">
        <f>Assumptions!$C$43</f>
        <v>3.56</v>
      </c>
      <c r="R21" s="125">
        <f>Assumptions!$C$43</f>
        <v>3.56</v>
      </c>
      <c r="S21" s="125">
        <f>Assumptions!$C$43</f>
        <v>3.56</v>
      </c>
      <c r="T21" s="125">
        <f>Assumptions!$C$43</f>
        <v>3.56</v>
      </c>
      <c r="U21" s="125">
        <f>Assumptions!$C$43</f>
        <v>3.56</v>
      </c>
      <c r="V21" s="125">
        <f>Assumptions!$C$43</f>
        <v>3.56</v>
      </c>
      <c r="W21" s="125">
        <f>Assumptions!$C$43</f>
        <v>3.56</v>
      </c>
      <c r="X21" s="125">
        <f>Assumptions!$C$44</f>
        <v>3.7</v>
      </c>
      <c r="Y21" s="125">
        <f>Assumptions!$C$44</f>
        <v>3.7</v>
      </c>
      <c r="Z21" s="125">
        <f>Assumptions!$C$44</f>
        <v>3.7</v>
      </c>
      <c r="AA21" s="125">
        <f>Assumptions!$C$44</f>
        <v>3.7</v>
      </c>
      <c r="AB21" s="125">
        <f>Assumptions!$C$44</f>
        <v>3.7</v>
      </c>
    </row>
    <row r="22" spans="1:28" x14ac:dyDescent="0.25">
      <c r="A22" s="104" t="s">
        <v>257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5">
        <f t="shared" ref="N22" si="3">(N20*N21)/(10^7)</f>
        <v>51.841955975040001</v>
      </c>
      <c r="O22" s="125">
        <f t="shared" ref="O22" si="4">(O20*O21)/(10^7)</f>
        <v>51.983988731136009</v>
      </c>
      <c r="P22" s="125">
        <f t="shared" ref="P22" si="5">(P20*P21)/(10^7)</f>
        <v>51.841955975040001</v>
      </c>
      <c r="Q22" s="125">
        <f t="shared" ref="Q22" si="6">(Q20*Q21)/(10^7)</f>
        <v>51.841955975040001</v>
      </c>
      <c r="R22" s="125">
        <f t="shared" ref="R22" si="7">(R20*R21)/(10^7)</f>
        <v>51.841955975040001</v>
      </c>
      <c r="S22" s="125">
        <f t="shared" ref="S22" si="8">(S20*S21)/(10^7)</f>
        <v>51.983988731136009</v>
      </c>
      <c r="T22" s="125">
        <f t="shared" ref="T22" si="9">(T20*T21)/(10^7)</f>
        <v>51.841955975040001</v>
      </c>
      <c r="U22" s="125">
        <f t="shared" ref="U22" si="10">(U20*U21)/(10^7)</f>
        <v>51.841955975040001</v>
      </c>
      <c r="V22" s="125">
        <f t="shared" ref="V22" si="11">(V20*V21)/(10^7)</f>
        <v>51.841955975040001</v>
      </c>
      <c r="W22" s="125">
        <f t="shared" ref="W22" si="12">(W20*W21)/(10^7)</f>
        <v>51.983988731136009</v>
      </c>
      <c r="X22" s="125">
        <f t="shared" ref="X22" si="13">(X20*X21)/(10^7)</f>
        <v>53.880684580800008</v>
      </c>
      <c r="Y22" s="125">
        <f t="shared" ref="Y22" si="14">(Y20*Y21)/(10^7)</f>
        <v>53.880684580800008</v>
      </c>
      <c r="Z22" s="125">
        <f t="shared" ref="Z22" si="15">(Z20*Z21)/(10^7)</f>
        <v>53.880684580800008</v>
      </c>
      <c r="AA22" s="125">
        <f t="shared" ref="AA22" si="16">(AA20*AA21)/(10^7)</f>
        <v>54.028302894720007</v>
      </c>
      <c r="AB22" s="125">
        <f t="shared" ref="AB22" si="17">(AB20*AB21)/(10^7)</f>
        <v>27.014151447360003</v>
      </c>
    </row>
    <row r="24" spans="1:28" x14ac:dyDescent="0.25">
      <c r="A24" s="111" t="s">
        <v>141</v>
      </c>
    </row>
    <row r="25" spans="1:28" x14ac:dyDescent="0.25">
      <c r="A25" s="54" t="s">
        <v>213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134" t="s">
        <v>211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8">
        <f t="shared" ref="N26:AB26" si="18">N15+N22</f>
        <v>56.985007163040002</v>
      </c>
      <c r="O26" s="98">
        <f t="shared" si="18"/>
        <v>57.141130470336009</v>
      </c>
      <c r="P26" s="98">
        <f t="shared" si="18"/>
        <v>56.985007163040002</v>
      </c>
      <c r="Q26" s="98">
        <f t="shared" si="18"/>
        <v>56.985007163040002</v>
      </c>
      <c r="R26" s="98">
        <f t="shared" si="18"/>
        <v>56.985007163040002</v>
      </c>
      <c r="S26" s="98">
        <f t="shared" si="18"/>
        <v>57.141130470336009</v>
      </c>
      <c r="T26" s="98">
        <f t="shared" si="18"/>
        <v>56.985007163040002</v>
      </c>
      <c r="U26" s="98">
        <f t="shared" si="18"/>
        <v>56.985007163040002</v>
      </c>
      <c r="V26" s="98">
        <f t="shared" si="18"/>
        <v>56.985007163040002</v>
      </c>
      <c r="W26" s="98">
        <f t="shared" si="18"/>
        <v>54.562559600736009</v>
      </c>
      <c r="X26" s="98">
        <f t="shared" si="18"/>
        <v>53.880684580800008</v>
      </c>
      <c r="Y26" s="98">
        <f t="shared" si="18"/>
        <v>53.880684580800008</v>
      </c>
      <c r="Z26" s="98">
        <f t="shared" si="18"/>
        <v>53.880684580800008</v>
      </c>
      <c r="AA26" s="98">
        <f t="shared" si="18"/>
        <v>54.028302894720007</v>
      </c>
      <c r="AB26" s="98">
        <f t="shared" si="18"/>
        <v>27.014151447360003</v>
      </c>
    </row>
    <row r="27" spans="1:28" x14ac:dyDescent="0.25">
      <c r="A27" s="134" t="s">
        <v>222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8">
        <f>N26*Assumptions!$C$50</f>
        <v>0.14246251790760001</v>
      </c>
      <c r="O27" s="98">
        <f>O26*Assumptions!$C$50</f>
        <v>0.14285282617584003</v>
      </c>
      <c r="P27" s="98">
        <f>P26*Assumptions!$C$50</f>
        <v>0.14246251790760001</v>
      </c>
      <c r="Q27" s="98">
        <f>Q26*Assumptions!$C$50</f>
        <v>0.14246251790760001</v>
      </c>
      <c r="R27" s="98">
        <f>R26*Assumptions!$C$50</f>
        <v>0.14246251790760001</v>
      </c>
      <c r="S27" s="98">
        <f>S26*Assumptions!$C$50</f>
        <v>0.14285282617584003</v>
      </c>
      <c r="T27" s="98">
        <f>T26*Assumptions!$C$50</f>
        <v>0.14246251790760001</v>
      </c>
      <c r="U27" s="98">
        <f>U26*Assumptions!$C$50</f>
        <v>0.14246251790760001</v>
      </c>
      <c r="V27" s="98">
        <f>V26*Assumptions!$C$50</f>
        <v>0.14246251790760001</v>
      </c>
      <c r="W27" s="98">
        <f>W26*Assumptions!$C$50</f>
        <v>0.13640639900184001</v>
      </c>
      <c r="X27" s="98">
        <f>X26*Assumptions!$C$50</f>
        <v>0.13470171145200002</v>
      </c>
      <c r="Y27" s="98">
        <f>Y26*Assumptions!$C$50</f>
        <v>0.13470171145200002</v>
      </c>
      <c r="Z27" s="98">
        <f>Z26*Assumptions!$C$50</f>
        <v>0.13470171145200002</v>
      </c>
      <c r="AA27" s="98">
        <f>AA26*Assumptions!$C$50</f>
        <v>0.13507075723680001</v>
      </c>
      <c r="AB27" s="98">
        <f>AB26*Assumptions!$C$50</f>
        <v>6.7535378618400005E-2</v>
      </c>
    </row>
    <row r="28" spans="1:28" ht="15.75" thickBot="1" x14ac:dyDescent="0.3">
      <c r="A28" s="134" t="s">
        <v>212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</row>
    <row r="29" spans="1:28" x14ac:dyDescent="0.25">
      <c r="A29" s="1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75">
        <f t="shared" ref="N29:AA29" si="19">SUM(N26:N28)</f>
        <v>57.127469680947605</v>
      </c>
      <c r="O29" s="175">
        <f t="shared" si="19"/>
        <v>57.283983296511849</v>
      </c>
      <c r="P29" s="175">
        <f t="shared" si="19"/>
        <v>57.127469680947605</v>
      </c>
      <c r="Q29" s="175">
        <f t="shared" si="19"/>
        <v>57.127469680947605</v>
      </c>
      <c r="R29" s="175">
        <f t="shared" si="19"/>
        <v>57.127469680947605</v>
      </c>
      <c r="S29" s="175">
        <f t="shared" si="19"/>
        <v>57.283983296511849</v>
      </c>
      <c r="T29" s="175">
        <f t="shared" si="19"/>
        <v>57.127469680947605</v>
      </c>
      <c r="U29" s="175">
        <f t="shared" si="19"/>
        <v>57.127469680947605</v>
      </c>
      <c r="V29" s="175">
        <f t="shared" si="19"/>
        <v>57.127469680947605</v>
      </c>
      <c r="W29" s="175">
        <f t="shared" si="19"/>
        <v>54.698965999737851</v>
      </c>
      <c r="X29" s="175">
        <f t="shared" si="19"/>
        <v>54.01538629225201</v>
      </c>
      <c r="Y29" s="175">
        <f t="shared" si="19"/>
        <v>54.01538629225201</v>
      </c>
      <c r="Z29" s="175">
        <f t="shared" si="19"/>
        <v>54.01538629225201</v>
      </c>
      <c r="AA29" s="175">
        <f t="shared" si="19"/>
        <v>54.163373651956803</v>
      </c>
      <c r="AB29" s="175">
        <f t="shared" ref="AB29" si="20">SUM(AB26:AB28)</f>
        <v>27.081686825978402</v>
      </c>
    </row>
    <row r="30" spans="1:28" x14ac:dyDescent="0.25">
      <c r="A30" s="195" t="s">
        <v>214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134" t="s">
        <v>235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98">
        <f>Assumptions!$C$61</f>
        <v>21.639326107164074</v>
      </c>
      <c r="O31" s="98">
        <f>Assumptions!$C$61</f>
        <v>21.639326107164074</v>
      </c>
      <c r="P31" s="98">
        <f>Assumptions!$C$61</f>
        <v>21.639326107164074</v>
      </c>
      <c r="Q31" s="98">
        <f>Assumptions!$C$61</f>
        <v>21.639326107164074</v>
      </c>
      <c r="R31" s="98">
        <f>Assumptions!$C$61</f>
        <v>21.639326107164074</v>
      </c>
      <c r="S31" s="98">
        <f>Assumptions!$C$61</f>
        <v>21.639326107164074</v>
      </c>
      <c r="T31" s="98">
        <f>Assumptions!$C$61</f>
        <v>21.639326107164074</v>
      </c>
      <c r="U31" s="98">
        <f>Assumptions!$C$61</f>
        <v>21.639326107164074</v>
      </c>
      <c r="V31" s="98">
        <f>Assumptions!$C$61</f>
        <v>21.639326107164074</v>
      </c>
      <c r="W31" s="98">
        <f>Assumptions!$C$61</f>
        <v>21.639326107164074</v>
      </c>
      <c r="X31" s="98">
        <f>Assumptions!$C$61</f>
        <v>21.639326107164074</v>
      </c>
      <c r="Y31" s="98">
        <f>Assumptions!$C$61</f>
        <v>21.639326107164074</v>
      </c>
      <c r="Z31" s="98">
        <f>Assumptions!$C$61</f>
        <v>21.639326107164074</v>
      </c>
      <c r="AA31" s="98">
        <f>Assumptions!$C$61</f>
        <v>21.639326107164074</v>
      </c>
      <c r="AB31" s="98">
        <f>Assumptions!$C$61*(AB3/AA3)</f>
        <v>10.819663053582037</v>
      </c>
    </row>
    <row r="32" spans="1:28" x14ac:dyDescent="0.25">
      <c r="A32" s="134" t="s">
        <v>258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35">
        <f>N29*Assumptions!$C$64</f>
        <v>8.5691204521421413E-2</v>
      </c>
      <c r="O32" s="135">
        <f>O29*Assumptions!$C$64</f>
        <v>8.592597494476778E-2</v>
      </c>
      <c r="P32" s="135">
        <f>P29*Assumptions!$C$64</f>
        <v>8.5691204521421413E-2</v>
      </c>
      <c r="Q32" s="135">
        <f>Q29*Assumptions!$C$64</f>
        <v>8.5691204521421413E-2</v>
      </c>
      <c r="R32" s="135">
        <f>R29*Assumptions!$C$64</f>
        <v>8.5691204521421413E-2</v>
      </c>
      <c r="S32" s="135">
        <f>S29*Assumptions!$C$64</f>
        <v>8.592597494476778E-2</v>
      </c>
      <c r="T32" s="135">
        <f>T29*Assumptions!$C$64</f>
        <v>8.5691204521421413E-2</v>
      </c>
      <c r="U32" s="135">
        <f>U29*Assumptions!$C$64</f>
        <v>8.5691204521421413E-2</v>
      </c>
      <c r="V32" s="135">
        <f>V29*Assumptions!$C$64</f>
        <v>8.5691204521421413E-2</v>
      </c>
      <c r="W32" s="135">
        <f>W29*Assumptions!$C$64</f>
        <v>8.2048448999606782E-2</v>
      </c>
      <c r="X32" s="135">
        <f>X29*Assumptions!$C$64</f>
        <v>8.1023079438378012E-2</v>
      </c>
      <c r="Y32" s="135">
        <f>Y29*Assumptions!$C$64</f>
        <v>8.1023079438378012E-2</v>
      </c>
      <c r="Z32" s="135">
        <f>Z29*Assumptions!$C$64</f>
        <v>8.1023079438378012E-2</v>
      </c>
      <c r="AA32" s="135">
        <f>AA29*Assumptions!$C$64</f>
        <v>8.1245060477935213E-2</v>
      </c>
      <c r="AB32" s="135">
        <f>AB29*Assumptions!$C$64</f>
        <v>4.0622530238967607E-2</v>
      </c>
    </row>
    <row r="33" spans="1:28" x14ac:dyDescent="0.25">
      <c r="A33" s="134" t="s">
        <v>59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f>Assumptions!C106</f>
        <v>5.2173207244505999</v>
      </c>
    </row>
    <row r="34" spans="1:28" x14ac:dyDescent="0.25">
      <c r="A34" s="104" t="s">
        <v>145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5">
        <f t="shared" ref="N34:AB34" si="21">SUM(N29:N33)</f>
        <v>78.852486992633104</v>
      </c>
      <c r="O34" s="125">
        <f t="shared" si="21"/>
        <v>79.009235378620687</v>
      </c>
      <c r="P34" s="125">
        <f t="shared" si="21"/>
        <v>78.852486992633104</v>
      </c>
      <c r="Q34" s="125">
        <f t="shared" si="21"/>
        <v>78.852486992633104</v>
      </c>
      <c r="R34" s="125">
        <f t="shared" si="21"/>
        <v>78.852486992633104</v>
      </c>
      <c r="S34" s="125">
        <f t="shared" si="21"/>
        <v>79.009235378620687</v>
      </c>
      <c r="T34" s="125">
        <f t="shared" si="21"/>
        <v>78.852486992633104</v>
      </c>
      <c r="U34" s="125">
        <f t="shared" si="21"/>
        <v>78.852486992633104</v>
      </c>
      <c r="V34" s="125">
        <f t="shared" si="21"/>
        <v>78.852486992633104</v>
      </c>
      <c r="W34" s="125">
        <f t="shared" si="21"/>
        <v>76.420340555901518</v>
      </c>
      <c r="X34" s="125">
        <f t="shared" si="21"/>
        <v>75.735735478854465</v>
      </c>
      <c r="Y34" s="125">
        <f t="shared" si="21"/>
        <v>75.735735478854465</v>
      </c>
      <c r="Z34" s="125">
        <f t="shared" si="21"/>
        <v>75.735735478854465</v>
      </c>
      <c r="AA34" s="125">
        <f t="shared" si="21"/>
        <v>75.883944819598824</v>
      </c>
      <c r="AB34" s="125">
        <f t="shared" si="21"/>
        <v>43.159293134250014</v>
      </c>
    </row>
    <row r="35" spans="1:28" x14ac:dyDescent="0.25">
      <c r="A35" s="54" t="s">
        <v>146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 t="s">
        <v>147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8">
        <f>Assumptions!C95*(1+Assumptions!$C$96)</f>
        <v>9.6407825066666675</v>
      </c>
      <c r="O36" s="98">
        <f>N36*(1+Assumptions!$C$96)</f>
        <v>10.010988554922667</v>
      </c>
      <c r="P36" s="98">
        <f>O36*(1+Assumptions!$C$96)</f>
        <v>10.395410515431697</v>
      </c>
      <c r="Q36" s="98">
        <f>P36*(1+Assumptions!$C$96)</f>
        <v>10.794594279224274</v>
      </c>
      <c r="R36" s="98">
        <f>Q36*(1+Assumptions!$C$96)</f>
        <v>11.209106699546487</v>
      </c>
      <c r="S36" s="98">
        <f>R36*(1+Assumptions!$C$96)</f>
        <v>11.639536396809072</v>
      </c>
      <c r="T36" s="98">
        <f>S36*(1+Assumptions!$C$96)</f>
        <v>12.08649459444654</v>
      </c>
      <c r="U36" s="98">
        <f>T36*(1+Assumptions!$C$96)</f>
        <v>12.550615986873288</v>
      </c>
      <c r="V36" s="98">
        <f>U36*(1+Assumptions!$C$96)</f>
        <v>13.032559640769222</v>
      </c>
      <c r="W36" s="98">
        <f>V36*(1+Assumptions!$C$96)</f>
        <v>13.53300993097476</v>
      </c>
      <c r="X36" s="98">
        <f>W36*(1+Assumptions!$C$96)</f>
        <v>14.052677512324191</v>
      </c>
      <c r="Y36" s="98">
        <f>X36*(1+Assumptions!$C$96)</f>
        <v>14.592300328797441</v>
      </c>
      <c r="Z36" s="98">
        <f>Y36*(1+Assumptions!$C$96)</f>
        <v>15.152644661423261</v>
      </c>
      <c r="AA36" s="98">
        <f>Z36*(1+Assumptions!$C$96)</f>
        <v>15.734506216421915</v>
      </c>
      <c r="AB36" s="98">
        <f>AA36*(1+Assumptions!$C$96)*(AB3/AA3)</f>
        <v>8.169355627566258</v>
      </c>
    </row>
    <row r="37" spans="1:28" x14ac:dyDescent="0.25">
      <c r="A37" s="2" t="s">
        <v>148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8">
        <f>Assumptions!C98*(1+Assumptions!$C$100)</f>
        <v>3.4928249999999998</v>
      </c>
      <c r="O37" s="98">
        <f>N37*(1+Assumptions!$C$100)</f>
        <v>3.6674662499999999</v>
      </c>
      <c r="P37" s="98">
        <f>O37*(1+Assumptions!$C$100)</f>
        <v>3.8508395625</v>
      </c>
      <c r="Q37" s="98">
        <f>P37*(1+Assumptions!$C$100)</f>
        <v>4.043381540625</v>
      </c>
      <c r="R37" s="98">
        <f>Q37*(1+Assumptions!$C$100)</f>
        <v>4.2455506176562503</v>
      </c>
      <c r="S37" s="98">
        <f>R37*(1+Assumptions!$C$100)</f>
        <v>4.457828148539063</v>
      </c>
      <c r="T37" s="98">
        <f>S37*(1+Assumptions!$C$100)</f>
        <v>4.6807195559660162</v>
      </c>
      <c r="U37" s="98">
        <f>T37*(1+Assumptions!$C$100)</f>
        <v>4.9147555337643176</v>
      </c>
      <c r="V37" s="98">
        <f>U37*(1+Assumptions!$C$100)</f>
        <v>5.1604933104525337</v>
      </c>
      <c r="W37" s="98">
        <f>V37*(1+Assumptions!$C$100)</f>
        <v>5.4185179759751607</v>
      </c>
      <c r="X37" s="98">
        <f>W37*(1+Assumptions!$C$100)</f>
        <v>5.6894438747739189</v>
      </c>
      <c r="Y37" s="98">
        <f>X37*(1+Assumptions!$C$100)</f>
        <v>5.9739160685126151</v>
      </c>
      <c r="Z37" s="98">
        <f>Y37*(1+Assumptions!$C$100)</f>
        <v>6.2726118719382464</v>
      </c>
      <c r="AA37" s="98">
        <f>Z37*(1+Assumptions!$C$100)</f>
        <v>6.5862424655351592</v>
      </c>
      <c r="AB37" s="98">
        <f>AA37*(1+Assumptions!$C$100)*(AB3/AA3)</f>
        <v>3.4577772944059588</v>
      </c>
    </row>
    <row r="38" spans="1:28" ht="15.75" thickBot="1" x14ac:dyDescent="0.3">
      <c r="A38" s="2" t="s">
        <v>149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74">
        <f>Assumptions!C99*(1+Assumptions!$C$100)</f>
        <v>7.87948</v>
      </c>
      <c r="O38" s="174">
        <f>N38*(1+Assumptions!$C$100)</f>
        <v>8.273454000000001</v>
      </c>
      <c r="P38" s="174">
        <f>O38*(1+Assumptions!$C$100)</f>
        <v>8.6871267000000021</v>
      </c>
      <c r="Q38" s="174">
        <f>P38*(1+Assumptions!$C$100)</f>
        <v>9.1214830350000025</v>
      </c>
      <c r="R38" s="174">
        <f>Q38*(1+Assumptions!$C$100)</f>
        <v>9.5775571867500027</v>
      </c>
      <c r="S38" s="174">
        <f>R38*(1+Assumptions!$C$100)</f>
        <v>10.056435046087504</v>
      </c>
      <c r="T38" s="174">
        <f>S38*(1+Assumptions!$C$100)</f>
        <v>10.55925679839188</v>
      </c>
      <c r="U38" s="174">
        <f>T38*(1+Assumptions!$C$100)</f>
        <v>11.087219638311474</v>
      </c>
      <c r="V38" s="174">
        <f>U38*(1+Assumptions!$C$100)</f>
        <v>11.641580620227048</v>
      </c>
      <c r="W38" s="174">
        <f>V38*(1+Assumptions!$C$100)</f>
        <v>12.223659651238401</v>
      </c>
      <c r="X38" s="174">
        <f>W38*(1+Assumptions!$C$100)</f>
        <v>12.834842633800323</v>
      </c>
      <c r="Y38" s="174">
        <f>X38*(1+Assumptions!$C$100)</f>
        <v>13.476584765490339</v>
      </c>
      <c r="Z38" s="174">
        <f>Y38*(1+Assumptions!$C$100)</f>
        <v>14.150414003764856</v>
      </c>
      <c r="AA38" s="174">
        <f>Z38*(1+Assumptions!$C$100)</f>
        <v>14.8579347039531</v>
      </c>
      <c r="AB38" s="174">
        <f>AA38*(1+Assumptions!$C$100)*(AB3/AA3)</f>
        <v>7.800415719575378</v>
      </c>
    </row>
    <row r="39" spans="1:28" x14ac:dyDescent="0.25">
      <c r="A39" s="54" t="s">
        <v>150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76">
        <f t="shared" ref="N39:AB39" si="22">SUM(N36:N38)</f>
        <v>21.013087506666668</v>
      </c>
      <c r="O39" s="176">
        <f t="shared" si="22"/>
        <v>21.951908804922667</v>
      </c>
      <c r="P39" s="176">
        <f t="shared" si="22"/>
        <v>22.933376777931699</v>
      </c>
      <c r="Q39" s="176">
        <f t="shared" si="22"/>
        <v>23.959458854849274</v>
      </c>
      <c r="R39" s="176">
        <f t="shared" si="22"/>
        <v>25.032214503952741</v>
      </c>
      <c r="S39" s="176">
        <f t="shared" si="22"/>
        <v>26.153799591435639</v>
      </c>
      <c r="T39" s="176">
        <f t="shared" si="22"/>
        <v>27.326470948804435</v>
      </c>
      <c r="U39" s="176">
        <f t="shared" si="22"/>
        <v>28.552591158949078</v>
      </c>
      <c r="V39" s="176">
        <f t="shared" si="22"/>
        <v>29.834633571448805</v>
      </c>
      <c r="W39" s="176">
        <f t="shared" si="22"/>
        <v>31.17518755818832</v>
      </c>
      <c r="X39" s="176">
        <f t="shared" si="22"/>
        <v>32.57696402089843</v>
      </c>
      <c r="Y39" s="176">
        <f t="shared" si="22"/>
        <v>34.042801162800394</v>
      </c>
      <c r="Z39" s="176">
        <f t="shared" si="22"/>
        <v>35.575670537126364</v>
      </c>
      <c r="AA39" s="176">
        <f t="shared" si="22"/>
        <v>37.178683385910176</v>
      </c>
      <c r="AB39" s="176">
        <f t="shared" si="22"/>
        <v>19.427548641547595</v>
      </c>
    </row>
    <row r="40" spans="1:28" x14ac:dyDescent="0.25">
      <c r="A40" s="104" t="s">
        <v>151</v>
      </c>
      <c r="B40" s="54"/>
      <c r="C40" s="54"/>
      <c r="D40" s="54"/>
      <c r="E40" s="54"/>
      <c r="F40" s="54"/>
      <c r="G40" s="54"/>
      <c r="H40" s="54"/>
      <c r="I40" s="54"/>
      <c r="J40" s="54"/>
      <c r="K40" s="2"/>
      <c r="L40" s="2"/>
      <c r="M40" s="2"/>
      <c r="N40" s="125">
        <f>N34-N39</f>
        <v>57.839399485966439</v>
      </c>
      <c r="O40" s="125">
        <f>O34-O39</f>
        <v>57.05732657369802</v>
      </c>
      <c r="P40" s="125">
        <f>P34-P39</f>
        <v>55.919110214701405</v>
      </c>
      <c r="Q40" s="125">
        <f>Q34-Q39</f>
        <v>54.89302813778383</v>
      </c>
      <c r="R40" s="125">
        <f>R34-R39</f>
        <v>53.820272488680359</v>
      </c>
      <c r="S40" s="125">
        <f>S34-S39</f>
        <v>52.855435787185044</v>
      </c>
      <c r="T40" s="125">
        <f>T34-T39</f>
        <v>51.526016043828669</v>
      </c>
      <c r="U40" s="125">
        <f>U34-U39</f>
        <v>50.299895833684026</v>
      </c>
      <c r="V40" s="125">
        <f>V34-V39</f>
        <v>49.017853421184299</v>
      </c>
      <c r="W40" s="125">
        <f>W34-W39</f>
        <v>45.245152997713198</v>
      </c>
      <c r="X40" s="125">
        <f>X34-X39</f>
        <v>43.158771457956036</v>
      </c>
      <c r="Y40" s="125">
        <f>Y34-Y39</f>
        <v>41.692934316054071</v>
      </c>
      <c r="Z40" s="125">
        <f>Z34-Z39</f>
        <v>40.160064941728102</v>
      </c>
      <c r="AA40" s="125">
        <f>AA34-AA39</f>
        <v>38.705261433688648</v>
      </c>
      <c r="AB40" s="125">
        <f>AB34-AB39</f>
        <v>23.731744492702418</v>
      </c>
    </row>
    <row r="41" spans="1:28" x14ac:dyDescent="0.25">
      <c r="A41" s="136" t="s">
        <v>152</v>
      </c>
      <c r="B41" s="54"/>
      <c r="C41" s="54"/>
      <c r="D41" s="54"/>
      <c r="E41" s="54"/>
      <c r="F41" s="54"/>
      <c r="G41" s="54"/>
      <c r="H41" s="54"/>
      <c r="I41" s="54"/>
      <c r="J41" s="54"/>
      <c r="K41" s="2"/>
      <c r="L41" s="2"/>
      <c r="M41" s="2"/>
      <c r="N41" s="137">
        <f t="shared" ref="N41:AA41" si="23">N40/N$34</f>
        <v>0.73351395361024141</v>
      </c>
      <c r="O41" s="137">
        <f t="shared" si="23"/>
        <v>0.72216021709706746</v>
      </c>
      <c r="P41" s="137">
        <f t="shared" si="23"/>
        <v>0.70916102138827553</v>
      </c>
      <c r="Q41" s="137">
        <f t="shared" si="23"/>
        <v>0.69614834270112858</v>
      </c>
      <c r="R41" s="137">
        <f t="shared" si="23"/>
        <v>0.6825437540569721</v>
      </c>
      <c r="S41" s="137">
        <f t="shared" si="23"/>
        <v>0.66897794332391847</v>
      </c>
      <c r="T41" s="137">
        <f t="shared" si="23"/>
        <v>0.65344820447632246</v>
      </c>
      <c r="U41" s="137">
        <f t="shared" si="23"/>
        <v>0.63789866055059696</v>
      </c>
      <c r="V41" s="137">
        <f t="shared" si="23"/>
        <v>0.62163991638924276</v>
      </c>
      <c r="W41" s="137">
        <f t="shared" si="23"/>
        <v>0.59205641676794607</v>
      </c>
      <c r="X41" s="137">
        <f t="shared" si="23"/>
        <v>0.56986006916122223</v>
      </c>
      <c r="Y41" s="137">
        <f t="shared" si="23"/>
        <v>0.55050543910931982</v>
      </c>
      <c r="Z41" s="137">
        <f t="shared" si="23"/>
        <v>0.53026572842803976</v>
      </c>
      <c r="AA41" s="137">
        <f t="shared" si="23"/>
        <v>0.51005863658912076</v>
      </c>
      <c r="AB41" s="137">
        <f t="shared" ref="AB41" si="24">AB40/AB$34</f>
        <v>0.54986406795132536</v>
      </c>
    </row>
    <row r="42" spans="1:28" x14ac:dyDescent="0.25">
      <c r="A42" s="2" t="s">
        <v>153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98">
        <f>'Depreciation Schedule'!E141</f>
        <v>13.54765935757576</v>
      </c>
      <c r="O42" s="98">
        <f>'Depreciation Schedule'!F141</f>
        <v>13.54765935757576</v>
      </c>
      <c r="P42" s="98">
        <f>'Depreciation Schedule'!G141</f>
        <v>13.557641070836636</v>
      </c>
      <c r="Q42" s="98">
        <f>'Depreciation Schedule'!H141</f>
        <v>13.563128970300431</v>
      </c>
      <c r="R42" s="98">
        <f>'Depreciation Schedule'!I141</f>
        <v>13.563128970300431</v>
      </c>
      <c r="S42" s="98">
        <f>'Depreciation Schedule'!J141</f>
        <v>13.563128970300431</v>
      </c>
      <c r="T42" s="98">
        <f>'Depreciation Schedule'!K141</f>
        <v>13.563128970300431</v>
      </c>
      <c r="U42" s="98">
        <f>'Depreciation Schedule'!L141</f>
        <v>13.563128970300431</v>
      </c>
      <c r="V42" s="98">
        <f>'Depreciation Schedule'!M141</f>
        <v>13.569777270493386</v>
      </c>
      <c r="W42" s="98">
        <f>'Depreciation Schedule'!N141</f>
        <v>13.569777270493386</v>
      </c>
      <c r="X42" s="98">
        <f>'Depreciation Schedule'!O141</f>
        <v>13.569777270493386</v>
      </c>
      <c r="Y42" s="98">
        <f>'Depreciation Schedule'!P141</f>
        <v>13.569777270493386</v>
      </c>
      <c r="Z42" s="98">
        <f>'Depreciation Schedule'!Q141</f>
        <v>13.576234883985284</v>
      </c>
      <c r="AA42" s="98">
        <f>'Depreciation Schedule'!R141</f>
        <v>13.584288948340378</v>
      </c>
      <c r="AB42" s="98">
        <f>'Depreciation Schedule'!S141</f>
        <v>6.7921444741701889</v>
      </c>
    </row>
    <row r="43" spans="1:28" x14ac:dyDescent="0.25">
      <c r="A43" s="104" t="s">
        <v>154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25">
        <f>N40-N42</f>
        <v>44.291740128390678</v>
      </c>
      <c r="O43" s="125">
        <f>O40-O42</f>
        <v>43.50966721612226</v>
      </c>
      <c r="P43" s="125">
        <f>P40-P42</f>
        <v>42.361469143864767</v>
      </c>
      <c r="Q43" s="125">
        <f>Q40-Q42</f>
        <v>41.329899167483397</v>
      </c>
      <c r="R43" s="125">
        <f>R40-R42</f>
        <v>40.257143518379927</v>
      </c>
      <c r="S43" s="125">
        <f>S40-S42</f>
        <v>39.292306816884611</v>
      </c>
      <c r="T43" s="125">
        <f>T40-T42</f>
        <v>37.962887073528236</v>
      </c>
      <c r="U43" s="125">
        <f>U40-U42</f>
        <v>36.736766863383593</v>
      </c>
      <c r="V43" s="125">
        <f>V40-V42</f>
        <v>35.448076150690909</v>
      </c>
      <c r="W43" s="125">
        <f>W40-W42</f>
        <v>31.675375727219812</v>
      </c>
      <c r="X43" s="125">
        <f>X40-X42</f>
        <v>29.588994187462649</v>
      </c>
      <c r="Y43" s="125">
        <f>Y40-Y42</f>
        <v>28.123157045560685</v>
      </c>
      <c r="Z43" s="125">
        <f>Z40-Z42</f>
        <v>26.583830057742816</v>
      </c>
      <c r="AA43" s="125">
        <f>AA40-AA42</f>
        <v>25.120972485348268</v>
      </c>
      <c r="AB43" s="125">
        <f>AB40-AB42</f>
        <v>16.939600018532229</v>
      </c>
    </row>
    <row r="44" spans="1:28" x14ac:dyDescent="0.25">
      <c r="A44" s="136" t="s">
        <v>155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37">
        <f t="shared" ref="N44:AA44" si="25">N43/N$34</f>
        <v>0.56170378155008216</v>
      </c>
      <c r="O44" s="137">
        <f t="shared" si="25"/>
        <v>0.55069090350791638</v>
      </c>
      <c r="P44" s="137">
        <f t="shared" si="25"/>
        <v>0.53722426215703811</v>
      </c>
      <c r="Q44" s="137">
        <f t="shared" si="25"/>
        <v>0.52414198643277665</v>
      </c>
      <c r="R44" s="137">
        <f t="shared" si="25"/>
        <v>0.51053739778862017</v>
      </c>
      <c r="S44" s="137">
        <f t="shared" si="25"/>
        <v>0.49731283474130189</v>
      </c>
      <c r="T44" s="137">
        <f t="shared" si="25"/>
        <v>0.48144184820797054</v>
      </c>
      <c r="U44" s="137">
        <f t="shared" si="25"/>
        <v>0.4658923042822451</v>
      </c>
      <c r="V44" s="137">
        <f t="shared" si="25"/>
        <v>0.44954924698827436</v>
      </c>
      <c r="W44" s="137">
        <f t="shared" si="25"/>
        <v>0.41448880621055673</v>
      </c>
      <c r="X44" s="137">
        <f t="shared" si="25"/>
        <v>0.39068735518814551</v>
      </c>
      <c r="Y44" s="137">
        <f t="shared" si="25"/>
        <v>0.37133272513624316</v>
      </c>
      <c r="Z44" s="137">
        <f t="shared" si="25"/>
        <v>0.35100774937565715</v>
      </c>
      <c r="AA44" s="137">
        <f t="shared" si="25"/>
        <v>0.33104463065367923</v>
      </c>
      <c r="AB44" s="137">
        <f t="shared" ref="AB44" si="26">AB43/AB$34</f>
        <v>0.39249020983361366</v>
      </c>
    </row>
    <row r="45" spans="1:28" x14ac:dyDescent="0.25">
      <c r="A45" s="2" t="s">
        <v>103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35">
        <f>'Debt Sch'!B84</f>
        <v>48.387133524999996</v>
      </c>
      <c r="O45" s="135">
        <f>'Debt Sch'!C84</f>
        <v>45.647030731249998</v>
      </c>
      <c r="P45" s="135">
        <f>'Debt Sch'!D84</f>
        <v>42.906927937500001</v>
      </c>
      <c r="Q45" s="135">
        <f>'Debt Sch'!E84</f>
        <v>40.166825143750003</v>
      </c>
      <c r="R45" s="135">
        <f>'Debt Sch'!F84</f>
        <v>37.426722349999999</v>
      </c>
      <c r="S45" s="135">
        <f>'Debt Sch'!G84</f>
        <v>34.686619556250008</v>
      </c>
      <c r="T45" s="135">
        <f>'Debt Sch'!H84</f>
        <v>31.946516762500003</v>
      </c>
      <c r="U45" s="135">
        <f>'Debt Sch'!I84</f>
        <v>29.206413968750002</v>
      </c>
      <c r="V45" s="135">
        <f>'Debt Sch'!J84</f>
        <v>26.466311175000001</v>
      </c>
      <c r="W45" s="135">
        <f>'Debt Sch'!K84</f>
        <v>8.2203083812500051</v>
      </c>
      <c r="X45" s="135">
        <f>'Debt Sch'!L84</f>
        <v>5.4802055875000057</v>
      </c>
      <c r="Y45" s="135">
        <f>'Debt Sch'!M84</f>
        <v>2.7401027937500055</v>
      </c>
      <c r="Z45" s="135">
        <f>'Debt Sch'!N84</f>
        <v>0</v>
      </c>
      <c r="AA45" s="135">
        <f>'Debt Sch'!O84</f>
        <v>0</v>
      </c>
      <c r="AB45" s="135">
        <f>'Debt Sch'!P84</f>
        <v>0</v>
      </c>
    </row>
    <row r="46" spans="1:28" x14ac:dyDescent="0.25">
      <c r="A46" s="104" t="s">
        <v>156</v>
      </c>
      <c r="B46" s="54"/>
      <c r="C46" s="54"/>
      <c r="D46" s="54"/>
      <c r="E46" s="54"/>
      <c r="F46" s="54"/>
      <c r="G46" s="2"/>
      <c r="H46" s="2"/>
      <c r="I46" s="2"/>
      <c r="J46" s="2"/>
      <c r="K46" s="2"/>
      <c r="L46" s="2"/>
      <c r="M46" s="2"/>
      <c r="N46" s="138">
        <f>N43-N45</f>
        <v>-4.0953933966093174</v>
      </c>
      <c r="O46" s="138">
        <f>O43-O45</f>
        <v>-2.1373635151277384</v>
      </c>
      <c r="P46" s="138">
        <f>P43-P45</f>
        <v>-0.54545879363523397</v>
      </c>
      <c r="Q46" s="138">
        <f>Q43-Q45</f>
        <v>1.1630740237333939</v>
      </c>
      <c r="R46" s="138">
        <f>R43-R45</f>
        <v>2.8304211683799281</v>
      </c>
      <c r="S46" s="138">
        <f>S43-S45</f>
        <v>4.6056872606346033</v>
      </c>
      <c r="T46" s="138">
        <f>T43-T45</f>
        <v>6.0163703110282327</v>
      </c>
      <c r="U46" s="138">
        <f>U43-U45</f>
        <v>7.5303528946335909</v>
      </c>
      <c r="V46" s="138">
        <f>V43-V45</f>
        <v>8.9817649756909077</v>
      </c>
      <c r="W46" s="138">
        <f>W43-W45</f>
        <v>23.455067345969809</v>
      </c>
      <c r="X46" s="138">
        <f>X43-X45</f>
        <v>24.108788599962644</v>
      </c>
      <c r="Y46" s="138">
        <f>Y43-Y45</f>
        <v>25.38305425181068</v>
      </c>
      <c r="Z46" s="138">
        <f>Z43-Z45</f>
        <v>26.583830057742816</v>
      </c>
      <c r="AA46" s="138">
        <f>AA43-AA45</f>
        <v>25.120972485348268</v>
      </c>
      <c r="AB46" s="138">
        <f>AB43-AB45</f>
        <v>16.939600018532229</v>
      </c>
    </row>
    <row r="47" spans="1:28" x14ac:dyDescent="0.25">
      <c r="A47" s="136" t="s">
        <v>157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37">
        <f t="shared" ref="N47:AA47" si="27">N46/N$34</f>
        <v>-5.1937403026894195E-2</v>
      </c>
      <c r="O47" s="137">
        <f t="shared" si="27"/>
        <v>-2.7052071886093623E-2</v>
      </c>
      <c r="P47" s="137">
        <f t="shared" si="27"/>
        <v>-6.9174583382030069E-3</v>
      </c>
      <c r="Q47" s="137">
        <f t="shared" si="27"/>
        <v>1.4749997978403085E-2</v>
      </c>
      <c r="R47" s="137">
        <f t="shared" si="27"/>
        <v>3.589514137511432E-2</v>
      </c>
      <c r="S47" s="137">
        <f t="shared" si="27"/>
        <v>5.8293024082104558E-2</v>
      </c>
      <c r="T47" s="137">
        <f t="shared" si="27"/>
        <v>7.6299055876199826E-2</v>
      </c>
      <c r="U47" s="137">
        <f t="shared" si="27"/>
        <v>9.5499243991342006E-2</v>
      </c>
      <c r="V47" s="137">
        <f t="shared" si="27"/>
        <v>0.11390591873823892</v>
      </c>
      <c r="W47" s="137">
        <f t="shared" si="27"/>
        <v>0.30692178516022728</v>
      </c>
      <c r="X47" s="137">
        <f t="shared" si="27"/>
        <v>0.31832778076993595</v>
      </c>
      <c r="Y47" s="137">
        <f t="shared" si="27"/>
        <v>0.33515293792713835</v>
      </c>
      <c r="Z47" s="137">
        <f t="shared" si="27"/>
        <v>0.35100774937565715</v>
      </c>
      <c r="AA47" s="137">
        <f t="shared" si="27"/>
        <v>0.33104463065367923</v>
      </c>
      <c r="AB47" s="137">
        <f t="shared" ref="AB47" si="28">AB46/AB$34</f>
        <v>0.39249020983361366</v>
      </c>
    </row>
    <row r="48" spans="1:28" x14ac:dyDescent="0.25">
      <c r="A48" s="134" t="s">
        <v>163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0">
        <f>MAX(0,N46)*$B$61</f>
        <v>0</v>
      </c>
      <c r="O48" s="50">
        <f>MAX(0,O46)*$B$61</f>
        <v>0</v>
      </c>
      <c r="P48" s="50">
        <f>MAX(0,P46)*$B$61</f>
        <v>0</v>
      </c>
      <c r="Q48" s="50">
        <f>MAX(0,Q46)*$B$61</f>
        <v>0.29272247029322057</v>
      </c>
      <c r="R48" s="50">
        <f>MAX(0,R46)*$B$61</f>
        <v>0.71236039965786035</v>
      </c>
      <c r="S48" s="50">
        <f>MAX(0,S46)*$B$61</f>
        <v>1.159159369756517</v>
      </c>
      <c r="T48" s="50">
        <f>MAX(0,T46)*$B$61</f>
        <v>1.5142000798795856</v>
      </c>
      <c r="U48" s="50">
        <f>MAX(0,U46)*$B$61</f>
        <v>1.8952392165213823</v>
      </c>
      <c r="V48" s="50">
        <f>MAX(0,V46)*$B$61</f>
        <v>2.2605306090818877</v>
      </c>
      <c r="W48" s="50">
        <f>MAX(0,W46)*$B$61</f>
        <v>5.9031713496336815</v>
      </c>
      <c r="X48" s="50">
        <f>MAX(0,X46)*$B$61</f>
        <v>6.0676999148385988</v>
      </c>
      <c r="Y48" s="50">
        <f>MAX(0,Y46)*$B$61</f>
        <v>6.3884070940957125</v>
      </c>
      <c r="Z48" s="50">
        <f>MAX(0,Z46)*$B$61</f>
        <v>6.6906183489327127</v>
      </c>
      <c r="AA48" s="50">
        <f>MAX(0,AA46)*$B$61</f>
        <v>6.3224463551124526</v>
      </c>
      <c r="AB48" s="50">
        <f>MAX(0,AB46)*$B$61</f>
        <v>4.2633585326641912</v>
      </c>
    </row>
    <row r="49" spans="1:28" x14ac:dyDescent="0.25">
      <c r="A49" s="104" t="s">
        <v>164</v>
      </c>
      <c r="B49" s="54"/>
      <c r="C49" s="54"/>
      <c r="D49" s="54"/>
      <c r="E49" s="54"/>
      <c r="F49" s="54"/>
      <c r="G49" s="54"/>
      <c r="H49" s="54"/>
      <c r="I49" s="54"/>
      <c r="J49" s="2"/>
      <c r="K49" s="2"/>
      <c r="L49" s="2"/>
      <c r="M49" s="2"/>
      <c r="N49" s="138">
        <f>N46-N48</f>
        <v>-4.0953933966093174</v>
      </c>
      <c r="O49" s="138">
        <f>O46-O48</f>
        <v>-2.1373635151277384</v>
      </c>
      <c r="P49" s="138">
        <f>P46-P48</f>
        <v>-0.54545879363523397</v>
      </c>
      <c r="Q49" s="138">
        <f>Q46-Q48</f>
        <v>0.87035155344017334</v>
      </c>
      <c r="R49" s="138">
        <f>R46-R48</f>
        <v>2.1180607687220676</v>
      </c>
      <c r="S49" s="138">
        <f>S46-S48</f>
        <v>3.4465278908780865</v>
      </c>
      <c r="T49" s="138">
        <f>T46-T48</f>
        <v>4.5021702311486473</v>
      </c>
      <c r="U49" s="138">
        <f>U46-U48</f>
        <v>5.6351136781122086</v>
      </c>
      <c r="V49" s="138">
        <f>V46-V48</f>
        <v>6.7212343666090195</v>
      </c>
      <c r="W49" s="138">
        <f>W46-W48</f>
        <v>17.551895996336128</v>
      </c>
      <c r="X49" s="138">
        <f>X46-X48</f>
        <v>18.041088685124045</v>
      </c>
      <c r="Y49" s="138">
        <f>Y46-Y48</f>
        <v>18.994647157714969</v>
      </c>
      <c r="Z49" s="138">
        <f>Z46-Z48</f>
        <v>19.893211708810103</v>
      </c>
      <c r="AA49" s="138">
        <f>AA46-AA48</f>
        <v>18.798526130235814</v>
      </c>
      <c r="AB49" s="138">
        <f>AB46-AB48</f>
        <v>12.676241485868037</v>
      </c>
    </row>
    <row r="50" spans="1:28" x14ac:dyDescent="0.25">
      <c r="A50" s="136" t="s">
        <v>165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37">
        <f t="shared" ref="N50:Z50" si="29">N49/N$34</f>
        <v>-5.1937403026894195E-2</v>
      </c>
      <c r="O50" s="137">
        <f t="shared" si="29"/>
        <v>-2.7052071886093623E-2</v>
      </c>
      <c r="P50" s="137">
        <f t="shared" si="29"/>
        <v>-6.9174583382030069E-3</v>
      </c>
      <c r="Q50" s="137">
        <f t="shared" si="29"/>
        <v>1.1037718487198598E-2</v>
      </c>
      <c r="R50" s="137">
        <f t="shared" si="29"/>
        <v>2.6861052193825546E-2</v>
      </c>
      <c r="S50" s="137">
        <f t="shared" si="29"/>
        <v>4.3621835781120485E-2</v>
      </c>
      <c r="T50" s="137">
        <f t="shared" si="29"/>
        <v>5.7096109493277855E-2</v>
      </c>
      <c r="U50" s="137">
        <f t="shared" si="29"/>
        <v>7.1463994263601047E-2</v>
      </c>
      <c r="V50" s="137">
        <f t="shared" si="29"/>
        <v>8.5238077110198943E-2</v>
      </c>
      <c r="W50" s="137">
        <f t="shared" si="29"/>
        <v>0.22967571027110129</v>
      </c>
      <c r="X50" s="137">
        <f t="shared" si="29"/>
        <v>0.23821104490575845</v>
      </c>
      <c r="Y50" s="137">
        <f t="shared" si="29"/>
        <v>0.25080164650963616</v>
      </c>
      <c r="Z50" s="137">
        <f t="shared" si="29"/>
        <v>0.26266611901279174</v>
      </c>
      <c r="AA50" s="137">
        <f>AA49/AA$34</f>
        <v>0.24772731801076123</v>
      </c>
      <c r="AB50" s="137">
        <f t="shared" ref="AB50" si="30">AB49/AB$34</f>
        <v>0.29370827382268977</v>
      </c>
    </row>
    <row r="52" spans="1:2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25">
      <c r="A54" s="17" t="s">
        <v>158</v>
      </c>
      <c r="B54" s="1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25">
      <c r="A55" s="8" t="s">
        <v>159</v>
      </c>
      <c r="B55" s="131">
        <v>0.22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25">
      <c r="A56" s="13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25">
      <c r="A57" s="8" t="s">
        <v>160</v>
      </c>
      <c r="B57" s="131">
        <v>0.04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25">
      <c r="A58" s="132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25">
      <c r="A59" s="132" t="s">
        <v>161</v>
      </c>
      <c r="B59" s="131">
        <v>0.1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25">
      <c r="A60" s="13"/>
      <c r="B60" s="1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25">
      <c r="A61" s="7" t="s">
        <v>162</v>
      </c>
      <c r="B61" s="151">
        <f>B55*(1+B57)*(1+B59)</f>
        <v>0.25168000000000001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3" spans="1:28" s="5" customFormat="1" ht="12" x14ac:dyDescent="0.2">
      <c r="A63" s="32" t="s">
        <v>196</v>
      </c>
      <c r="B63" s="120"/>
      <c r="C63" s="120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</row>
    <row r="64" spans="1:28" s="5" customFormat="1" ht="12" x14ac:dyDescent="0.2">
      <c r="B64" s="120"/>
      <c r="C64" s="120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</row>
    <row r="65" spans="1:28" s="5" customFormat="1" ht="12" x14ac:dyDescent="0.2">
      <c r="A65" s="32" t="s">
        <v>129</v>
      </c>
      <c r="B65" s="120"/>
      <c r="C65" s="120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</row>
    <row r="66" spans="1:28" s="5" customFormat="1" ht="12" x14ac:dyDescent="0.2">
      <c r="A66" s="164" t="s">
        <v>197</v>
      </c>
      <c r="B66" s="66" t="s">
        <v>57</v>
      </c>
      <c r="C66" s="66"/>
      <c r="D66" s="8"/>
      <c r="E66" s="8"/>
      <c r="F66" s="8"/>
      <c r="G66" s="8"/>
      <c r="H66" s="8"/>
      <c r="I66" s="8"/>
      <c r="J66" s="8"/>
      <c r="K66" s="8"/>
      <c r="L66" s="8"/>
      <c r="M66" s="8"/>
      <c r="N66" s="165">
        <f t="shared" ref="N66:AB66" si="31">M68</f>
        <v>2.1760999999999999</v>
      </c>
      <c r="O66" s="165">
        <f t="shared" si="31"/>
        <v>3.0468548717230708</v>
      </c>
      <c r="P66" s="165">
        <f t="shared" si="31"/>
        <v>3.0468548717230708</v>
      </c>
      <c r="Q66" s="165">
        <f t="shared" si="31"/>
        <v>3.0468548717230708</v>
      </c>
      <c r="R66" s="165">
        <f t="shared" si="31"/>
        <v>3.0468548717230708</v>
      </c>
      <c r="S66" s="165">
        <f t="shared" si="31"/>
        <v>3.0468548717230708</v>
      </c>
      <c r="T66" s="165">
        <f t="shared" si="31"/>
        <v>3.0468548717230708</v>
      </c>
      <c r="U66" s="165">
        <f t="shared" si="31"/>
        <v>3.0468548717230708</v>
      </c>
      <c r="V66" s="165">
        <f t="shared" si="31"/>
        <v>3.0468548717230708</v>
      </c>
      <c r="W66" s="165">
        <f t="shared" si="31"/>
        <v>3.0468548717230708</v>
      </c>
      <c r="X66" s="165">
        <f t="shared" si="31"/>
        <v>2.9093614208330409</v>
      </c>
      <c r="Y66" s="165">
        <f t="shared" si="31"/>
        <v>2.8808740137048141</v>
      </c>
      <c r="Z66" s="165">
        <f t="shared" si="31"/>
        <v>2.8808740137048141</v>
      </c>
      <c r="AA66" s="165">
        <f t="shared" si="31"/>
        <v>2.8808740137048141</v>
      </c>
      <c r="AB66" s="165">
        <f t="shared" si="31"/>
        <v>2.8808740137048141</v>
      </c>
    </row>
    <row r="67" spans="1:28" s="5" customFormat="1" ht="12" x14ac:dyDescent="0.2">
      <c r="A67" s="164" t="s">
        <v>42</v>
      </c>
      <c r="B67" s="66" t="s">
        <v>57</v>
      </c>
      <c r="C67" s="66"/>
      <c r="D67" s="8"/>
      <c r="E67" s="8"/>
      <c r="F67" s="8"/>
      <c r="G67" s="8"/>
      <c r="H67" s="8"/>
      <c r="I67" s="8"/>
      <c r="J67" s="8"/>
      <c r="K67" s="8"/>
      <c r="L67" s="8"/>
      <c r="M67" s="8"/>
      <c r="N67" s="165">
        <f t="shared" ref="N67:AB67" si="32">N29</f>
        <v>57.127469680947605</v>
      </c>
      <c r="O67" s="165">
        <f t="shared" si="32"/>
        <v>57.283983296511849</v>
      </c>
      <c r="P67" s="165">
        <f t="shared" si="32"/>
        <v>57.127469680947605</v>
      </c>
      <c r="Q67" s="165">
        <f t="shared" si="32"/>
        <v>57.127469680947605</v>
      </c>
      <c r="R67" s="165">
        <f t="shared" si="32"/>
        <v>57.127469680947605</v>
      </c>
      <c r="S67" s="165">
        <f t="shared" si="32"/>
        <v>57.283983296511849</v>
      </c>
      <c r="T67" s="165">
        <f t="shared" si="32"/>
        <v>57.127469680947605</v>
      </c>
      <c r="U67" s="165">
        <f t="shared" si="32"/>
        <v>57.127469680947605</v>
      </c>
      <c r="V67" s="165">
        <f t="shared" si="32"/>
        <v>57.127469680947605</v>
      </c>
      <c r="W67" s="165">
        <f t="shared" si="32"/>
        <v>54.698965999737851</v>
      </c>
      <c r="X67" s="165">
        <f t="shared" si="32"/>
        <v>54.01538629225201</v>
      </c>
      <c r="Y67" s="165">
        <f t="shared" si="32"/>
        <v>54.01538629225201</v>
      </c>
      <c r="Z67" s="165">
        <f t="shared" si="32"/>
        <v>54.01538629225201</v>
      </c>
      <c r="AA67" s="165">
        <f t="shared" si="32"/>
        <v>54.163373651956803</v>
      </c>
      <c r="AB67" s="165">
        <f t="shared" si="32"/>
        <v>27.081686825978402</v>
      </c>
    </row>
    <row r="68" spans="1:28" s="5" customFormat="1" ht="12" x14ac:dyDescent="0.2">
      <c r="A68" s="166" t="s">
        <v>104</v>
      </c>
      <c r="B68" s="66" t="s">
        <v>57</v>
      </c>
      <c r="C68" s="66"/>
      <c r="D68" s="8"/>
      <c r="E68" s="8"/>
      <c r="F68" s="8"/>
      <c r="G68" s="8"/>
      <c r="H68" s="8"/>
      <c r="I68" s="8"/>
      <c r="J68" s="8"/>
      <c r="K68" s="8"/>
      <c r="L68" s="8"/>
      <c r="M68" s="214">
        <v>2.1760999999999999</v>
      </c>
      <c r="N68" s="168">
        <f>N67*(Assumptions!$N$116/'RKA P&amp;L'!N3)</f>
        <v>3.0468548717230708</v>
      </c>
      <c r="O68" s="168">
        <f>O67*(Assumptions!$N$116/'RKA P&amp;L'!O3)</f>
        <v>3.0468548717230708</v>
      </c>
      <c r="P68" s="168">
        <f>P67*(Assumptions!$N$116/'RKA P&amp;L'!P3)</f>
        <v>3.0468548717230708</v>
      </c>
      <c r="Q68" s="168">
        <f>Q67*(Assumptions!$N$116/'RKA P&amp;L'!Q3)</f>
        <v>3.0468548717230708</v>
      </c>
      <c r="R68" s="168">
        <f>R67*(Assumptions!$N$116/'RKA P&amp;L'!R3)</f>
        <v>3.0468548717230708</v>
      </c>
      <c r="S68" s="168">
        <f>S67*(Assumptions!$N$116/'RKA P&amp;L'!S3)</f>
        <v>3.0468548717230708</v>
      </c>
      <c r="T68" s="168">
        <f>T67*(Assumptions!$N$116/'RKA P&amp;L'!T3)</f>
        <v>3.0468548717230708</v>
      </c>
      <c r="U68" s="168">
        <f>U67*(Assumptions!$N$116/'RKA P&amp;L'!U3)</f>
        <v>3.0468548717230708</v>
      </c>
      <c r="V68" s="168">
        <f>V67*(Assumptions!$N$116/'RKA P&amp;L'!V3)</f>
        <v>3.0468548717230708</v>
      </c>
      <c r="W68" s="168">
        <f>W67*(Assumptions!$N$116/'RKA P&amp;L'!W3)</f>
        <v>2.9093614208330409</v>
      </c>
      <c r="X68" s="168">
        <f>X67*(Assumptions!$N$116/'RKA P&amp;L'!X3)</f>
        <v>2.8808740137048141</v>
      </c>
      <c r="Y68" s="168">
        <f>Y67*(Assumptions!$N$116/'RKA P&amp;L'!Y3)</f>
        <v>2.8808740137048141</v>
      </c>
      <c r="Z68" s="168">
        <f>Z67*(Assumptions!$N$116/'RKA P&amp;L'!Z3)</f>
        <v>2.8808740137048141</v>
      </c>
      <c r="AA68" s="168">
        <f>AA67*(Assumptions!$N$116/'RKA P&amp;L'!AA3)</f>
        <v>2.8808740137048141</v>
      </c>
      <c r="AB68" s="168">
        <f>AB67*(Assumptions!$N$116/'RKA P&amp;L'!AB3)</f>
        <v>2.8808740137048141</v>
      </c>
    </row>
    <row r="69" spans="1:28" s="5" customFormat="1" ht="12" x14ac:dyDescent="0.2">
      <c r="A69" s="164" t="s">
        <v>198</v>
      </c>
      <c r="B69" s="66" t="s">
        <v>57</v>
      </c>
      <c r="C69" s="66"/>
      <c r="D69" s="8"/>
      <c r="E69" s="8"/>
      <c r="F69" s="8"/>
      <c r="G69" s="8"/>
      <c r="H69" s="8"/>
      <c r="I69" s="8"/>
      <c r="J69" s="8"/>
      <c r="K69" s="8"/>
      <c r="L69" s="8"/>
      <c r="M69" s="8"/>
      <c r="N69" s="165">
        <f t="shared" ref="N69:AA69" si="33">+N66+N67-N68</f>
        <v>56.256714809224533</v>
      </c>
      <c r="O69" s="165">
        <f t="shared" si="33"/>
        <v>57.283983296511849</v>
      </c>
      <c r="P69" s="165">
        <f t="shared" si="33"/>
        <v>57.127469680947605</v>
      </c>
      <c r="Q69" s="165">
        <f t="shared" si="33"/>
        <v>57.127469680947605</v>
      </c>
      <c r="R69" s="165">
        <f t="shared" si="33"/>
        <v>57.127469680947605</v>
      </c>
      <c r="S69" s="165">
        <f t="shared" si="33"/>
        <v>57.283983296511849</v>
      </c>
      <c r="T69" s="165">
        <f t="shared" si="33"/>
        <v>57.127469680947605</v>
      </c>
      <c r="U69" s="165">
        <f t="shared" si="33"/>
        <v>57.127469680947605</v>
      </c>
      <c r="V69" s="165">
        <f t="shared" si="33"/>
        <v>57.127469680947605</v>
      </c>
      <c r="W69" s="165">
        <f t="shared" si="33"/>
        <v>54.836459450627878</v>
      </c>
      <c r="X69" s="165">
        <f t="shared" si="33"/>
        <v>54.043873699380242</v>
      </c>
      <c r="Y69" s="165">
        <f t="shared" si="33"/>
        <v>54.01538629225201</v>
      </c>
      <c r="Z69" s="165">
        <f t="shared" si="33"/>
        <v>54.01538629225201</v>
      </c>
      <c r="AA69" s="165">
        <f t="shared" si="33"/>
        <v>54.163373651956803</v>
      </c>
      <c r="AB69" s="165">
        <f t="shared" ref="AB69" si="34">+AB66+AB67-AB68</f>
        <v>27.081686825978402</v>
      </c>
    </row>
    <row r="70" spans="1:28" s="5" customFormat="1" ht="12" x14ac:dyDescent="0.2">
      <c r="B70" s="120"/>
      <c r="C70" s="120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</row>
    <row r="71" spans="1:28" s="5" customFormat="1" x14ac:dyDescent="0.25">
      <c r="A71" s="8" t="s">
        <v>259</v>
      </c>
      <c r="B71" s="66" t="s">
        <v>57</v>
      </c>
      <c r="C71" s="66"/>
      <c r="D71" s="8"/>
      <c r="E71" s="8"/>
      <c r="F71" s="8"/>
      <c r="G71" s="8"/>
      <c r="H71" s="8"/>
      <c r="I71" s="8"/>
      <c r="J71" s="178"/>
      <c r="K71"/>
      <c r="L71"/>
      <c r="M71" s="178">
        <v>0.36699999999999999</v>
      </c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</row>
    <row r="72" spans="1:28" s="5" customFormat="1" x14ac:dyDescent="0.25">
      <c r="B72" s="120"/>
      <c r="C72" s="120"/>
      <c r="J72" s="16"/>
      <c r="K72"/>
      <c r="L72"/>
      <c r="M72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</row>
    <row r="73" spans="1:28" s="5" customFormat="1" x14ac:dyDescent="0.25">
      <c r="A73" s="8" t="s">
        <v>215</v>
      </c>
      <c r="B73" s="66" t="s">
        <v>57</v>
      </c>
      <c r="C73" s="66"/>
      <c r="D73" s="8"/>
      <c r="E73" s="8"/>
      <c r="F73" s="8"/>
      <c r="G73" s="8"/>
      <c r="H73" s="8"/>
      <c r="I73" s="8"/>
      <c r="J73" s="178"/>
      <c r="K73"/>
      <c r="L73"/>
      <c r="M73" s="178">
        <v>0.74980000000000002</v>
      </c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</row>
    <row r="74" spans="1:28" s="5" customFormat="1" ht="12" x14ac:dyDescent="0.2">
      <c r="B74" s="120"/>
      <c r="C74" s="120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</row>
    <row r="75" spans="1:28" s="5" customFormat="1" ht="12" x14ac:dyDescent="0.2">
      <c r="A75" s="32" t="s">
        <v>282</v>
      </c>
      <c r="B75" s="120"/>
      <c r="C75" s="120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</row>
    <row r="76" spans="1:28" s="5" customFormat="1" ht="12" x14ac:dyDescent="0.2">
      <c r="A76" s="164" t="s">
        <v>197</v>
      </c>
      <c r="B76" s="66" t="s">
        <v>57</v>
      </c>
      <c r="C76" s="66"/>
      <c r="D76" s="8"/>
      <c r="E76" s="8"/>
      <c r="F76" s="8"/>
      <c r="G76" s="8"/>
      <c r="H76" s="8"/>
      <c r="I76" s="8"/>
      <c r="J76" s="8"/>
      <c r="K76" s="8"/>
      <c r="L76" s="8"/>
      <c r="M76" s="8"/>
      <c r="N76" s="165">
        <f t="shared" ref="N76:AB76" si="35">M78</f>
        <v>2.7808999999999999</v>
      </c>
      <c r="O76" s="165">
        <f t="shared" si="35"/>
        <v>1.1037210690601802</v>
      </c>
      <c r="P76" s="165">
        <f t="shared" si="35"/>
        <v>1.1429725265325499</v>
      </c>
      <c r="Q76" s="165">
        <f t="shared" si="35"/>
        <v>1.1901143501035953</v>
      </c>
      <c r="R76" s="165">
        <f t="shared" si="35"/>
        <v>1.2358147411475733</v>
      </c>
      <c r="S76" s="165">
        <f t="shared" si="35"/>
        <v>1.2832700272076403</v>
      </c>
      <c r="T76" s="165">
        <f t="shared" si="35"/>
        <v>1.3289067558254946</v>
      </c>
      <c r="U76" s="165">
        <f t="shared" si="35"/>
        <v>1.3837174239485064</v>
      </c>
      <c r="V76" s="165">
        <f t="shared" si="35"/>
        <v>1.436852173028129</v>
      </c>
      <c r="W76" s="165">
        <f t="shared" si="35"/>
        <v>1.4920272964724091</v>
      </c>
      <c r="X76" s="165">
        <f t="shared" si="35"/>
        <v>1.5450880267753733</v>
      </c>
      <c r="Y76" s="165">
        <f t="shared" si="35"/>
        <v>1.6088150766117766</v>
      </c>
      <c r="Z76" s="165">
        <f t="shared" si="35"/>
        <v>1.6705935755536689</v>
      </c>
      <c r="AA76" s="165">
        <f t="shared" si="35"/>
        <v>1.7347443688549296</v>
      </c>
      <c r="AB76" s="165">
        <f t="shared" si="35"/>
        <v>1.7964368079396722</v>
      </c>
    </row>
    <row r="77" spans="1:28" s="5" customFormat="1" ht="12" x14ac:dyDescent="0.2">
      <c r="A77" s="164" t="s">
        <v>42</v>
      </c>
      <c r="B77" s="66" t="s">
        <v>57</v>
      </c>
      <c r="C77" s="66"/>
      <c r="D77" s="8"/>
      <c r="E77" s="8"/>
      <c r="F77" s="8"/>
      <c r="G77" s="8"/>
      <c r="H77" s="8"/>
      <c r="I77" s="8"/>
      <c r="J77" s="8"/>
      <c r="K77" s="8"/>
      <c r="L77" s="8"/>
      <c r="M77" s="8"/>
      <c r="N77" s="165">
        <f>N36</f>
        <v>9.6407825066666675</v>
      </c>
      <c r="O77" s="165">
        <f>O36</f>
        <v>10.010988554922667</v>
      </c>
      <c r="P77" s="165">
        <f>P36</f>
        <v>10.395410515431697</v>
      </c>
      <c r="Q77" s="165">
        <f>Q36</f>
        <v>10.794594279224274</v>
      </c>
      <c r="R77" s="165">
        <f>R36</f>
        <v>11.209106699546487</v>
      </c>
      <c r="S77" s="165">
        <f>S36</f>
        <v>11.639536396809072</v>
      </c>
      <c r="T77" s="165">
        <f>T36</f>
        <v>12.08649459444654</v>
      </c>
      <c r="U77" s="165">
        <f>U36</f>
        <v>12.550615986873288</v>
      </c>
      <c r="V77" s="165">
        <f>V36</f>
        <v>13.032559640769222</v>
      </c>
      <c r="W77" s="165">
        <f>W36</f>
        <v>13.53300993097476</v>
      </c>
      <c r="X77" s="165">
        <f>X36</f>
        <v>14.052677512324191</v>
      </c>
      <c r="Y77" s="165">
        <f>Y36</f>
        <v>14.592300328797441</v>
      </c>
      <c r="Z77" s="165">
        <f>Z36</f>
        <v>15.152644661423261</v>
      </c>
      <c r="AA77" s="165">
        <f>AA36</f>
        <v>15.734506216421915</v>
      </c>
      <c r="AB77" s="165">
        <f>AB36</f>
        <v>8.169355627566258</v>
      </c>
    </row>
    <row r="78" spans="1:28" s="5" customFormat="1" ht="12" x14ac:dyDescent="0.2">
      <c r="A78" s="166" t="s">
        <v>104</v>
      </c>
      <c r="B78" s="66" t="s">
        <v>57</v>
      </c>
      <c r="C78" s="66"/>
      <c r="D78" s="8"/>
      <c r="E78" s="8"/>
      <c r="F78" s="8"/>
      <c r="G78" s="8"/>
      <c r="H78" s="8"/>
      <c r="I78" s="8"/>
      <c r="J78" s="8"/>
      <c r="K78" s="8"/>
      <c r="L78" s="8"/>
      <c r="M78" s="214">
        <f>Assumptions!M119</f>
        <v>2.7808999999999999</v>
      </c>
      <c r="N78" s="168">
        <f>N77*(Assumptions!$N$121/N3)</f>
        <v>1.1037210690601802</v>
      </c>
      <c r="O78" s="168">
        <f>O77*(Assumptions!$N$121/O3)</f>
        <v>1.1429725265325499</v>
      </c>
      <c r="P78" s="168">
        <f>P77*(Assumptions!$N$121/P3)</f>
        <v>1.1901143501035953</v>
      </c>
      <c r="Q78" s="168">
        <f>Q77*(Assumptions!$N$121/Q3)</f>
        <v>1.2358147411475733</v>
      </c>
      <c r="R78" s="168">
        <f>R77*(Assumptions!$N$121/R3)</f>
        <v>1.2832700272076403</v>
      </c>
      <c r="S78" s="168">
        <f>S77*(Assumptions!$N$121/S3)</f>
        <v>1.3289067558254946</v>
      </c>
      <c r="T78" s="168">
        <f>T77*(Assumptions!$N$121/T3)</f>
        <v>1.3837174239485064</v>
      </c>
      <c r="U78" s="168">
        <f>U77*(Assumptions!$N$121/U3)</f>
        <v>1.436852173028129</v>
      </c>
      <c r="V78" s="168">
        <f>V77*(Assumptions!$N$121/V3)</f>
        <v>1.4920272964724091</v>
      </c>
      <c r="W78" s="168">
        <f>W77*(Assumptions!$N$121/W3)</f>
        <v>1.5450880267753733</v>
      </c>
      <c r="X78" s="168">
        <f>X77*(Assumptions!$N$121/X3)</f>
        <v>1.6088150766117766</v>
      </c>
      <c r="Y78" s="168">
        <f>Y77*(Assumptions!$N$121/Y3)</f>
        <v>1.6705935755536689</v>
      </c>
      <c r="Z78" s="168">
        <f>Z77*(Assumptions!$N$121/Z3)</f>
        <v>1.7347443688549296</v>
      </c>
      <c r="AA78" s="168">
        <f>AA77*(Assumptions!$N$121/AA3)</f>
        <v>1.7964368079396722</v>
      </c>
      <c r="AB78" s="168">
        <f>AB77*(Assumptions!$N$121/AB3)</f>
        <v>1.8654199813645556</v>
      </c>
    </row>
    <row r="79" spans="1:28" s="5" customFormat="1" ht="12" x14ac:dyDescent="0.2">
      <c r="A79" s="164" t="s">
        <v>283</v>
      </c>
      <c r="B79" s="66" t="s">
        <v>57</v>
      </c>
      <c r="C79" s="66"/>
      <c r="D79" s="8"/>
      <c r="E79" s="8"/>
      <c r="F79" s="8"/>
      <c r="G79" s="8"/>
      <c r="H79" s="8"/>
      <c r="I79" s="8"/>
      <c r="J79" s="8"/>
      <c r="K79" s="8"/>
      <c r="L79" s="8"/>
      <c r="M79" s="8"/>
      <c r="N79" s="165">
        <f t="shared" ref="N79:AB79" si="36">+N76+N77-N78</f>
        <v>11.317961437606487</v>
      </c>
      <c r="O79" s="165">
        <f t="shared" si="36"/>
        <v>9.9717370974502977</v>
      </c>
      <c r="P79" s="165">
        <f t="shared" si="36"/>
        <v>10.348268691860651</v>
      </c>
      <c r="Q79" s="165">
        <f t="shared" si="36"/>
        <v>10.748893888180296</v>
      </c>
      <c r="R79" s="165">
        <f t="shared" si="36"/>
        <v>11.161651413486419</v>
      </c>
      <c r="S79" s="165">
        <f t="shared" si="36"/>
        <v>11.593899668191218</v>
      </c>
      <c r="T79" s="165">
        <f t="shared" si="36"/>
        <v>12.031683926323527</v>
      </c>
      <c r="U79" s="165">
        <f t="shared" si="36"/>
        <v>12.497481237793664</v>
      </c>
      <c r="V79" s="165">
        <f t="shared" si="36"/>
        <v>12.977384517324941</v>
      </c>
      <c r="W79" s="165">
        <f t="shared" si="36"/>
        <v>13.479949200671797</v>
      </c>
      <c r="X79" s="165">
        <f t="shared" si="36"/>
        <v>13.988950462487788</v>
      </c>
      <c r="Y79" s="165">
        <f t="shared" si="36"/>
        <v>14.53052182985555</v>
      </c>
      <c r="Z79" s="165">
        <f t="shared" si="36"/>
        <v>15.088493868122001</v>
      </c>
      <c r="AA79" s="165">
        <f t="shared" si="36"/>
        <v>15.67281377733717</v>
      </c>
      <c r="AB79" s="165">
        <f t="shared" si="36"/>
        <v>8.1003724541413753</v>
      </c>
    </row>
    <row r="80" spans="1:28" s="5" customFormat="1" ht="12" x14ac:dyDescent="0.2">
      <c r="B80" s="120"/>
      <c r="C80" s="120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</row>
    <row r="81" spans="1:28" s="5" customFormat="1" ht="12" x14ac:dyDescent="0.2">
      <c r="A81" s="32" t="s">
        <v>131</v>
      </c>
      <c r="B81" s="120"/>
      <c r="C81" s="120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</row>
    <row r="82" spans="1:28" s="5" customFormat="1" ht="12" x14ac:dyDescent="0.2">
      <c r="A82" s="164" t="s">
        <v>197</v>
      </c>
      <c r="B82" s="66" t="s">
        <v>57</v>
      </c>
      <c r="C82" s="66"/>
      <c r="D82" s="8"/>
      <c r="E82" s="8"/>
      <c r="F82" s="8"/>
      <c r="G82" s="8"/>
      <c r="H82" s="8"/>
      <c r="I82" s="8"/>
      <c r="J82" s="8"/>
      <c r="K82" s="8"/>
      <c r="L82" s="8"/>
      <c r="M82" s="8"/>
      <c r="N82" s="165">
        <f t="shared" ref="N82:AB82" si="37">M84</f>
        <v>17.9665</v>
      </c>
      <c r="O82" s="165">
        <f t="shared" si="37"/>
        <v>16.60458602496033</v>
      </c>
      <c r="P82" s="165">
        <f t="shared" si="37"/>
        <v>17.195092286438154</v>
      </c>
      <c r="Q82" s="165">
        <f t="shared" si="37"/>
        <v>17.904302690046247</v>
      </c>
      <c r="R82" s="165">
        <f t="shared" si="37"/>
        <v>18.591827913344023</v>
      </c>
      <c r="S82" s="165">
        <f t="shared" si="37"/>
        <v>19.305754105216437</v>
      </c>
      <c r="T82" s="165">
        <f t="shared" si="37"/>
        <v>19.99232157907845</v>
      </c>
      <c r="U82" s="165">
        <f t="shared" si="37"/>
        <v>20.816903513270447</v>
      </c>
      <c r="V82" s="165">
        <f t="shared" si="37"/>
        <v>21.616272608180029</v>
      </c>
      <c r="W82" s="165">
        <f t="shared" si="37"/>
        <v>22.446337476334143</v>
      </c>
      <c r="X82" s="165">
        <f t="shared" si="37"/>
        <v>23.244593018935142</v>
      </c>
      <c r="Y82" s="165">
        <f t="shared" si="37"/>
        <v>24.203314665905712</v>
      </c>
      <c r="Z82" s="165">
        <f t="shared" si="37"/>
        <v>25.13272194907649</v>
      </c>
      <c r="AA82" s="165">
        <f t="shared" si="37"/>
        <v>26.097818471921027</v>
      </c>
      <c r="AB82" s="165">
        <f t="shared" si="37"/>
        <v>27.025931054518086</v>
      </c>
    </row>
    <row r="83" spans="1:28" s="5" customFormat="1" ht="12" x14ac:dyDescent="0.2">
      <c r="A83" s="164" t="s">
        <v>42</v>
      </c>
      <c r="B83" s="66" t="s">
        <v>57</v>
      </c>
      <c r="C83" s="66"/>
      <c r="D83" s="8"/>
      <c r="E83" s="8"/>
      <c r="F83" s="8"/>
      <c r="G83" s="8"/>
      <c r="H83" s="8"/>
      <c r="I83" s="8"/>
      <c r="J83" s="8"/>
      <c r="K83" s="8"/>
      <c r="L83" s="8"/>
      <c r="M83" s="8"/>
      <c r="N83" s="165">
        <f>N36</f>
        <v>9.6407825066666675</v>
      </c>
      <c r="O83" s="165">
        <f>O36</f>
        <v>10.010988554922667</v>
      </c>
      <c r="P83" s="165">
        <f>P36</f>
        <v>10.395410515431697</v>
      </c>
      <c r="Q83" s="165">
        <f>Q36</f>
        <v>10.794594279224274</v>
      </c>
      <c r="R83" s="165">
        <f>R36</f>
        <v>11.209106699546487</v>
      </c>
      <c r="S83" s="165">
        <f>S36</f>
        <v>11.639536396809072</v>
      </c>
      <c r="T83" s="165">
        <f>T36</f>
        <v>12.08649459444654</v>
      </c>
      <c r="U83" s="165">
        <f>U36</f>
        <v>12.550615986873288</v>
      </c>
      <c r="V83" s="165">
        <f>V36</f>
        <v>13.032559640769222</v>
      </c>
      <c r="W83" s="165">
        <f>W36</f>
        <v>13.53300993097476</v>
      </c>
      <c r="X83" s="165">
        <f>X36</f>
        <v>14.052677512324191</v>
      </c>
      <c r="Y83" s="165">
        <f>Y36</f>
        <v>14.592300328797441</v>
      </c>
      <c r="Z83" s="165">
        <f>Z36</f>
        <v>15.152644661423261</v>
      </c>
      <c r="AA83" s="165">
        <f>AA36</f>
        <v>15.734506216421915</v>
      </c>
      <c r="AB83" s="165">
        <f>AB36</f>
        <v>8.169355627566258</v>
      </c>
    </row>
    <row r="84" spans="1:28" s="5" customFormat="1" ht="12" x14ac:dyDescent="0.2">
      <c r="A84" s="166" t="s">
        <v>104</v>
      </c>
      <c r="B84" s="167" t="s">
        <v>57</v>
      </c>
      <c r="C84" s="66"/>
      <c r="D84" s="8"/>
      <c r="E84" s="8"/>
      <c r="F84" s="8"/>
      <c r="G84" s="8"/>
      <c r="H84" s="8"/>
      <c r="I84" s="8"/>
      <c r="J84" s="8"/>
      <c r="K84" s="8"/>
      <c r="L84" s="8"/>
      <c r="M84" s="214">
        <f>Assumptions!M124</f>
        <v>17.9665</v>
      </c>
      <c r="N84" s="168">
        <f>N83*(Assumptions!$N$126/'RKA P&amp;L'!N3)</f>
        <v>16.60458602496033</v>
      </c>
      <c r="O84" s="168">
        <f>O83*(Assumptions!$N$126/'RKA P&amp;L'!O3)</f>
        <v>17.195092286438154</v>
      </c>
      <c r="P84" s="168">
        <f>P83*(Assumptions!$N$126/'RKA P&amp;L'!P3)</f>
        <v>17.904302690046247</v>
      </c>
      <c r="Q84" s="168">
        <f>Q83*(Assumptions!$N$126/'RKA P&amp;L'!Q3)</f>
        <v>18.591827913344023</v>
      </c>
      <c r="R84" s="168">
        <f>R83*(Assumptions!$N$126/'RKA P&amp;L'!R3)</f>
        <v>19.305754105216437</v>
      </c>
      <c r="S84" s="168">
        <f>S83*(Assumptions!$N$126/'RKA P&amp;L'!S3)</f>
        <v>19.99232157907845</v>
      </c>
      <c r="T84" s="168">
        <f>T83*(Assumptions!$N$126/'RKA P&amp;L'!T3)</f>
        <v>20.816903513270447</v>
      </c>
      <c r="U84" s="168">
        <f>U83*(Assumptions!$N$126/'RKA P&amp;L'!U3)</f>
        <v>21.616272608180029</v>
      </c>
      <c r="V84" s="168">
        <f>V83*(Assumptions!$N$126/'RKA P&amp;L'!V3)</f>
        <v>22.446337476334143</v>
      </c>
      <c r="W84" s="168">
        <f>W83*(Assumptions!$N$126/'RKA P&amp;L'!W3)</f>
        <v>23.244593018935142</v>
      </c>
      <c r="X84" s="168">
        <f>X83*(Assumptions!$N$126/'RKA P&amp;L'!X3)</f>
        <v>24.203314665905712</v>
      </c>
      <c r="Y84" s="168">
        <f>Y83*(Assumptions!$N$126/'RKA P&amp;L'!Y3)</f>
        <v>25.13272194907649</v>
      </c>
      <c r="Z84" s="168">
        <f>Z83*(Assumptions!$N$126/'RKA P&amp;L'!Z3)</f>
        <v>26.097818471921027</v>
      </c>
      <c r="AA84" s="168">
        <f>AA83*(Assumptions!$N$126/'RKA P&amp;L'!AA3)</f>
        <v>27.025931054518086</v>
      </c>
      <c r="AB84" s="168">
        <f>AB83*(Assumptions!$N$126/'RKA P&amp;L'!AB3)</f>
        <v>28.06372680701158</v>
      </c>
    </row>
    <row r="85" spans="1:28" s="5" customFormat="1" ht="12" x14ac:dyDescent="0.2">
      <c r="A85" s="8" t="s">
        <v>199</v>
      </c>
      <c r="B85" s="66" t="s">
        <v>57</v>
      </c>
      <c r="C85" s="66"/>
      <c r="D85" s="8"/>
      <c r="E85" s="8"/>
      <c r="F85" s="8"/>
      <c r="G85" s="8"/>
      <c r="H85" s="8"/>
      <c r="I85" s="8"/>
      <c r="J85" s="8"/>
      <c r="K85" s="8"/>
      <c r="L85" s="8"/>
      <c r="M85" s="8"/>
      <c r="N85" s="165">
        <f t="shared" ref="N85:AA85" si="38">+N82+N83-N84</f>
        <v>11.002696481706337</v>
      </c>
      <c r="O85" s="165">
        <f t="shared" si="38"/>
        <v>9.4204822934448416</v>
      </c>
      <c r="P85" s="165">
        <f t="shared" si="38"/>
        <v>9.6862001118236059</v>
      </c>
      <c r="Q85" s="165">
        <f t="shared" si="38"/>
        <v>10.107069055926498</v>
      </c>
      <c r="R85" s="165">
        <f t="shared" si="38"/>
        <v>10.495180507674071</v>
      </c>
      <c r="S85" s="165">
        <f t="shared" si="38"/>
        <v>10.952968922947058</v>
      </c>
      <c r="T85" s="165">
        <f t="shared" si="38"/>
        <v>11.261912660254545</v>
      </c>
      <c r="U85" s="165">
        <f t="shared" si="38"/>
        <v>11.751246891963707</v>
      </c>
      <c r="V85" s="165">
        <f t="shared" si="38"/>
        <v>12.202494772615104</v>
      </c>
      <c r="W85" s="165">
        <f t="shared" si="38"/>
        <v>12.734754388373766</v>
      </c>
      <c r="X85" s="165">
        <f t="shared" si="38"/>
        <v>13.093955865353617</v>
      </c>
      <c r="Y85" s="165">
        <f t="shared" si="38"/>
        <v>13.66289304562666</v>
      </c>
      <c r="Z85" s="165">
        <f t="shared" si="38"/>
        <v>14.187548138578723</v>
      </c>
      <c r="AA85" s="165">
        <f t="shared" si="38"/>
        <v>14.806393633824857</v>
      </c>
      <c r="AB85" s="165">
        <f t="shared" ref="AB85" si="39">+AB82+AB83-AB84</f>
        <v>7.1315598750727638</v>
      </c>
    </row>
    <row r="86" spans="1:28" s="5" customFormat="1" ht="12" x14ac:dyDescent="0.2">
      <c r="B86" s="120"/>
      <c r="C86" s="120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</row>
    <row r="87" spans="1:28" s="5" customFormat="1" ht="12" x14ac:dyDescent="0.2">
      <c r="A87" s="8" t="s">
        <v>260</v>
      </c>
      <c r="B87" s="66" t="s">
        <v>57</v>
      </c>
      <c r="C87" s="66"/>
      <c r="D87" s="8"/>
      <c r="E87" s="8"/>
      <c r="F87" s="8"/>
      <c r="G87" s="8"/>
      <c r="H87" s="8"/>
      <c r="I87" s="8"/>
      <c r="J87" s="7"/>
      <c r="K87" s="133"/>
      <c r="L87" s="133"/>
      <c r="M87" s="178">
        <v>14.194000000000001</v>
      </c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</row>
    <row r="88" spans="1:28" s="5" customFormat="1" ht="12" x14ac:dyDescent="0.2">
      <c r="B88" s="120"/>
      <c r="C88" s="120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</row>
    <row r="89" spans="1:28" s="5" customFormat="1" ht="12" x14ac:dyDescent="0.2">
      <c r="A89" s="32" t="s">
        <v>200</v>
      </c>
      <c r="B89" s="167" t="s">
        <v>57</v>
      </c>
      <c r="C89" s="66"/>
      <c r="D89" s="8"/>
      <c r="E89" s="8"/>
      <c r="F89" s="8"/>
      <c r="G89" s="8"/>
      <c r="H89" s="8"/>
      <c r="I89" s="8"/>
      <c r="J89" s="8"/>
      <c r="K89" s="8"/>
      <c r="L89" s="8"/>
      <c r="M89" s="178">
        <f>M68+M71+M73+M78-M84-M87</f>
        <v>-26.0867</v>
      </c>
      <c r="N89" s="178">
        <f t="shared" ref="N89:AB89" si="40">N68+N71+N73+N78-N84-N87</f>
        <v>-12.454010084177078</v>
      </c>
      <c r="O89" s="178">
        <f t="shared" si="40"/>
        <v>-13.005264888182534</v>
      </c>
      <c r="P89" s="178">
        <f t="shared" si="40"/>
        <v>-13.667333468219582</v>
      </c>
      <c r="Q89" s="178">
        <f t="shared" si="40"/>
        <v>-14.309158300473378</v>
      </c>
      <c r="R89" s="178">
        <f t="shared" si="40"/>
        <v>-14.975629206285726</v>
      </c>
      <c r="S89" s="178">
        <f t="shared" si="40"/>
        <v>-15.616559951529885</v>
      </c>
      <c r="T89" s="178">
        <f t="shared" si="40"/>
        <v>-16.386331217598869</v>
      </c>
      <c r="U89" s="178">
        <f t="shared" si="40"/>
        <v>-17.13256556342883</v>
      </c>
      <c r="V89" s="178">
        <f t="shared" si="40"/>
        <v>-17.907455308138665</v>
      </c>
      <c r="W89" s="178">
        <f t="shared" si="40"/>
        <v>-18.790143571326727</v>
      </c>
      <c r="X89" s="178">
        <f t="shared" si="40"/>
        <v>-19.71362557558912</v>
      </c>
      <c r="Y89" s="178">
        <f t="shared" si="40"/>
        <v>-20.581254359818008</v>
      </c>
      <c r="Z89" s="178">
        <f t="shared" si="40"/>
        <v>-21.482200089361285</v>
      </c>
      <c r="AA89" s="178">
        <f t="shared" si="40"/>
        <v>-22.3486202328736</v>
      </c>
      <c r="AB89" s="178">
        <f t="shared" si="40"/>
        <v>-23.317432811942211</v>
      </c>
    </row>
    <row r="90" spans="1:28" s="5" customFormat="1" ht="12" x14ac:dyDescent="0.2">
      <c r="B90" s="120"/>
      <c r="C90" s="120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</row>
    <row r="91" spans="1:28" s="5" customFormat="1" ht="12" x14ac:dyDescent="0.2">
      <c r="A91" s="32" t="s">
        <v>201</v>
      </c>
      <c r="B91" s="167" t="s">
        <v>57</v>
      </c>
      <c r="C91" s="66"/>
      <c r="D91" s="8"/>
      <c r="E91" s="8"/>
      <c r="F91" s="8"/>
      <c r="G91" s="8"/>
      <c r="H91" s="8"/>
      <c r="I91" s="8"/>
      <c r="J91" s="8"/>
      <c r="K91" s="8"/>
      <c r="L91" s="8"/>
      <c r="M91" s="168"/>
      <c r="N91" s="168">
        <f t="shared" ref="N91:AB91" si="41">+N89-M89</f>
        <v>13.632689915822922</v>
      </c>
      <c r="O91" s="168">
        <f t="shared" si="41"/>
        <v>-0.55125480400545612</v>
      </c>
      <c r="P91" s="168">
        <f t="shared" si="41"/>
        <v>-0.66206858003704738</v>
      </c>
      <c r="Q91" s="168">
        <f t="shared" si="41"/>
        <v>-0.64182483225379627</v>
      </c>
      <c r="R91" s="168">
        <f t="shared" si="41"/>
        <v>-0.66647090581234814</v>
      </c>
      <c r="S91" s="168">
        <f t="shared" si="41"/>
        <v>-0.64093074524415883</v>
      </c>
      <c r="T91" s="168">
        <f t="shared" si="41"/>
        <v>-0.76977126606898416</v>
      </c>
      <c r="U91" s="168">
        <f t="shared" si="41"/>
        <v>-0.7462343458299614</v>
      </c>
      <c r="V91" s="168">
        <f t="shared" si="41"/>
        <v>-0.77488974470983507</v>
      </c>
      <c r="W91" s="168">
        <f t="shared" si="41"/>
        <v>-0.88268826318806148</v>
      </c>
      <c r="X91" s="168">
        <f t="shared" si="41"/>
        <v>-0.92348200426239302</v>
      </c>
      <c r="Y91" s="168">
        <f t="shared" si="41"/>
        <v>-0.86762878422888789</v>
      </c>
      <c r="Z91" s="168">
        <f t="shared" si="41"/>
        <v>-0.90094572954327745</v>
      </c>
      <c r="AA91" s="168">
        <f t="shared" si="41"/>
        <v>-0.86642014351231467</v>
      </c>
      <c r="AB91" s="168">
        <f t="shared" si="41"/>
        <v>-0.96881257906861151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0AC-1EFA-4794-8D9B-69CCA0D84F6D}">
  <dimension ref="A1:S59"/>
  <sheetViews>
    <sheetView tabSelected="1" topLeftCell="A40" zoomScale="93" zoomScaleNormal="93" workbookViewId="0">
      <selection activeCell="M5" sqref="M5:S20"/>
    </sheetView>
  </sheetViews>
  <sheetFormatPr defaultColWidth="15" defaultRowHeight="12" outlineLevelRow="1" outlineLevelCol="1" x14ac:dyDescent="0.2"/>
  <cols>
    <col min="1" max="1" width="29" style="5" bestFit="1" customWidth="1"/>
    <col min="2" max="2" width="11.85546875" style="5" bestFit="1" customWidth="1"/>
    <col min="3" max="3" width="24.28515625" style="5" bestFit="1" customWidth="1"/>
    <col min="4" max="4" width="24.7109375" style="5" bestFit="1" customWidth="1"/>
    <col min="5" max="5" width="8.5703125" style="5" bestFit="1" customWidth="1" outlineLevel="1"/>
    <col min="6" max="11" width="8.7109375" style="5" bestFit="1" customWidth="1" outlineLevel="1"/>
    <col min="12" max="18" width="8.7109375" style="5" bestFit="1" customWidth="1"/>
    <col min="19" max="19" width="9.140625" style="5" bestFit="1" customWidth="1"/>
    <col min="20" max="16384" width="15" style="5"/>
  </cols>
  <sheetData>
    <row r="1" spans="4:19" x14ac:dyDescent="0.2">
      <c r="E1" s="5">
        <f>[96]Assumptions!N2</f>
        <v>365</v>
      </c>
      <c r="F1" s="5">
        <f>[96]Assumptions!O2</f>
        <v>366</v>
      </c>
      <c r="G1" s="5">
        <f>[96]Assumptions!P2</f>
        <v>365</v>
      </c>
      <c r="H1" s="5">
        <f>[96]Assumptions!Q2</f>
        <v>365</v>
      </c>
      <c r="I1" s="5">
        <f>[96]Assumptions!R2</f>
        <v>365</v>
      </c>
      <c r="J1" s="5">
        <f>[96]Assumptions!S2</f>
        <v>366</v>
      </c>
      <c r="K1" s="5">
        <f>[96]Assumptions!T2</f>
        <v>365</v>
      </c>
      <c r="L1" s="5">
        <f>[96]Assumptions!U2</f>
        <v>365</v>
      </c>
      <c r="M1" s="5">
        <f>[96]Assumptions!V2</f>
        <v>365</v>
      </c>
      <c r="N1" s="5">
        <f>[96]Assumptions!W2</f>
        <v>366</v>
      </c>
      <c r="O1" s="5">
        <f>[96]Assumptions!X2</f>
        <v>365</v>
      </c>
      <c r="P1" s="5">
        <f>[96]Assumptions!Y2</f>
        <v>365</v>
      </c>
      <c r="Q1" s="5">
        <f>[96]Assumptions!Z2</f>
        <v>365</v>
      </c>
      <c r="R1" s="5">
        <f>[96]Assumptions!AA2</f>
        <v>366</v>
      </c>
      <c r="S1" s="5">
        <f>[96]Assumptions!AB2</f>
        <v>365</v>
      </c>
    </row>
    <row r="2" spans="4:19" x14ac:dyDescent="0.2">
      <c r="E2" s="5">
        <f>[96]Assumptions!N1</f>
        <v>10</v>
      </c>
      <c r="F2" s="5">
        <f>[96]Assumptions!O1</f>
        <v>11</v>
      </c>
      <c r="G2" s="5">
        <f>[96]Assumptions!P1</f>
        <v>12</v>
      </c>
      <c r="H2" s="5">
        <f>[96]Assumptions!Q1</f>
        <v>13</v>
      </c>
      <c r="I2" s="5">
        <f>[96]Assumptions!R1</f>
        <v>14</v>
      </c>
      <c r="J2" s="5">
        <f>[96]Assumptions!S1</f>
        <v>15</v>
      </c>
      <c r="K2" s="5">
        <f>[96]Assumptions!T1</f>
        <v>16</v>
      </c>
      <c r="L2" s="5">
        <f>[96]Assumptions!U1</f>
        <v>17</v>
      </c>
      <c r="M2" s="5">
        <f>[96]Assumptions!V1</f>
        <v>18</v>
      </c>
      <c r="N2" s="5">
        <f>[96]Assumptions!W1</f>
        <v>19</v>
      </c>
      <c r="O2" s="5">
        <f>[96]Assumptions!X1</f>
        <v>20</v>
      </c>
      <c r="P2" s="5">
        <f>[96]Assumptions!Y1</f>
        <v>21</v>
      </c>
      <c r="Q2" s="5">
        <f>[96]Assumptions!Z1</f>
        <v>22</v>
      </c>
      <c r="R2" s="5">
        <f>[96]Assumptions!AA1</f>
        <v>23</v>
      </c>
      <c r="S2" s="5">
        <f>[96]Assumptions!AB1</f>
        <v>24</v>
      </c>
    </row>
    <row r="3" spans="4:19" x14ac:dyDescent="0.2">
      <c r="D3" s="232" t="s">
        <v>166</v>
      </c>
      <c r="E3" s="159">
        <f>Assumptions!N4</f>
        <v>45016</v>
      </c>
      <c r="F3" s="159">
        <f>Assumptions!O4</f>
        <v>45382</v>
      </c>
      <c r="G3" s="159">
        <f>Assumptions!P4</f>
        <v>45747</v>
      </c>
      <c r="H3" s="159">
        <f>Assumptions!Q4</f>
        <v>46112</v>
      </c>
      <c r="I3" s="159">
        <f>Assumptions!R4</f>
        <v>46477</v>
      </c>
      <c r="J3" s="159">
        <f>Assumptions!S4</f>
        <v>46843</v>
      </c>
      <c r="K3" s="159">
        <f>Assumptions!T4</f>
        <v>47208</v>
      </c>
      <c r="L3" s="159">
        <f>Assumptions!U4</f>
        <v>47573</v>
      </c>
      <c r="M3" s="159">
        <f>Assumptions!V4</f>
        <v>47938</v>
      </c>
      <c r="N3" s="159">
        <f>Assumptions!W4</f>
        <v>48304</v>
      </c>
      <c r="O3" s="159">
        <f>Assumptions!X4</f>
        <v>48669</v>
      </c>
      <c r="P3" s="159">
        <f>Assumptions!Y4</f>
        <v>49034</v>
      </c>
      <c r="Q3" s="159">
        <f>Assumptions!Z4</f>
        <v>49399</v>
      </c>
      <c r="R3" s="159">
        <f>Assumptions!AA4</f>
        <v>49765</v>
      </c>
      <c r="S3" s="159">
        <f>Assumptions!AB4</f>
        <v>50130</v>
      </c>
    </row>
    <row r="4" spans="4:19" x14ac:dyDescent="0.2">
      <c r="D4" s="232"/>
      <c r="E4" s="177" t="s">
        <v>167</v>
      </c>
      <c r="F4" s="177" t="s">
        <v>167</v>
      </c>
      <c r="G4" s="177" t="s">
        <v>167</v>
      </c>
      <c r="H4" s="177" t="s">
        <v>167</v>
      </c>
      <c r="I4" s="177" t="s">
        <v>167</v>
      </c>
      <c r="J4" s="177" t="s">
        <v>167</v>
      </c>
      <c r="K4" s="177" t="s">
        <v>167</v>
      </c>
      <c r="L4" s="177" t="s">
        <v>167</v>
      </c>
      <c r="M4" s="177" t="s">
        <v>167</v>
      </c>
      <c r="N4" s="177" t="s">
        <v>167</v>
      </c>
      <c r="O4" s="177" t="s">
        <v>167</v>
      </c>
      <c r="P4" s="177" t="s">
        <v>167</v>
      </c>
      <c r="Q4" s="177" t="s">
        <v>167</v>
      </c>
      <c r="R4" s="177" t="s">
        <v>167</v>
      </c>
      <c r="S4" s="177" t="s">
        <v>167</v>
      </c>
    </row>
    <row r="5" spans="4:19" ht="15" x14ac:dyDescent="0.2">
      <c r="D5" s="7" t="s">
        <v>168</v>
      </c>
      <c r="E5" s="223">
        <f>'RKA P&amp;L'!N34</f>
        <v>78.852486992633104</v>
      </c>
      <c r="F5" s="223">
        <f>'RKA P&amp;L'!O34</f>
        <v>79.009235378620687</v>
      </c>
      <c r="G5" s="223">
        <f>'RKA P&amp;L'!P34</f>
        <v>78.852486992633104</v>
      </c>
      <c r="H5" s="223">
        <f>'RKA P&amp;L'!Q34</f>
        <v>78.852486992633104</v>
      </c>
      <c r="I5" s="223">
        <f>'RKA P&amp;L'!R34</f>
        <v>78.852486992633104</v>
      </c>
      <c r="J5" s="223">
        <f>'RKA P&amp;L'!S34</f>
        <v>79.009235378620687</v>
      </c>
      <c r="K5" s="223">
        <f>'RKA P&amp;L'!T34</f>
        <v>78.852486992633104</v>
      </c>
      <c r="L5" s="223">
        <f>'RKA P&amp;L'!U34</f>
        <v>78.852486992633104</v>
      </c>
      <c r="M5" s="223">
        <f>'RKA P&amp;L'!V34</f>
        <v>78.852486992633104</v>
      </c>
      <c r="N5" s="223">
        <f>'RKA P&amp;L'!W34</f>
        <v>76.420340555901518</v>
      </c>
      <c r="O5" s="223">
        <f>'RKA P&amp;L'!X34</f>
        <v>75.735735478854465</v>
      </c>
      <c r="P5" s="223">
        <f>'RKA P&amp;L'!Y34</f>
        <v>75.735735478854465</v>
      </c>
      <c r="Q5" s="223">
        <f>'RKA P&amp;L'!Z34</f>
        <v>75.735735478854465</v>
      </c>
      <c r="R5" s="223">
        <f>'RKA P&amp;L'!AA34</f>
        <v>75.883944819598824</v>
      </c>
      <c r="S5" s="223">
        <f>'RKA P&amp;L'!AB34</f>
        <v>43.159293134250014</v>
      </c>
    </row>
    <row r="6" spans="4:19" x14ac:dyDescent="0.2">
      <c r="D6" s="139" t="s">
        <v>169</v>
      </c>
      <c r="E6" s="221"/>
      <c r="F6" s="221">
        <f t="shared" ref="F6:S6" si="0">F5/E5-1</f>
        <v>1.9878686388450362E-3</v>
      </c>
      <c r="G6" s="221">
        <f t="shared" si="0"/>
        <v>-1.9839248568401802E-3</v>
      </c>
      <c r="H6" s="221">
        <f t="shared" si="0"/>
        <v>0</v>
      </c>
      <c r="I6" s="221">
        <f t="shared" si="0"/>
        <v>0</v>
      </c>
      <c r="J6" s="221">
        <f t="shared" si="0"/>
        <v>1.9878686388450362E-3</v>
      </c>
      <c r="K6" s="221">
        <f t="shared" si="0"/>
        <v>-1.9839248568401802E-3</v>
      </c>
      <c r="L6" s="221">
        <f t="shared" si="0"/>
        <v>0</v>
      </c>
      <c r="M6" s="221">
        <f t="shared" si="0"/>
        <v>0</v>
      </c>
      <c r="N6" s="221">
        <f t="shared" si="0"/>
        <v>-3.0844257796952101E-2</v>
      </c>
      <c r="O6" s="221">
        <f t="shared" si="0"/>
        <v>-8.9584143706643582E-3</v>
      </c>
      <c r="P6" s="221">
        <f t="shared" si="0"/>
        <v>0</v>
      </c>
      <c r="Q6" s="221">
        <f t="shared" si="0"/>
        <v>0</v>
      </c>
      <c r="R6" s="221">
        <f t="shared" si="0"/>
        <v>1.956927463729885E-3</v>
      </c>
      <c r="S6" s="221">
        <f t="shared" si="0"/>
        <v>-0.4312460529450084</v>
      </c>
    </row>
    <row r="7" spans="4:19" ht="15" x14ac:dyDescent="0.2">
      <c r="D7" s="7" t="s">
        <v>170</v>
      </c>
      <c r="E7" s="223">
        <f>'RKA P&amp;L'!N40</f>
        <v>57.839399485966439</v>
      </c>
      <c r="F7" s="223">
        <f>'RKA P&amp;L'!O40</f>
        <v>57.05732657369802</v>
      </c>
      <c r="G7" s="223">
        <f>'RKA P&amp;L'!P40</f>
        <v>55.919110214701405</v>
      </c>
      <c r="H7" s="223">
        <f>'RKA P&amp;L'!Q40</f>
        <v>54.89302813778383</v>
      </c>
      <c r="I7" s="223">
        <f>'RKA P&amp;L'!R40</f>
        <v>53.820272488680359</v>
      </c>
      <c r="J7" s="223">
        <f>'RKA P&amp;L'!S40</f>
        <v>52.855435787185044</v>
      </c>
      <c r="K7" s="223">
        <f>'RKA P&amp;L'!T40</f>
        <v>51.526016043828669</v>
      </c>
      <c r="L7" s="223">
        <f>'RKA P&amp;L'!U40</f>
        <v>50.299895833684026</v>
      </c>
      <c r="M7" s="223">
        <f>'RKA P&amp;L'!V40</f>
        <v>49.017853421184299</v>
      </c>
      <c r="N7" s="223">
        <f>'RKA P&amp;L'!W40</f>
        <v>45.245152997713198</v>
      </c>
      <c r="O7" s="223">
        <f>'RKA P&amp;L'!X40</f>
        <v>43.158771457956036</v>
      </c>
      <c r="P7" s="223">
        <f>'RKA P&amp;L'!Y40</f>
        <v>41.692934316054071</v>
      </c>
      <c r="Q7" s="223">
        <f>'RKA P&amp;L'!Z40</f>
        <v>40.160064941728102</v>
      </c>
      <c r="R7" s="223">
        <f>'RKA P&amp;L'!AA40</f>
        <v>38.705261433688648</v>
      </c>
      <c r="S7" s="223">
        <f>'RKA P&amp;L'!AB40</f>
        <v>23.731744492702418</v>
      </c>
    </row>
    <row r="8" spans="4:19" x14ac:dyDescent="0.2">
      <c r="D8" s="139" t="s">
        <v>171</v>
      </c>
      <c r="E8" s="221">
        <f t="shared" ref="E8:R8" si="1">E7/E$5</f>
        <v>0.73351395361024141</v>
      </c>
      <c r="F8" s="221">
        <f t="shared" si="1"/>
        <v>0.72216021709706746</v>
      </c>
      <c r="G8" s="221">
        <f t="shared" si="1"/>
        <v>0.70916102138827553</v>
      </c>
      <c r="H8" s="221">
        <f t="shared" si="1"/>
        <v>0.69614834270112858</v>
      </c>
      <c r="I8" s="221">
        <f t="shared" si="1"/>
        <v>0.6825437540569721</v>
      </c>
      <c r="J8" s="221">
        <f t="shared" si="1"/>
        <v>0.66897794332391847</v>
      </c>
      <c r="K8" s="221">
        <f t="shared" si="1"/>
        <v>0.65344820447632246</v>
      </c>
      <c r="L8" s="221">
        <f t="shared" si="1"/>
        <v>0.63789866055059696</v>
      </c>
      <c r="M8" s="221">
        <f t="shared" si="1"/>
        <v>0.62163991638924276</v>
      </c>
      <c r="N8" s="221">
        <f t="shared" si="1"/>
        <v>0.59205641676794607</v>
      </c>
      <c r="O8" s="221">
        <f t="shared" si="1"/>
        <v>0.56986006916122223</v>
      </c>
      <c r="P8" s="221">
        <f t="shared" si="1"/>
        <v>0.55050543910931982</v>
      </c>
      <c r="Q8" s="221">
        <f t="shared" si="1"/>
        <v>0.53026572842803976</v>
      </c>
      <c r="R8" s="221">
        <f t="shared" si="1"/>
        <v>0.51005863658912076</v>
      </c>
      <c r="S8" s="221">
        <f t="shared" ref="S8" si="2">S7/S$5</f>
        <v>0.54986406795132536</v>
      </c>
    </row>
    <row r="9" spans="4:19" ht="15" x14ac:dyDescent="0.2">
      <c r="D9" s="7" t="s">
        <v>154</v>
      </c>
      <c r="E9" s="223">
        <f>'RKA P&amp;L'!N43</f>
        <v>44.291740128390678</v>
      </c>
      <c r="F9" s="223">
        <f>'RKA P&amp;L'!O43</f>
        <v>43.50966721612226</v>
      </c>
      <c r="G9" s="223">
        <f>'RKA P&amp;L'!P43</f>
        <v>42.361469143864767</v>
      </c>
      <c r="H9" s="223">
        <f>'RKA P&amp;L'!Q43</f>
        <v>41.329899167483397</v>
      </c>
      <c r="I9" s="223">
        <f>'RKA P&amp;L'!R43</f>
        <v>40.257143518379927</v>
      </c>
      <c r="J9" s="223">
        <f>'RKA P&amp;L'!S43</f>
        <v>39.292306816884611</v>
      </c>
      <c r="K9" s="223">
        <f>'RKA P&amp;L'!T43</f>
        <v>37.962887073528236</v>
      </c>
      <c r="L9" s="223">
        <f>'RKA P&amp;L'!U43</f>
        <v>36.736766863383593</v>
      </c>
      <c r="M9" s="223">
        <f>'RKA P&amp;L'!V43</f>
        <v>35.448076150690909</v>
      </c>
      <c r="N9" s="223">
        <f>'RKA P&amp;L'!W43</f>
        <v>31.675375727219812</v>
      </c>
      <c r="O9" s="223">
        <f>'RKA P&amp;L'!X43</f>
        <v>29.588994187462649</v>
      </c>
      <c r="P9" s="223">
        <f>'RKA P&amp;L'!Y43</f>
        <v>28.123157045560685</v>
      </c>
      <c r="Q9" s="223">
        <f>'RKA P&amp;L'!Z43</f>
        <v>26.583830057742816</v>
      </c>
      <c r="R9" s="223">
        <f>'RKA P&amp;L'!AA43</f>
        <v>25.120972485348268</v>
      </c>
      <c r="S9" s="223">
        <f>'RKA P&amp;L'!AB43</f>
        <v>16.939600018532229</v>
      </c>
    </row>
    <row r="10" spans="4:19" x14ac:dyDescent="0.2">
      <c r="D10" s="139" t="s">
        <v>171</v>
      </c>
      <c r="E10" s="221">
        <f t="shared" ref="E10:R10" si="3">E9/E$5</f>
        <v>0.56170378155008216</v>
      </c>
      <c r="F10" s="221">
        <f t="shared" si="3"/>
        <v>0.55069090350791638</v>
      </c>
      <c r="G10" s="221">
        <f t="shared" si="3"/>
        <v>0.53722426215703811</v>
      </c>
      <c r="H10" s="221">
        <f t="shared" si="3"/>
        <v>0.52414198643277665</v>
      </c>
      <c r="I10" s="221">
        <f t="shared" si="3"/>
        <v>0.51053739778862017</v>
      </c>
      <c r="J10" s="221">
        <f t="shared" si="3"/>
        <v>0.49731283474130189</v>
      </c>
      <c r="K10" s="221">
        <f t="shared" si="3"/>
        <v>0.48144184820797054</v>
      </c>
      <c r="L10" s="221">
        <f t="shared" si="3"/>
        <v>0.4658923042822451</v>
      </c>
      <c r="M10" s="221">
        <f t="shared" si="3"/>
        <v>0.44954924698827436</v>
      </c>
      <c r="N10" s="221">
        <f t="shared" si="3"/>
        <v>0.41448880621055673</v>
      </c>
      <c r="O10" s="221">
        <f t="shared" si="3"/>
        <v>0.39068735518814551</v>
      </c>
      <c r="P10" s="221">
        <f t="shared" si="3"/>
        <v>0.37133272513624316</v>
      </c>
      <c r="Q10" s="221">
        <f t="shared" si="3"/>
        <v>0.35100774937565715</v>
      </c>
      <c r="R10" s="221">
        <f t="shared" si="3"/>
        <v>0.33104463065367923</v>
      </c>
      <c r="S10" s="221">
        <f t="shared" ref="S10" si="4">S9/S$5</f>
        <v>0.39249020983361366</v>
      </c>
    </row>
    <row r="11" spans="4:19" ht="15" x14ac:dyDescent="0.2">
      <c r="D11" s="7" t="s">
        <v>172</v>
      </c>
      <c r="E11" s="223">
        <f>E9*(1-$B$35)</f>
        <v>33.144394972877315</v>
      </c>
      <c r="F11" s="223">
        <f t="shared" ref="F11:S11" si="5">F9*(1-$B$35)</f>
        <v>32.559154171168608</v>
      </c>
      <c r="G11" s="223">
        <f t="shared" si="5"/>
        <v>31.69993458973688</v>
      </c>
      <c r="H11" s="223">
        <f t="shared" si="5"/>
        <v>30.927990145011176</v>
      </c>
      <c r="I11" s="223">
        <f t="shared" si="5"/>
        <v>30.125225637674067</v>
      </c>
      <c r="J11" s="223">
        <f t="shared" si="5"/>
        <v>29.403219037211091</v>
      </c>
      <c r="K11" s="223">
        <f t="shared" si="5"/>
        <v>28.408387654862651</v>
      </c>
      <c r="L11" s="223">
        <f t="shared" si="5"/>
        <v>27.49085737920721</v>
      </c>
      <c r="M11" s="223">
        <f t="shared" si="5"/>
        <v>26.526504345085019</v>
      </c>
      <c r="N11" s="223">
        <f t="shared" si="5"/>
        <v>23.70331716419313</v>
      </c>
      <c r="O11" s="223">
        <f t="shared" si="5"/>
        <v>22.142036130362051</v>
      </c>
      <c r="P11" s="223">
        <f t="shared" si="5"/>
        <v>21.045120880333972</v>
      </c>
      <c r="Q11" s="223">
        <f t="shared" si="5"/>
        <v>19.893211708810103</v>
      </c>
      <c r="R11" s="223">
        <f t="shared" si="5"/>
        <v>18.798526130235818</v>
      </c>
      <c r="S11" s="223">
        <f t="shared" si="5"/>
        <v>12.676241485868037</v>
      </c>
    </row>
    <row r="12" spans="4:19" x14ac:dyDescent="0.2">
      <c r="D12" s="139" t="s">
        <v>171</v>
      </c>
      <c r="E12" s="221">
        <f t="shared" ref="E12:R12" si="6">E11/E$5</f>
        <v>0.42033417380955751</v>
      </c>
      <c r="F12" s="221">
        <f t="shared" si="6"/>
        <v>0.41209301691304401</v>
      </c>
      <c r="G12" s="221">
        <f t="shared" si="6"/>
        <v>0.40201565985735477</v>
      </c>
      <c r="H12" s="221">
        <f t="shared" si="6"/>
        <v>0.39222593128737543</v>
      </c>
      <c r="I12" s="221">
        <f t="shared" si="6"/>
        <v>0.38204534551318026</v>
      </c>
      <c r="J12" s="221">
        <f t="shared" si="6"/>
        <v>0.37214914049361103</v>
      </c>
      <c r="K12" s="221">
        <f t="shared" si="6"/>
        <v>0.36027256385098849</v>
      </c>
      <c r="L12" s="221">
        <f t="shared" si="6"/>
        <v>0.34863652914048959</v>
      </c>
      <c r="M12" s="221">
        <f t="shared" si="6"/>
        <v>0.33640669250626543</v>
      </c>
      <c r="N12" s="221">
        <f t="shared" si="6"/>
        <v>0.31017026346348381</v>
      </c>
      <c r="O12" s="221">
        <f t="shared" si="6"/>
        <v>0.29235916163439307</v>
      </c>
      <c r="P12" s="221">
        <f t="shared" si="6"/>
        <v>0.27787570487395347</v>
      </c>
      <c r="Q12" s="221">
        <f t="shared" si="6"/>
        <v>0.26266611901279174</v>
      </c>
      <c r="R12" s="221">
        <f t="shared" si="6"/>
        <v>0.24772731801076125</v>
      </c>
      <c r="S12" s="221">
        <f t="shared" ref="S12" si="7">S11/S$5</f>
        <v>0.29370827382268977</v>
      </c>
    </row>
    <row r="13" spans="4:19" ht="15" x14ac:dyDescent="0.2">
      <c r="D13" s="8" t="s">
        <v>173</v>
      </c>
      <c r="E13" s="224">
        <f>'Depreciation Schedule'!E141</f>
        <v>13.54765935757576</v>
      </c>
      <c r="F13" s="224">
        <f>'Depreciation Schedule'!F141</f>
        <v>13.54765935757576</v>
      </c>
      <c r="G13" s="224">
        <f>'Depreciation Schedule'!G141</f>
        <v>13.557641070836636</v>
      </c>
      <c r="H13" s="224">
        <f>'Depreciation Schedule'!H141</f>
        <v>13.563128970300431</v>
      </c>
      <c r="I13" s="224">
        <f>'Depreciation Schedule'!I141</f>
        <v>13.563128970300431</v>
      </c>
      <c r="J13" s="224">
        <f>'Depreciation Schedule'!J141</f>
        <v>13.563128970300431</v>
      </c>
      <c r="K13" s="224">
        <f>'Depreciation Schedule'!K141</f>
        <v>13.563128970300431</v>
      </c>
      <c r="L13" s="224">
        <f>'Depreciation Schedule'!L141</f>
        <v>13.563128970300431</v>
      </c>
      <c r="M13" s="224">
        <f>'Depreciation Schedule'!M141</f>
        <v>13.569777270493386</v>
      </c>
      <c r="N13" s="224">
        <f>'Depreciation Schedule'!N141</f>
        <v>13.569777270493386</v>
      </c>
      <c r="O13" s="224">
        <f>'Depreciation Schedule'!O141</f>
        <v>13.569777270493386</v>
      </c>
      <c r="P13" s="224">
        <f>'Depreciation Schedule'!P141</f>
        <v>13.569777270493386</v>
      </c>
      <c r="Q13" s="224">
        <f>'Depreciation Schedule'!Q141</f>
        <v>13.576234883985284</v>
      </c>
      <c r="R13" s="224">
        <f>'Depreciation Schedule'!R141</f>
        <v>13.584288948340378</v>
      </c>
      <c r="S13" s="224">
        <f>'Depreciation Schedule'!S141</f>
        <v>6.7921444741701889</v>
      </c>
    </row>
    <row r="14" spans="4:19" x14ac:dyDescent="0.2">
      <c r="D14" s="139" t="s">
        <v>171</v>
      </c>
      <c r="E14" s="221">
        <f t="shared" ref="E14:R14" si="8">E13/E$5</f>
        <v>0.17181017206015922</v>
      </c>
      <c r="F14" s="221">
        <f t="shared" si="8"/>
        <v>0.17146931358915107</v>
      </c>
      <c r="G14" s="221">
        <f t="shared" si="8"/>
        <v>0.17193675923123738</v>
      </c>
      <c r="H14" s="221">
        <f t="shared" si="8"/>
        <v>0.17200635626835187</v>
      </c>
      <c r="I14" s="221">
        <f t="shared" si="8"/>
        <v>0.17200635626835187</v>
      </c>
      <c r="J14" s="221">
        <f t="shared" si="8"/>
        <v>0.17166510858261658</v>
      </c>
      <c r="K14" s="221">
        <f t="shared" si="8"/>
        <v>0.17200635626835187</v>
      </c>
      <c r="L14" s="221">
        <f t="shared" si="8"/>
        <v>0.17200635626835187</v>
      </c>
      <c r="M14" s="221">
        <f t="shared" si="8"/>
        <v>0.17209066940096843</v>
      </c>
      <c r="N14" s="221">
        <f t="shared" si="8"/>
        <v>0.17756761055738932</v>
      </c>
      <c r="O14" s="221">
        <f t="shared" si="8"/>
        <v>0.17917271397307666</v>
      </c>
      <c r="P14" s="221">
        <f t="shared" si="8"/>
        <v>0.17917271397307666</v>
      </c>
      <c r="Q14" s="221">
        <f t="shared" si="8"/>
        <v>0.17925797905238261</v>
      </c>
      <c r="R14" s="221">
        <f t="shared" si="8"/>
        <v>0.17901400593544148</v>
      </c>
      <c r="S14" s="221">
        <f t="shared" ref="S14" si="9">S13/S$5</f>
        <v>0.15737385811771165</v>
      </c>
    </row>
    <row r="15" spans="4:19" ht="15" x14ac:dyDescent="0.2">
      <c r="D15" s="8" t="s">
        <v>174</v>
      </c>
      <c r="E15" s="224">
        <f>'RKA P&amp;L'!N91</f>
        <v>13.632689915822922</v>
      </c>
      <c r="F15" s="224">
        <f>'RKA P&amp;L'!O91</f>
        <v>-0.55125480400545612</v>
      </c>
      <c r="G15" s="224">
        <f>'RKA P&amp;L'!P91</f>
        <v>-0.66206858003704738</v>
      </c>
      <c r="H15" s="224">
        <f>'RKA P&amp;L'!Q91</f>
        <v>-0.64182483225379627</v>
      </c>
      <c r="I15" s="224">
        <f>'RKA P&amp;L'!R91</f>
        <v>-0.66647090581234814</v>
      </c>
      <c r="J15" s="224">
        <f>'RKA P&amp;L'!S91</f>
        <v>-0.64093074524415883</v>
      </c>
      <c r="K15" s="224">
        <f>'RKA P&amp;L'!T91</f>
        <v>-0.76977126606898416</v>
      </c>
      <c r="L15" s="224">
        <f>'RKA P&amp;L'!U91</f>
        <v>-0.7462343458299614</v>
      </c>
      <c r="M15" s="224">
        <f>'RKA P&amp;L'!V91</f>
        <v>-0.77488974470983507</v>
      </c>
      <c r="N15" s="224">
        <f>'RKA P&amp;L'!W91</f>
        <v>-0.88268826318806148</v>
      </c>
      <c r="O15" s="224">
        <f>'RKA P&amp;L'!X91</f>
        <v>-0.92348200426239302</v>
      </c>
      <c r="P15" s="224">
        <f>'RKA P&amp;L'!Y91</f>
        <v>-0.86762878422888789</v>
      </c>
      <c r="Q15" s="224">
        <f>'RKA P&amp;L'!Z91</f>
        <v>-0.90094572954327745</v>
      </c>
      <c r="R15" s="224">
        <f>'RKA P&amp;L'!AA91</f>
        <v>-0.86642014351231467</v>
      </c>
      <c r="S15" s="224">
        <f>'RKA P&amp;L'!AB91</f>
        <v>-0.96881257906861151</v>
      </c>
    </row>
    <row r="16" spans="4:19" x14ac:dyDescent="0.2">
      <c r="D16" s="139" t="s">
        <v>171</v>
      </c>
      <c r="E16" s="221">
        <f t="shared" ref="E16:R16" si="10">E15/E$5</f>
        <v>0.17288852179255393</v>
      </c>
      <c r="F16" s="221">
        <f t="shared" si="10"/>
        <v>-6.9770932646517113E-3</v>
      </c>
      <c r="G16" s="221">
        <f t="shared" si="10"/>
        <v>-8.3962929425282686E-3</v>
      </c>
      <c r="H16" s="221">
        <f t="shared" si="10"/>
        <v>-8.1395635918719931E-3</v>
      </c>
      <c r="I16" s="221">
        <f t="shared" si="10"/>
        <v>-8.4521228337999538E-3</v>
      </c>
      <c r="J16" s="221">
        <f t="shared" si="10"/>
        <v>-8.1120990751619142E-3</v>
      </c>
      <c r="K16" s="221">
        <f t="shared" si="10"/>
        <v>-9.7621685177907078E-3</v>
      </c>
      <c r="L16" s="221">
        <f t="shared" si="10"/>
        <v>-9.4636754564212961E-3</v>
      </c>
      <c r="M16" s="221">
        <f t="shared" si="10"/>
        <v>-9.8270805939479136E-3</v>
      </c>
      <c r="N16" s="221">
        <f t="shared" si="10"/>
        <v>-1.1550436137383798E-2</v>
      </c>
      <c r="O16" s="221">
        <f t="shared" si="10"/>
        <v>-1.2193477734433973E-2</v>
      </c>
      <c r="P16" s="221">
        <f t="shared" si="10"/>
        <v>-1.1456002622053247E-2</v>
      </c>
      <c r="Q16" s="221">
        <f t="shared" si="10"/>
        <v>-1.1895913122740095E-2</v>
      </c>
      <c r="R16" s="221">
        <f t="shared" si="10"/>
        <v>-1.1417700352453753E-2</v>
      </c>
      <c r="S16" s="221">
        <f t="shared" ref="S16" si="11">S15/S$5</f>
        <v>-2.2447369007065336E-2</v>
      </c>
    </row>
    <row r="17" spans="1:19" ht="15" x14ac:dyDescent="0.2">
      <c r="D17" s="8" t="s">
        <v>175</v>
      </c>
      <c r="E17" s="224">
        <f>'Depreciation Schedule'!E139-'Depreciation Schedule'!E140</f>
        <v>0</v>
      </c>
      <c r="F17" s="224">
        <f>'Depreciation Schedule'!F139-'Depreciation Schedule'!F140</f>
        <v>0.28446366590397359</v>
      </c>
      <c r="G17" s="224">
        <f>'Depreciation Schedule'!G139-'Depreciation Schedule'!G140</f>
        <v>0.21874568138838615</v>
      </c>
      <c r="H17" s="224">
        <f>'Depreciation Schedule'!H139-'Depreciation Schedule'!H140</f>
        <v>0</v>
      </c>
      <c r="I17" s="224">
        <f>'Depreciation Schedule'!I139-'Depreciation Schedule'!I140</f>
        <v>0</v>
      </c>
      <c r="J17" s="224">
        <f>'Depreciation Schedule'!J139-'Depreciation Schedule'!J140</f>
        <v>0</v>
      </c>
      <c r="K17" s="224">
        <f>'Depreciation Schedule'!K139-'Depreciation Schedule'!K140</f>
        <v>0</v>
      </c>
      <c r="L17" s="224">
        <f>'Depreciation Schedule'!L139-'Depreciation Schedule'!L140</f>
        <v>0.19220055096610708</v>
      </c>
      <c r="M17" s="224">
        <f>'Depreciation Schedule'!M139-'Depreciation Schedule'!M140</f>
        <v>0</v>
      </c>
      <c r="N17" s="224">
        <f>'Depreciation Schedule'!N139-'Depreciation Schedule'!N140</f>
        <v>0</v>
      </c>
      <c r="O17" s="224">
        <f>'Depreciation Schedule'!O139-'Depreciation Schedule'!O140</f>
        <v>0</v>
      </c>
      <c r="P17" s="224">
        <f>'Depreciation Schedule'!P139-'Depreciation Schedule'!P140</f>
        <v>0.45008337510721724</v>
      </c>
      <c r="Q17" s="224">
        <f>'Depreciation Schedule'!Q139-'Depreciation Schedule'!Q140</f>
        <v>0.2328408106789718</v>
      </c>
      <c r="R17" s="224">
        <f>'Depreciation Schedule'!R139-'Depreciation Schedule'!R140</f>
        <v>0</v>
      </c>
      <c r="S17" s="224">
        <f>'Depreciation Schedule'!S139-'Depreciation Schedule'!S140</f>
        <v>46.949647941914861</v>
      </c>
    </row>
    <row r="18" spans="1:19" x14ac:dyDescent="0.2">
      <c r="D18" s="139" t="s">
        <v>171</v>
      </c>
      <c r="E18" s="221">
        <f t="shared" ref="E18:R18" si="12">E17/E$5</f>
        <v>0</v>
      </c>
      <c r="F18" s="222">
        <f t="shared" si="12"/>
        <v>3.6003849998141779E-3</v>
      </c>
      <c r="G18" s="221">
        <f t="shared" si="12"/>
        <v>2.7741126466793971E-3</v>
      </c>
      <c r="H18" s="221">
        <f t="shared" si="12"/>
        <v>0</v>
      </c>
      <c r="I18" s="221">
        <f t="shared" si="12"/>
        <v>0</v>
      </c>
      <c r="J18" s="221">
        <f t="shared" si="12"/>
        <v>0</v>
      </c>
      <c r="K18" s="221">
        <f t="shared" si="12"/>
        <v>0</v>
      </c>
      <c r="L18" s="221">
        <f t="shared" si="12"/>
        <v>2.4374697399723571E-3</v>
      </c>
      <c r="M18" s="221">
        <f t="shared" si="12"/>
        <v>0</v>
      </c>
      <c r="N18" s="221">
        <f t="shared" si="12"/>
        <v>0</v>
      </c>
      <c r="O18" s="221">
        <f t="shared" si="12"/>
        <v>0</v>
      </c>
      <c r="P18" s="221">
        <f t="shared" si="12"/>
        <v>5.9428138151887524E-3</v>
      </c>
      <c r="Q18" s="221">
        <f t="shared" si="12"/>
        <v>3.0743850205822761E-3</v>
      </c>
      <c r="R18" s="221">
        <f t="shared" si="12"/>
        <v>0</v>
      </c>
      <c r="S18" s="221">
        <f t="shared" ref="S18" si="13">S17/S$5</f>
        <v>1.0878224487105173</v>
      </c>
    </row>
    <row r="19" spans="1:19" ht="15" x14ac:dyDescent="0.2">
      <c r="D19" s="32" t="s">
        <v>176</v>
      </c>
      <c r="E19" s="225">
        <f t="shared" ref="E19:R19" si="14">E11+E13-E15-E17</f>
        <v>33.059364414630153</v>
      </c>
      <c r="F19" s="225">
        <f t="shared" si="14"/>
        <v>46.37360466684585</v>
      </c>
      <c r="G19" s="225">
        <f t="shared" si="14"/>
        <v>45.700898559222182</v>
      </c>
      <c r="H19" s="225">
        <f t="shared" si="14"/>
        <v>45.132943947565401</v>
      </c>
      <c r="I19" s="225">
        <f t="shared" si="14"/>
        <v>44.354825513786842</v>
      </c>
      <c r="J19" s="225">
        <f t="shared" si="14"/>
        <v>43.607278752755676</v>
      </c>
      <c r="K19" s="225">
        <f t="shared" si="14"/>
        <v>42.741287891232069</v>
      </c>
      <c r="L19" s="225">
        <f t="shared" si="14"/>
        <v>41.608020144371494</v>
      </c>
      <c r="M19" s="225">
        <f t="shared" si="14"/>
        <v>40.871171360288244</v>
      </c>
      <c r="N19" s="225">
        <f t="shared" si="14"/>
        <v>38.155782697874571</v>
      </c>
      <c r="O19" s="225">
        <f t="shared" si="14"/>
        <v>36.63529540511783</v>
      </c>
      <c r="P19" s="225">
        <f t="shared" si="14"/>
        <v>35.032443559949023</v>
      </c>
      <c r="Q19" s="225">
        <f t="shared" si="14"/>
        <v>34.137551511659687</v>
      </c>
      <c r="R19" s="225">
        <f t="shared" si="14"/>
        <v>33.249235222088508</v>
      </c>
      <c r="S19" s="225">
        <f t="shared" ref="S19" si="15">S11+S13-S15-S17</f>
        <v>-26.512449402808024</v>
      </c>
    </row>
    <row r="20" spans="1:19" x14ac:dyDescent="0.2">
      <c r="D20" s="139" t="s">
        <v>169</v>
      </c>
      <c r="E20" s="221"/>
      <c r="F20" s="222">
        <f t="shared" ref="F20:S20" si="16">F19/E19-1</f>
        <v>0.40273733291507519</v>
      </c>
      <c r="G20" s="222">
        <f t="shared" si="16"/>
        <v>-1.4506228542216615E-2</v>
      </c>
      <c r="H20" s="222">
        <f t="shared" si="16"/>
        <v>-1.2427646491912858E-2</v>
      </c>
      <c r="I20" s="222">
        <f t="shared" si="16"/>
        <v>-1.7240586713832884E-2</v>
      </c>
      <c r="J20" s="222">
        <f t="shared" si="16"/>
        <v>-1.685378653555536E-2</v>
      </c>
      <c r="K20" s="222">
        <f t="shared" si="16"/>
        <v>-1.9858860407997447E-2</v>
      </c>
      <c r="L20" s="222">
        <f t="shared" si="16"/>
        <v>-2.6514590522974224E-2</v>
      </c>
      <c r="M20" s="222">
        <f t="shared" si="16"/>
        <v>-1.7709296946274544E-2</v>
      </c>
      <c r="N20" s="222">
        <f t="shared" si="16"/>
        <v>-6.6437749935692625E-2</v>
      </c>
      <c r="O20" s="222">
        <f t="shared" si="16"/>
        <v>-3.9849458856506148E-2</v>
      </c>
      <c r="P20" s="222">
        <f t="shared" si="16"/>
        <v>-4.3751574197621879E-2</v>
      </c>
      <c r="Q20" s="222">
        <f t="shared" si="16"/>
        <v>-2.5544665383045784E-2</v>
      </c>
      <c r="R20" s="222">
        <f t="shared" si="16"/>
        <v>-2.6021675551855972E-2</v>
      </c>
      <c r="S20" s="222">
        <f t="shared" si="16"/>
        <v>-1.7973852398624488</v>
      </c>
    </row>
    <row r="21" spans="1:19" x14ac:dyDescent="0.2"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2">
      <c r="D22" s="8" t="s">
        <v>177</v>
      </c>
      <c r="E22" s="50">
        <f t="shared" ref="E22:S22" si="17">(E3-$B$30)/365</f>
        <v>-7.1232876712328766E-2</v>
      </c>
      <c r="F22" s="50">
        <f t="shared" si="17"/>
        <v>0.93150684931506844</v>
      </c>
      <c r="G22" s="50">
        <f t="shared" si="17"/>
        <v>1.9315068493150684</v>
      </c>
      <c r="H22" s="50">
        <f t="shared" si="17"/>
        <v>2.9315068493150687</v>
      </c>
      <c r="I22" s="50">
        <f t="shared" si="17"/>
        <v>3.9315068493150687</v>
      </c>
      <c r="J22" s="50">
        <f t="shared" si="17"/>
        <v>4.934246575342466</v>
      </c>
      <c r="K22" s="50">
        <f t="shared" si="17"/>
        <v>5.934246575342466</v>
      </c>
      <c r="L22" s="50">
        <f t="shared" si="17"/>
        <v>6.934246575342466</v>
      </c>
      <c r="M22" s="50">
        <f t="shared" si="17"/>
        <v>7.934246575342466</v>
      </c>
      <c r="N22" s="50">
        <f t="shared" si="17"/>
        <v>8.9369863013698634</v>
      </c>
      <c r="O22" s="50">
        <f t="shared" si="17"/>
        <v>9.9369863013698634</v>
      </c>
      <c r="P22" s="50">
        <f t="shared" si="17"/>
        <v>10.936986301369863</v>
      </c>
      <c r="Q22" s="50">
        <f t="shared" si="17"/>
        <v>11.936986301369863</v>
      </c>
      <c r="R22" s="50">
        <f t="shared" si="17"/>
        <v>12.93972602739726</v>
      </c>
      <c r="S22" s="50">
        <f t="shared" si="17"/>
        <v>13.93972602739726</v>
      </c>
    </row>
    <row r="24" spans="1:19" x14ac:dyDescent="0.2">
      <c r="C24" s="61" t="s">
        <v>178</v>
      </c>
      <c r="D24" s="140" t="s">
        <v>179</v>
      </c>
      <c r="E24" s="141"/>
      <c r="F24" s="141"/>
      <c r="G24" s="141"/>
      <c r="H24" s="141"/>
      <c r="I24" s="141"/>
      <c r="J24" s="141"/>
      <c r="K24" s="141"/>
      <c r="L24" s="141"/>
      <c r="M24" s="142"/>
      <c r="N24" s="142"/>
      <c r="O24" s="142"/>
      <c r="P24" s="142"/>
      <c r="Q24" s="142"/>
      <c r="R24" s="142"/>
      <c r="S24" s="142"/>
    </row>
    <row r="25" spans="1:19" x14ac:dyDescent="0.2">
      <c r="C25" s="8" t="s">
        <v>180</v>
      </c>
      <c r="D25" s="143">
        <f>B48</f>
        <v>9.7781680891873043E-2</v>
      </c>
      <c r="E25" s="50">
        <f t="shared" ref="E25:K27" si="18">E$19/(1+$D25)^E$22</f>
        <v>33.279789412966245</v>
      </c>
      <c r="F25" s="50">
        <f t="shared" si="18"/>
        <v>42.513801764753261</v>
      </c>
      <c r="G25" s="50">
        <f t="shared" si="18"/>
        <v>38.165226810960014</v>
      </c>
      <c r="H25" s="50">
        <f t="shared" si="18"/>
        <v>34.33371454445151</v>
      </c>
      <c r="I25" s="50">
        <f t="shared" si="18"/>
        <v>30.736331047378204</v>
      </c>
      <c r="J25" s="50">
        <f t="shared" si="18"/>
        <v>27.519665709723586</v>
      </c>
      <c r="K25" s="50">
        <f t="shared" si="18"/>
        <v>24.570601768473288</v>
      </c>
      <c r="L25" s="50">
        <f t="shared" ref="L25:S27" si="19">L$19/(1+$D25)^L$22</f>
        <v>21.788596712824077</v>
      </c>
      <c r="M25" s="50">
        <f t="shared" si="19"/>
        <v>19.496350099598843</v>
      </c>
      <c r="N25" s="50">
        <f t="shared" si="19"/>
        <v>16.575613633708159</v>
      </c>
      <c r="O25" s="50">
        <f t="shared" si="19"/>
        <v>14.497494973008145</v>
      </c>
      <c r="P25" s="50">
        <f t="shared" si="19"/>
        <v>12.628382297975694</v>
      </c>
      <c r="Q25" s="50">
        <f t="shared" si="19"/>
        <v>11.209691974315971</v>
      </c>
      <c r="R25" s="50">
        <f t="shared" si="19"/>
        <v>9.9429667923579004</v>
      </c>
      <c r="S25" s="50">
        <f t="shared" si="19"/>
        <v>-7.2221782333144793</v>
      </c>
    </row>
    <row r="26" spans="1:19" x14ac:dyDescent="0.2">
      <c r="C26" s="8" t="s">
        <v>181</v>
      </c>
      <c r="D26" s="143">
        <f>B49</f>
        <v>0.10778168089187304</v>
      </c>
      <c r="E26" s="50">
        <f t="shared" si="18"/>
        <v>33.301293190482738</v>
      </c>
      <c r="F26" s="50">
        <f t="shared" si="18"/>
        <v>42.156202604975256</v>
      </c>
      <c r="G26" s="50">
        <f t="shared" si="18"/>
        <v>37.502583597580305</v>
      </c>
      <c r="H26" s="50">
        <f t="shared" si="18"/>
        <v>33.43304496268447</v>
      </c>
      <c r="I26" s="50">
        <f t="shared" si="18"/>
        <v>29.659851050655593</v>
      </c>
      <c r="J26" s="50">
        <f t="shared" si="18"/>
        <v>26.315468440371014</v>
      </c>
      <c r="K26" s="50">
        <f t="shared" si="18"/>
        <v>23.283354176137692</v>
      </c>
      <c r="L26" s="50">
        <f t="shared" si="19"/>
        <v>20.460715288149249</v>
      </c>
      <c r="M26" s="50">
        <f t="shared" si="19"/>
        <v>18.142898327400641</v>
      </c>
      <c r="N26" s="50">
        <f t="shared" si="19"/>
        <v>15.285300374070205</v>
      </c>
      <c r="O26" s="50">
        <f t="shared" si="19"/>
        <v>13.24826875083237</v>
      </c>
      <c r="P26" s="50">
        <f t="shared" si="19"/>
        <v>11.436040472695664</v>
      </c>
      <c r="Q26" s="50">
        <f t="shared" si="19"/>
        <v>10.059663233049442</v>
      </c>
      <c r="R26" s="50">
        <f t="shared" si="19"/>
        <v>8.8421272907666673</v>
      </c>
      <c r="S26" s="50">
        <f t="shared" si="19"/>
        <v>-6.3645950391288935</v>
      </c>
    </row>
    <row r="27" spans="1:19" x14ac:dyDescent="0.2">
      <c r="C27" s="8" t="s">
        <v>182</v>
      </c>
      <c r="D27" s="143">
        <f>B50</f>
        <v>0.11778168089187303</v>
      </c>
      <c r="E27" s="50">
        <f t="shared" si="18"/>
        <v>33.322617429860763</v>
      </c>
      <c r="F27" s="50">
        <f t="shared" si="18"/>
        <v>41.804784597162495</v>
      </c>
      <c r="G27" s="50">
        <f t="shared" si="18"/>
        <v>36.857246403220657</v>
      </c>
      <c r="H27" s="50">
        <f t="shared" si="18"/>
        <v>32.563780742240596</v>
      </c>
      <c r="I27" s="50">
        <f t="shared" si="18"/>
        <v>28.630243815669996</v>
      </c>
      <c r="J27" s="50">
        <f t="shared" si="18"/>
        <v>25.174084447500359</v>
      </c>
      <c r="K27" s="50">
        <f t="shared" si="18"/>
        <v>22.074217389992391</v>
      </c>
      <c r="L27" s="50">
        <f t="shared" si="19"/>
        <v>19.224620444339099</v>
      </c>
      <c r="M27" s="50">
        <f t="shared" si="19"/>
        <v>16.894324048273262</v>
      </c>
      <c r="N27" s="50">
        <f t="shared" si="19"/>
        <v>14.105699559972624</v>
      </c>
      <c r="O27" s="50">
        <f t="shared" si="19"/>
        <v>12.116494032098364</v>
      </c>
      <c r="P27" s="50">
        <f t="shared" si="19"/>
        <v>10.365511031808335</v>
      </c>
      <c r="Q27" s="50">
        <f t="shared" si="19"/>
        <v>9.0364045981834256</v>
      </c>
      <c r="R27" s="50">
        <f t="shared" si="19"/>
        <v>7.8714635211938342</v>
      </c>
      <c r="S27" s="50">
        <f t="shared" si="19"/>
        <v>-5.6152189065288649</v>
      </c>
    </row>
    <row r="29" spans="1:19" x14ac:dyDescent="0.2">
      <c r="A29" s="233" t="s">
        <v>183</v>
      </c>
      <c r="B29" s="233"/>
    </row>
    <row r="30" spans="1:19" x14ac:dyDescent="0.2">
      <c r="A30" s="7" t="s">
        <v>184</v>
      </c>
      <c r="B30" s="144">
        <v>45042</v>
      </c>
    </row>
    <row r="31" spans="1:19" x14ac:dyDescent="0.2">
      <c r="A31" s="7" t="s">
        <v>85</v>
      </c>
      <c r="B31" s="145">
        <v>0.15</v>
      </c>
      <c r="C31" s="5" t="s">
        <v>285</v>
      </c>
    </row>
    <row r="32" spans="1:19" x14ac:dyDescent="0.2">
      <c r="A32" s="7" t="s">
        <v>124</v>
      </c>
      <c r="B32" s="145">
        <f>Assumptions!B77</f>
        <v>0.12028075256419214</v>
      </c>
    </row>
    <row r="33" spans="1:5" x14ac:dyDescent="0.2">
      <c r="A33" s="7" t="s">
        <v>179</v>
      </c>
      <c r="B33" s="145">
        <f>D44</f>
        <v>0.10778168089187304</v>
      </c>
      <c r="D33" s="146"/>
    </row>
    <row r="34" spans="1:5" x14ac:dyDescent="0.2">
      <c r="A34" s="7" t="s">
        <v>185</v>
      </c>
      <c r="B34" s="147">
        <v>0.01</v>
      </c>
    </row>
    <row r="35" spans="1:5" x14ac:dyDescent="0.2">
      <c r="A35" s="7" t="s">
        <v>69</v>
      </c>
      <c r="B35" s="145">
        <f>Assumptions!C109</f>
        <v>0.25168000000000001</v>
      </c>
    </row>
    <row r="37" spans="1:5" outlineLevel="1" x14ac:dyDescent="0.2">
      <c r="A37" s="234" t="s">
        <v>186</v>
      </c>
      <c r="B37" s="234"/>
      <c r="C37" s="234"/>
      <c r="D37" s="234"/>
    </row>
    <row r="38" spans="1:5" outlineLevel="1" x14ac:dyDescent="0.2">
      <c r="A38" s="148" t="s">
        <v>94</v>
      </c>
      <c r="B38" s="148" t="s">
        <v>187</v>
      </c>
      <c r="C38" s="148" t="s">
        <v>188</v>
      </c>
      <c r="D38" s="148" t="s">
        <v>179</v>
      </c>
    </row>
    <row r="39" spans="1:5" outlineLevel="1" x14ac:dyDescent="0.2">
      <c r="A39" s="235" t="s">
        <v>189</v>
      </c>
      <c r="B39" s="236"/>
      <c r="C39" s="236"/>
      <c r="D39" s="237"/>
    </row>
    <row r="40" spans="1:5" outlineLevel="1" x14ac:dyDescent="0.2">
      <c r="A40" s="7" t="str">
        <f>[96]Assumptions!B71</f>
        <v>Equity</v>
      </c>
      <c r="B40" s="149">
        <v>93.367599999999996</v>
      </c>
      <c r="C40" s="150">
        <f>B40/$B$42</f>
        <v>0.25458917162456174</v>
      </c>
      <c r="D40" s="151">
        <f>B31</f>
        <v>0.15</v>
      </c>
    </row>
    <row r="41" spans="1:5" outlineLevel="1" x14ac:dyDescent="0.2">
      <c r="A41" s="7" t="str">
        <f>[96]Assumptions!B72</f>
        <v>Debt</v>
      </c>
      <c r="B41" s="149">
        <f>Assumptions!C77</f>
        <v>273.3707</v>
      </c>
      <c r="C41" s="150">
        <f>B41/$B$42</f>
        <v>0.74541082837543837</v>
      </c>
      <c r="D41" s="151">
        <f>Assumptions!B77</f>
        <v>0.12028075256419214</v>
      </c>
    </row>
    <row r="42" spans="1:5" outlineLevel="1" x14ac:dyDescent="0.2">
      <c r="A42" s="32"/>
      <c r="B42" s="152">
        <f>SUM(B40:B41)</f>
        <v>366.73829999999998</v>
      </c>
      <c r="C42" s="153"/>
      <c r="D42" s="154">
        <f>D40*C40+(D41*(1-B35))*C41</f>
        <v>0.10528168089187304</v>
      </c>
      <c r="E42" s="19"/>
    </row>
    <row r="43" spans="1:5" outlineLevel="1" x14ac:dyDescent="0.2">
      <c r="A43" s="226" t="s">
        <v>288</v>
      </c>
      <c r="B43" s="227"/>
      <c r="C43" s="228"/>
      <c r="D43" s="229">
        <v>2.5000000000000001E-3</v>
      </c>
      <c r="E43" s="19"/>
    </row>
    <row r="44" spans="1:5" outlineLevel="1" x14ac:dyDescent="0.2">
      <c r="A44" s="226" t="s">
        <v>190</v>
      </c>
      <c r="B44" s="227"/>
      <c r="C44" s="228"/>
      <c r="D44" s="229">
        <f>D42+D43</f>
        <v>0.10778168089187304</v>
      </c>
      <c r="E44" s="19"/>
    </row>
    <row r="46" spans="1:5" x14ac:dyDescent="0.2">
      <c r="A46" s="233" t="s">
        <v>191</v>
      </c>
      <c r="B46" s="233"/>
      <c r="C46" s="233"/>
      <c r="D46" s="155"/>
    </row>
    <row r="47" spans="1:5" ht="36" x14ac:dyDescent="0.2">
      <c r="A47" s="140" t="s">
        <v>192</v>
      </c>
      <c r="B47" s="140" t="s">
        <v>193</v>
      </c>
      <c r="C47" s="156" t="s">
        <v>194</v>
      </c>
    </row>
    <row r="48" spans="1:5" x14ac:dyDescent="0.2">
      <c r="A48" s="7" t="s">
        <v>180</v>
      </c>
      <c r="B48" s="143">
        <f>B49-$B$34</f>
        <v>9.7781680891873043E-2</v>
      </c>
      <c r="C48" s="157">
        <f>SUM(F25:S25)</f>
        <v>296.75625989621415</v>
      </c>
    </row>
    <row r="49" spans="1:3" x14ac:dyDescent="0.2">
      <c r="A49" s="7" t="s">
        <v>181</v>
      </c>
      <c r="B49" s="143">
        <f>B33</f>
        <v>0.10778168089187304</v>
      </c>
      <c r="C49" s="157">
        <f>SUM(F26:S26)</f>
        <v>283.4609235302396</v>
      </c>
    </row>
    <row r="50" spans="1:3" x14ac:dyDescent="0.2">
      <c r="A50" s="7" t="s">
        <v>182</v>
      </c>
      <c r="B50" s="143">
        <f>B49+B34</f>
        <v>0.11778168089187303</v>
      </c>
      <c r="C50" s="157">
        <f>SUM(F27:S27)</f>
        <v>271.1036557251266</v>
      </c>
    </row>
    <row r="52" spans="1:3" ht="15" x14ac:dyDescent="0.25">
      <c r="A52" s="170" t="s">
        <v>195</v>
      </c>
      <c r="B52"/>
    </row>
    <row r="53" spans="1:3" ht="15" customHeight="1" x14ac:dyDescent="0.25">
      <c r="A53" s="158">
        <f>C49</f>
        <v>283.4609235302396</v>
      </c>
      <c r="B53"/>
    </row>
    <row r="56" spans="1:3" x14ac:dyDescent="0.2">
      <c r="A56" s="170" t="s">
        <v>202</v>
      </c>
    </row>
    <row r="57" spans="1:3" x14ac:dyDescent="0.2">
      <c r="A57" s="158">
        <f>MAX(0,(A53-B41+Assumptions!C129))</f>
        <v>17.750223530239598</v>
      </c>
      <c r="C57" s="197">
        <f>A53-A59</f>
        <v>265.71069999999997</v>
      </c>
    </row>
    <row r="59" spans="1:3" x14ac:dyDescent="0.2">
      <c r="A59" s="197">
        <f>A53-B41+Assumptions!C129</f>
        <v>17.750223530239598</v>
      </c>
    </row>
  </sheetData>
  <mergeCells count="5">
    <mergeCell ref="D3:D4"/>
    <mergeCell ref="A29:B29"/>
    <mergeCell ref="A37:D37"/>
    <mergeCell ref="A39:D39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Debt Sch</vt:lpstr>
      <vt:lpstr>Depreciation Schedule</vt:lpstr>
      <vt:lpstr>RKA CAPM</vt:lpstr>
      <vt:lpstr>NRPPL RKA P&amp;L</vt:lpstr>
      <vt:lpstr>RKA P&amp;L</vt:lpstr>
      <vt:lpstr>Summary_S1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Rachit</cp:lastModifiedBy>
  <dcterms:created xsi:type="dcterms:W3CDTF">2020-08-05T15:59:00Z</dcterms:created>
  <dcterms:modified xsi:type="dcterms:W3CDTF">2023-05-31T05:20:26Z</dcterms:modified>
</cp:coreProperties>
</file>