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9AFB6C32-8074-4984-BDE1-466EF12EDDDA}" xr6:coauthVersionLast="47" xr6:coauthVersionMax="47" xr10:uidLastSave="{00000000-0000-0000-0000-000000000000}"/>
  <bookViews>
    <workbookView xWindow="-120" yWindow="-120" windowWidth="21840" windowHeight="13140" tabRatio="711" activeTab="6" xr2:uid="{00000000-000D-0000-FFFF-FFFF00000000}"/>
  </bookViews>
  <sheets>
    <sheet name="Assumptions" sheetId="1" r:id="rId1"/>
    <sheet name="Historicals" sheetId="9" r:id="rId2"/>
    <sheet name="RKA P&amp;L" sheetId="7" r:id="rId3"/>
    <sheet name="Debt Sch" sheetId="6" r:id="rId4"/>
    <sheet name="RKA CAPM" sheetId="5" state="hidden" r:id="rId5"/>
    <sheet name="Depreciation Schedule" sheetId="3" r:id="rId6"/>
    <sheet name="Summary_S1 PSA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\0">#REF!</definedName>
    <definedName name="\a" localSheetId="3">#REF!</definedName>
    <definedName name="\a" localSheetId="4">#REF!</definedName>
    <definedName name="\a" localSheetId="6">#REF!</definedName>
    <definedName name="\a">#REF!</definedName>
    <definedName name="\b" localSheetId="3">#REF!</definedName>
    <definedName name="\b" localSheetId="4">#REF!</definedName>
    <definedName name="\b" localSheetId="6">#REF!</definedName>
    <definedName name="\b">#REF!</definedName>
    <definedName name="\c" localSheetId="3">#REF!</definedName>
    <definedName name="\c" localSheetId="4">#REF!</definedName>
    <definedName name="\c" localSheetId="6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>#REF!</definedName>
    <definedName name="\i">#REF!</definedName>
    <definedName name="\j" localSheetId="4">#REF!</definedName>
    <definedName name="\j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o" localSheetId="4">#REF!</definedName>
    <definedName name="\o">#REF!</definedName>
    <definedName name="\p" localSheetId="4">#REF!</definedName>
    <definedName name="\p">#REF!</definedName>
    <definedName name="\s" localSheetId="4">#REF!</definedName>
    <definedName name="\s">#REF!</definedName>
    <definedName name="\t" localSheetId="4">#REF!</definedName>
    <definedName name="\t">#REF!</definedName>
    <definedName name="\w" localSheetId="4">#REF!</definedName>
    <definedName name="\w">#REF!</definedName>
    <definedName name="\x" localSheetId="4">#REF!</definedName>
    <definedName name="\x">#REF!</definedName>
    <definedName name="\y">#REF!</definedName>
    <definedName name="\z" localSheetId="4">#REF!</definedName>
    <definedName name="\z">#REF!</definedName>
    <definedName name="_" localSheetId="4">#REF!</definedName>
    <definedName name="_">#REF!</definedName>
    <definedName name="_.._D__D__D__D_" localSheetId="4">#REF!</definedName>
    <definedName name="_.._D__D__D__D_">#REF!</definedName>
    <definedName name="____________________SCH1" localSheetId="4">#REF!</definedName>
    <definedName name="____________________SCH1">#REF!</definedName>
    <definedName name="____________________SCH10" localSheetId="4">#REF!</definedName>
    <definedName name="____________________SCH10">#REF!</definedName>
    <definedName name="____________________SCH11" localSheetId="4">#REF!</definedName>
    <definedName name="____________________SCH11">#REF!</definedName>
    <definedName name="____________________SCH2" localSheetId="4">#REF!</definedName>
    <definedName name="____________________SCH2">#REF!</definedName>
    <definedName name="____________________SCH3" localSheetId="4">#REF!</definedName>
    <definedName name="____________________SCH3">#REF!</definedName>
    <definedName name="____________________SCH4" localSheetId="4">#REF!</definedName>
    <definedName name="____________________SCH4">#REF!</definedName>
    <definedName name="____________________SCH5" localSheetId="4">#REF!</definedName>
    <definedName name="____________________SCH5">#REF!</definedName>
    <definedName name="____________________SCH6" localSheetId="4">#REF!</definedName>
    <definedName name="____________________SCH6">#REF!</definedName>
    <definedName name="____________________SCH7" localSheetId="4">#REF!</definedName>
    <definedName name="____________________SCH7">#REF!</definedName>
    <definedName name="____________________SCH8" localSheetId="4">#REF!</definedName>
    <definedName name="____________________SCH8">#REF!</definedName>
    <definedName name="____________________SCH9" localSheetId="4">#REF!</definedName>
    <definedName name="____________________SCH9">#REF!</definedName>
    <definedName name="___________________SCH1" localSheetId="4">#REF!</definedName>
    <definedName name="___________________SCH1">#REF!</definedName>
    <definedName name="___________________SCH10" localSheetId="4">#REF!</definedName>
    <definedName name="___________________SCH10">#REF!</definedName>
    <definedName name="___________________SCH11" localSheetId="4">#REF!</definedName>
    <definedName name="___________________SCH11">#REF!</definedName>
    <definedName name="___________________SCH2" localSheetId="4">#REF!</definedName>
    <definedName name="___________________SCH2">#REF!</definedName>
    <definedName name="___________________SCH3" localSheetId="4">#REF!</definedName>
    <definedName name="___________________SCH3">#REF!</definedName>
    <definedName name="___________________SCH4" localSheetId="4">#REF!</definedName>
    <definedName name="___________________SCH4">#REF!</definedName>
    <definedName name="___________________SCH5" localSheetId="4">#REF!</definedName>
    <definedName name="___________________SCH5">#REF!</definedName>
    <definedName name="___________________SCH6" localSheetId="4">#REF!</definedName>
    <definedName name="___________________SCH6">#REF!</definedName>
    <definedName name="___________________SCH7" localSheetId="4">#REF!</definedName>
    <definedName name="___________________SCH7">#REF!</definedName>
    <definedName name="___________________SCH8" localSheetId="4">#REF!</definedName>
    <definedName name="___________________SCH8">#REF!</definedName>
    <definedName name="___________________SCH9" localSheetId="4">#REF!</definedName>
    <definedName name="___________________SCH9">#REF!</definedName>
    <definedName name="__________________SCH1" localSheetId="4">#REF!</definedName>
    <definedName name="__________________SCH1">#REF!</definedName>
    <definedName name="__________________SCH10" localSheetId="4">#REF!</definedName>
    <definedName name="__________________SCH10">#REF!</definedName>
    <definedName name="__________________SCH11" localSheetId="4">#REF!</definedName>
    <definedName name="__________________SCH11">#REF!</definedName>
    <definedName name="__________________SCH2" localSheetId="4">#REF!</definedName>
    <definedName name="__________________SCH2">#REF!</definedName>
    <definedName name="__________________SCH3" localSheetId="4">#REF!</definedName>
    <definedName name="__________________SCH3">#REF!</definedName>
    <definedName name="__________________SCH4" localSheetId="4">#REF!</definedName>
    <definedName name="__________________SCH4">#REF!</definedName>
    <definedName name="__________________SCH5" localSheetId="4">#REF!</definedName>
    <definedName name="__________________SCH5">#REF!</definedName>
    <definedName name="__________________SCH6" localSheetId="4">#REF!</definedName>
    <definedName name="__________________SCH6">#REF!</definedName>
    <definedName name="__________________SCH7" localSheetId="4">#REF!</definedName>
    <definedName name="__________________SCH7">#REF!</definedName>
    <definedName name="__________________SCH8" localSheetId="4">#REF!</definedName>
    <definedName name="__________________SCH8">#REF!</definedName>
    <definedName name="__________________SCH9" localSheetId="4">#REF!</definedName>
    <definedName name="__________________SCH9">#REF!</definedName>
    <definedName name="_________________SCH1" localSheetId="4">#REF!</definedName>
    <definedName name="_________________SCH1">#REF!</definedName>
    <definedName name="_________________SCH10" localSheetId="4">#REF!</definedName>
    <definedName name="_________________SCH10">#REF!</definedName>
    <definedName name="_________________SCH11" localSheetId="4">#REF!</definedName>
    <definedName name="_________________SCH11">#REF!</definedName>
    <definedName name="_________________SCH2" localSheetId="4">#REF!</definedName>
    <definedName name="_________________SCH2">#REF!</definedName>
    <definedName name="_________________SCH3" localSheetId="4">#REF!</definedName>
    <definedName name="_________________SCH3">#REF!</definedName>
    <definedName name="_________________SCH4" localSheetId="4">#REF!</definedName>
    <definedName name="_________________SCH4">#REF!</definedName>
    <definedName name="_________________SCH5" localSheetId="4">#REF!</definedName>
    <definedName name="_________________SCH5">#REF!</definedName>
    <definedName name="_________________SCH6" localSheetId="4">#REF!</definedName>
    <definedName name="_________________SCH6">#REF!</definedName>
    <definedName name="_________________SCH7" localSheetId="4">#REF!</definedName>
    <definedName name="_________________SCH7">#REF!</definedName>
    <definedName name="_________________SCH8" localSheetId="4">#REF!</definedName>
    <definedName name="_________________SCH8">#REF!</definedName>
    <definedName name="_________________SCH9" localSheetId="4">#REF!</definedName>
    <definedName name="_________________SCH9">#REF!</definedName>
    <definedName name="________________SCH1" localSheetId="4">#REF!</definedName>
    <definedName name="________________SCH1">#REF!</definedName>
    <definedName name="________________SCH10" localSheetId="4">#REF!</definedName>
    <definedName name="________________SCH10">#REF!</definedName>
    <definedName name="________________SCH11" localSheetId="4">#REF!</definedName>
    <definedName name="________________SCH11">#REF!</definedName>
    <definedName name="________________SCH2" localSheetId="4">#REF!</definedName>
    <definedName name="________________SCH2">#REF!</definedName>
    <definedName name="________________SCH3" localSheetId="4">#REF!</definedName>
    <definedName name="________________SCH3">#REF!</definedName>
    <definedName name="________________SCH4" localSheetId="4">#REF!</definedName>
    <definedName name="________________SCH4">#REF!</definedName>
    <definedName name="________________SCH5" localSheetId="4">#REF!</definedName>
    <definedName name="________________SCH5">#REF!</definedName>
    <definedName name="________________SCH6" localSheetId="4">#REF!</definedName>
    <definedName name="________________SCH6">#REF!</definedName>
    <definedName name="________________SCH7" localSheetId="4">#REF!</definedName>
    <definedName name="________________SCH7">#REF!</definedName>
    <definedName name="________________SCH8" localSheetId="4">#REF!</definedName>
    <definedName name="________________SCH8">#REF!</definedName>
    <definedName name="________________SCH9" localSheetId="4">#REF!</definedName>
    <definedName name="________________SCH9">#REF!</definedName>
    <definedName name="_______________SCH1" localSheetId="4">#REF!</definedName>
    <definedName name="_______________SCH1">#REF!</definedName>
    <definedName name="_______________SCH10" localSheetId="4">#REF!</definedName>
    <definedName name="_______________SCH10">#REF!</definedName>
    <definedName name="_______________SCH11" localSheetId="4">#REF!</definedName>
    <definedName name="_______________SCH11">#REF!</definedName>
    <definedName name="_______________SCH2" localSheetId="4">#REF!</definedName>
    <definedName name="_______________SCH2">#REF!</definedName>
    <definedName name="_______________SCH3" localSheetId="4">#REF!</definedName>
    <definedName name="_______________SCH3">#REF!</definedName>
    <definedName name="_______________SCH4" localSheetId="4">#REF!</definedName>
    <definedName name="_______________SCH4">#REF!</definedName>
    <definedName name="_______________SCH5" localSheetId="4">#REF!</definedName>
    <definedName name="_______________SCH5">#REF!</definedName>
    <definedName name="_______________SCH6" localSheetId="4">#REF!</definedName>
    <definedName name="_______________SCH6">#REF!</definedName>
    <definedName name="_______________SCH7" localSheetId="4">#REF!</definedName>
    <definedName name="_______________SCH7">#REF!</definedName>
    <definedName name="_______________SCH8" localSheetId="4">#REF!</definedName>
    <definedName name="_______________SCH8">#REF!</definedName>
    <definedName name="_______________SCH9" localSheetId="4">#REF!</definedName>
    <definedName name="_______________SCH9">#REF!</definedName>
    <definedName name="______________SCH1" localSheetId="4">#REF!</definedName>
    <definedName name="______________SCH1">#REF!</definedName>
    <definedName name="______________SCH10" localSheetId="4">#REF!</definedName>
    <definedName name="______________SCH10">#REF!</definedName>
    <definedName name="______________SCH11" localSheetId="4">#REF!</definedName>
    <definedName name="______________SCH11">#REF!</definedName>
    <definedName name="______________SCH2" localSheetId="4">#REF!</definedName>
    <definedName name="______________SCH2">#REF!</definedName>
    <definedName name="______________SCH3" localSheetId="4">#REF!</definedName>
    <definedName name="______________SCH3">#REF!</definedName>
    <definedName name="______________SCH4" localSheetId="4">#REF!</definedName>
    <definedName name="______________SCH4">#REF!</definedName>
    <definedName name="______________SCH5" localSheetId="4">#REF!</definedName>
    <definedName name="______________SCH5">#REF!</definedName>
    <definedName name="______________SCH6" localSheetId="4">#REF!</definedName>
    <definedName name="______________SCH6">#REF!</definedName>
    <definedName name="______________SCH7" localSheetId="4">#REF!</definedName>
    <definedName name="______________SCH7">#REF!</definedName>
    <definedName name="______________SCH8" localSheetId="4">#REF!</definedName>
    <definedName name="______________SCH8">#REF!</definedName>
    <definedName name="______________SCH9" localSheetId="4">#REF!</definedName>
    <definedName name="______________SCH9">#REF!</definedName>
    <definedName name="_____________SCH1" localSheetId="4">#REF!</definedName>
    <definedName name="_____________SCH1">#REF!</definedName>
    <definedName name="_____________SCH10" localSheetId="4">#REF!</definedName>
    <definedName name="_____________SCH10">#REF!</definedName>
    <definedName name="_____________SCH11" localSheetId="4">#REF!</definedName>
    <definedName name="_____________SCH11">#REF!</definedName>
    <definedName name="_____________SCH2" localSheetId="4">#REF!</definedName>
    <definedName name="_____________SCH2">#REF!</definedName>
    <definedName name="_____________SCH3" localSheetId="4">#REF!</definedName>
    <definedName name="_____________SCH3">#REF!</definedName>
    <definedName name="_____________SCH4" localSheetId="4">#REF!</definedName>
    <definedName name="_____________SCH4">#REF!</definedName>
    <definedName name="_____________SCH5" localSheetId="4">#REF!</definedName>
    <definedName name="_____________SCH5">#REF!</definedName>
    <definedName name="_____________SCH6" localSheetId="4">#REF!</definedName>
    <definedName name="_____________SCH6">#REF!</definedName>
    <definedName name="_____________SCH7" localSheetId="4">#REF!</definedName>
    <definedName name="_____________SCH7">#REF!</definedName>
    <definedName name="_____________SCH8" localSheetId="4">#REF!</definedName>
    <definedName name="_____________SCH8">#REF!</definedName>
    <definedName name="_____________SCH9" localSheetId="4">#REF!</definedName>
    <definedName name="_____________SCH9">#REF!</definedName>
    <definedName name="____________SCH1" localSheetId="4">#REF!</definedName>
    <definedName name="____________SCH1">#REF!</definedName>
    <definedName name="____________SCH10" localSheetId="4">#REF!</definedName>
    <definedName name="____________SCH10">#REF!</definedName>
    <definedName name="____________SCH11" localSheetId="4">#REF!</definedName>
    <definedName name="____________SCH11">#REF!</definedName>
    <definedName name="____________SCH2" localSheetId="4">#REF!</definedName>
    <definedName name="____________SCH2">#REF!</definedName>
    <definedName name="____________SCH3" localSheetId="4">#REF!</definedName>
    <definedName name="____________SCH3">#REF!</definedName>
    <definedName name="____________SCH4" localSheetId="4">#REF!</definedName>
    <definedName name="____________SCH4">#REF!</definedName>
    <definedName name="____________SCH5" localSheetId="4">#REF!</definedName>
    <definedName name="____________SCH5">#REF!</definedName>
    <definedName name="____________SCH6" localSheetId="4">#REF!</definedName>
    <definedName name="____________SCH6">#REF!</definedName>
    <definedName name="____________SCH7" localSheetId="4">#REF!</definedName>
    <definedName name="____________SCH7">#REF!</definedName>
    <definedName name="____________SCH8" localSheetId="4">#REF!</definedName>
    <definedName name="____________SCH8">#REF!</definedName>
    <definedName name="____________SCH9" localSheetId="4">#REF!</definedName>
    <definedName name="____________SCH9">#REF!</definedName>
    <definedName name="___________SCH1" localSheetId="4">#REF!</definedName>
    <definedName name="___________SCH1">#REF!</definedName>
    <definedName name="___________SCH10" localSheetId="4">#REF!</definedName>
    <definedName name="___________SCH10">#REF!</definedName>
    <definedName name="___________SCH11" localSheetId="4">#REF!</definedName>
    <definedName name="___________SCH11">#REF!</definedName>
    <definedName name="___________SCH2" localSheetId="4">#REF!</definedName>
    <definedName name="___________SCH2">#REF!</definedName>
    <definedName name="___________SCH3" localSheetId="4">#REF!</definedName>
    <definedName name="___________SCH3">#REF!</definedName>
    <definedName name="___________SCH4" localSheetId="4">#REF!</definedName>
    <definedName name="___________SCH4">#REF!</definedName>
    <definedName name="___________SCH5" localSheetId="4">#REF!</definedName>
    <definedName name="___________SCH5">#REF!</definedName>
    <definedName name="___________SCH6" localSheetId="4">#REF!</definedName>
    <definedName name="___________SCH6">#REF!</definedName>
    <definedName name="___________SCH7" localSheetId="4">#REF!</definedName>
    <definedName name="___________SCH7">#REF!</definedName>
    <definedName name="___________SCH8" localSheetId="4">#REF!</definedName>
    <definedName name="___________SCH8">#REF!</definedName>
    <definedName name="___________SCH9" localSheetId="4">#REF!</definedName>
    <definedName name="___________SCH9">#REF!</definedName>
    <definedName name="__________SCH1" localSheetId="4">#REF!</definedName>
    <definedName name="__________SCH1">#REF!</definedName>
    <definedName name="__________SCH10" localSheetId="4">#REF!</definedName>
    <definedName name="__________SCH10">#REF!</definedName>
    <definedName name="__________SCH11" localSheetId="4">#REF!</definedName>
    <definedName name="__________SCH11">#REF!</definedName>
    <definedName name="__________SCH2" localSheetId="4">#REF!</definedName>
    <definedName name="__________SCH2">#REF!</definedName>
    <definedName name="__________SCH3" localSheetId="4">#REF!</definedName>
    <definedName name="__________SCH3">#REF!</definedName>
    <definedName name="__________SCH4" localSheetId="4">#REF!</definedName>
    <definedName name="__________SCH4">#REF!</definedName>
    <definedName name="__________SCH5" localSheetId="4">#REF!</definedName>
    <definedName name="__________SCH5">#REF!</definedName>
    <definedName name="__________SCH6" localSheetId="4">#REF!</definedName>
    <definedName name="__________SCH6">#REF!</definedName>
    <definedName name="__________SCH7" localSheetId="4">#REF!</definedName>
    <definedName name="__________SCH7">#REF!</definedName>
    <definedName name="__________SCH8" localSheetId="4">#REF!</definedName>
    <definedName name="__________SCH8">#REF!</definedName>
    <definedName name="__________SCH9" localSheetId="4">#REF!</definedName>
    <definedName name="__________SCH9">#REF!</definedName>
    <definedName name="_________SCH1" localSheetId="4">#REF!</definedName>
    <definedName name="_________SCH1">#REF!</definedName>
    <definedName name="_________SCH10" localSheetId="4">#REF!</definedName>
    <definedName name="_________SCH10">#REF!</definedName>
    <definedName name="_________SCH11" localSheetId="4">#REF!</definedName>
    <definedName name="_________SCH11">#REF!</definedName>
    <definedName name="_________SCH2" localSheetId="4">#REF!</definedName>
    <definedName name="_________SCH2">#REF!</definedName>
    <definedName name="_________SCH3" localSheetId="4">#REF!</definedName>
    <definedName name="_________SCH3">#REF!</definedName>
    <definedName name="_________SCH4" localSheetId="4">#REF!</definedName>
    <definedName name="_________SCH4">#REF!</definedName>
    <definedName name="_________SCH5" localSheetId="4">#REF!</definedName>
    <definedName name="_________SCH5">#REF!</definedName>
    <definedName name="_________SCH6" localSheetId="4">#REF!</definedName>
    <definedName name="_________SCH6">#REF!</definedName>
    <definedName name="_________SCH7" localSheetId="4">#REF!</definedName>
    <definedName name="_________SCH7">#REF!</definedName>
    <definedName name="_________SCH8" localSheetId="4">#REF!</definedName>
    <definedName name="_________SCH8">#REF!</definedName>
    <definedName name="_________SCH9" localSheetId="4">#REF!</definedName>
    <definedName name="_________SCH9">#REF!</definedName>
    <definedName name="_________XL__ENTER_UNIT" localSheetId="4">#REF!</definedName>
    <definedName name="_________XL__ENTER_UNIT">#REF!</definedName>
    <definedName name="________SCH1" localSheetId="4">#REF!</definedName>
    <definedName name="________SCH1">#REF!</definedName>
    <definedName name="________SCH10" localSheetId="4">#REF!</definedName>
    <definedName name="________SCH10">#REF!</definedName>
    <definedName name="________SCH11" localSheetId="4">#REF!</definedName>
    <definedName name="________SCH11">#REF!</definedName>
    <definedName name="________SCH2" localSheetId="4">#REF!</definedName>
    <definedName name="________SCH2">#REF!</definedName>
    <definedName name="________SCH3" localSheetId="4">#REF!</definedName>
    <definedName name="________SCH3">#REF!</definedName>
    <definedName name="________SCH4" localSheetId="4">#REF!</definedName>
    <definedName name="________SCH4">#REF!</definedName>
    <definedName name="________SCH5" localSheetId="4">#REF!</definedName>
    <definedName name="________SCH5">#REF!</definedName>
    <definedName name="________SCH6" localSheetId="4">#REF!</definedName>
    <definedName name="________SCH6">#REF!</definedName>
    <definedName name="________SCH7" localSheetId="4">#REF!</definedName>
    <definedName name="________SCH7">#REF!</definedName>
    <definedName name="________SCH8" localSheetId="4">#REF!</definedName>
    <definedName name="________SCH8">#REF!</definedName>
    <definedName name="________SCH9" localSheetId="4">#REF!</definedName>
    <definedName name="________SCH9">#REF!</definedName>
    <definedName name="_______SCH1" localSheetId="4">#REF!</definedName>
    <definedName name="_______SCH1">#REF!</definedName>
    <definedName name="_______SCH10" localSheetId="4">#REF!</definedName>
    <definedName name="_______SCH10">#REF!</definedName>
    <definedName name="_______SCH11" localSheetId="4">#REF!</definedName>
    <definedName name="_______SCH11">#REF!</definedName>
    <definedName name="_______SCH2" localSheetId="4">#REF!</definedName>
    <definedName name="_______SCH2">#REF!</definedName>
    <definedName name="_______SCH3" localSheetId="4">#REF!</definedName>
    <definedName name="_______SCH3">#REF!</definedName>
    <definedName name="_______SCH4" localSheetId="4">#REF!</definedName>
    <definedName name="_______SCH4">#REF!</definedName>
    <definedName name="_______SCH5" localSheetId="4">#REF!</definedName>
    <definedName name="_______SCH5">#REF!</definedName>
    <definedName name="_______SCH6" localSheetId="4">'[1]04REL'!#REF!</definedName>
    <definedName name="_______SCH6">'[1]04REL'!#REF!</definedName>
    <definedName name="_______SCH7" localSheetId="3">#REF!</definedName>
    <definedName name="_______SCH7" localSheetId="4">#REF!</definedName>
    <definedName name="_______SCH7" localSheetId="6">#REF!</definedName>
    <definedName name="_______SCH7">#REF!</definedName>
    <definedName name="_______SCH8" localSheetId="3">#REF!</definedName>
    <definedName name="_______SCH8" localSheetId="4">#REF!</definedName>
    <definedName name="_______SCH8" localSheetId="6">#REF!</definedName>
    <definedName name="_______SCH8">#REF!</definedName>
    <definedName name="_______SCH9" localSheetId="3">#REF!</definedName>
    <definedName name="_______SCH9" localSheetId="4">#REF!</definedName>
    <definedName name="_______SCH9" localSheetId="6">#REF!</definedName>
    <definedName name="_______SCH9">#REF!</definedName>
    <definedName name="_______XL__ENTER_UNIT" localSheetId="4">#REF!</definedName>
    <definedName name="_______XL__ENTER_UNIT">#REF!</definedName>
    <definedName name="______SCH1" localSheetId="4">#REF!</definedName>
    <definedName name="______SCH1">#REF!</definedName>
    <definedName name="______SCH10" localSheetId="4">#REF!</definedName>
    <definedName name="______SCH10">#REF!</definedName>
    <definedName name="______SCH11" localSheetId="4">#REF!</definedName>
    <definedName name="______SCH11">#REF!</definedName>
    <definedName name="______SCH2" localSheetId="4">#REF!</definedName>
    <definedName name="______SCH2">#REF!</definedName>
    <definedName name="______SCH3" localSheetId="4">#REF!</definedName>
    <definedName name="______SCH3">#REF!</definedName>
    <definedName name="______SCH4" localSheetId="4">#REF!</definedName>
    <definedName name="______SCH4">#REF!</definedName>
    <definedName name="______SCH5" localSheetId="4">#REF!</definedName>
    <definedName name="______SCH5">#REF!</definedName>
    <definedName name="______SCH6" localSheetId="4">'[1]04REL'!#REF!</definedName>
    <definedName name="______SCH6">'[1]04REL'!#REF!</definedName>
    <definedName name="______SCH7" localSheetId="3">#REF!</definedName>
    <definedName name="______SCH7" localSheetId="4">#REF!</definedName>
    <definedName name="______SCH7" localSheetId="6">#REF!</definedName>
    <definedName name="______SCH7">#REF!</definedName>
    <definedName name="______SCH8" localSheetId="3">#REF!</definedName>
    <definedName name="______SCH8" localSheetId="4">#REF!</definedName>
    <definedName name="______SCH8" localSheetId="6">#REF!</definedName>
    <definedName name="______SCH8">#REF!</definedName>
    <definedName name="______SCH9" localSheetId="3">#REF!</definedName>
    <definedName name="______SCH9" localSheetId="4">#REF!</definedName>
    <definedName name="______SCH9" localSheetId="6">#REF!</definedName>
    <definedName name="______SCH9">#REF!</definedName>
    <definedName name="______XL__ENTER_UNIT" localSheetId="4">#REF!</definedName>
    <definedName name="______XL__ENTER_UNIT">#REF!</definedName>
    <definedName name="_____SCH1" localSheetId="4">#REF!</definedName>
    <definedName name="_____SCH1">#REF!</definedName>
    <definedName name="_____SCH10" localSheetId="4">#REF!</definedName>
    <definedName name="_____SCH10">#REF!</definedName>
    <definedName name="_____SCH11" localSheetId="4">#REF!</definedName>
    <definedName name="_____SCH11">#REF!</definedName>
    <definedName name="_____SCH2" localSheetId="4">#REF!</definedName>
    <definedName name="_____SCH2">#REF!</definedName>
    <definedName name="_____SCH3" localSheetId="4">#REF!</definedName>
    <definedName name="_____SCH3">#REF!</definedName>
    <definedName name="_____SCH4" localSheetId="4">#REF!</definedName>
    <definedName name="_____SCH4">#REF!</definedName>
    <definedName name="_____SCH5" localSheetId="4">#REF!</definedName>
    <definedName name="_____SCH5">#REF!</definedName>
    <definedName name="_____SCH6" localSheetId="4">'[1]04REL'!#REF!</definedName>
    <definedName name="_____SCH6">'[1]04REL'!#REF!</definedName>
    <definedName name="_____SCH7" localSheetId="3">#REF!</definedName>
    <definedName name="_____SCH7" localSheetId="4">#REF!</definedName>
    <definedName name="_____SCH7" localSheetId="6">#REF!</definedName>
    <definedName name="_____SCH7">#REF!</definedName>
    <definedName name="_____SCH8" localSheetId="3">#REF!</definedName>
    <definedName name="_____SCH8" localSheetId="4">#REF!</definedName>
    <definedName name="_____SCH8" localSheetId="6">#REF!</definedName>
    <definedName name="_____SCH8">#REF!</definedName>
    <definedName name="_____SCH9" localSheetId="3">#REF!</definedName>
    <definedName name="_____SCH9" localSheetId="4">#REF!</definedName>
    <definedName name="_____SCH9" localSheetId="6">#REF!</definedName>
    <definedName name="_____SCH9">#REF!</definedName>
    <definedName name="____SCH1" localSheetId="4">#REF!</definedName>
    <definedName name="____SCH1">#REF!</definedName>
    <definedName name="____SCH10" localSheetId="4">#REF!</definedName>
    <definedName name="____SCH10">#REF!</definedName>
    <definedName name="____SCH11" localSheetId="4">#REF!</definedName>
    <definedName name="____SCH11">#REF!</definedName>
    <definedName name="____SCH2" localSheetId="4">#REF!</definedName>
    <definedName name="____SCH2">#REF!</definedName>
    <definedName name="____SCH3" localSheetId="4">#REF!</definedName>
    <definedName name="____SCH3">#REF!</definedName>
    <definedName name="____SCH4" localSheetId="4">#REF!</definedName>
    <definedName name="____SCH4">#REF!</definedName>
    <definedName name="____SCH5" localSheetId="4">#REF!</definedName>
    <definedName name="____SCH5">#REF!</definedName>
    <definedName name="____SCH6" localSheetId="4">'[1]04REL'!#REF!</definedName>
    <definedName name="____SCH6">'[1]04REL'!#REF!</definedName>
    <definedName name="____SCH7" localSheetId="3">#REF!</definedName>
    <definedName name="____SCH7" localSheetId="4">#REF!</definedName>
    <definedName name="____SCH7" localSheetId="6">#REF!</definedName>
    <definedName name="____SCH7">#REF!</definedName>
    <definedName name="____SCH8" localSheetId="3">#REF!</definedName>
    <definedName name="____SCH8" localSheetId="4">#REF!</definedName>
    <definedName name="____SCH8" localSheetId="6">#REF!</definedName>
    <definedName name="____SCH8">#REF!</definedName>
    <definedName name="____SCH9" localSheetId="3">#REF!</definedName>
    <definedName name="____SCH9" localSheetId="4">#REF!</definedName>
    <definedName name="____SCH9" localSheetId="6">#REF!</definedName>
    <definedName name="____SCH9">#REF!</definedName>
    <definedName name="____XL__ENTER_UNIT" localSheetId="4">#REF!</definedName>
    <definedName name="____XL__ENTER_UNIT">#REF!</definedName>
    <definedName name="___INDEX_SHEET___ASAP_Utilities" localSheetId="4">#REF!</definedName>
    <definedName name="___INDEX_SHEET___ASAP_Utilities">#REF!</definedName>
    <definedName name="___SCH1" localSheetId="4">#REF!</definedName>
    <definedName name="___SCH1">#REF!</definedName>
    <definedName name="___SCH10" localSheetId="4">#REF!</definedName>
    <definedName name="___SCH10">#REF!</definedName>
    <definedName name="___SCH11" localSheetId="4">#REF!</definedName>
    <definedName name="___SCH11">#REF!</definedName>
    <definedName name="___SCH2" localSheetId="4">#REF!</definedName>
    <definedName name="___SCH2">#REF!</definedName>
    <definedName name="___SCH3" localSheetId="4">#REF!</definedName>
    <definedName name="___SCH3">#REF!</definedName>
    <definedName name="___SCH4" localSheetId="4">#REF!</definedName>
    <definedName name="___SCH4">#REF!</definedName>
    <definedName name="___SCH5" localSheetId="4">#REF!</definedName>
    <definedName name="___SCH5">#REF!</definedName>
    <definedName name="___SCH6" localSheetId="4">'[1]04REL'!#REF!</definedName>
    <definedName name="___SCH6">'[1]04REL'!#REF!</definedName>
    <definedName name="___SCH7" localSheetId="3">#REF!</definedName>
    <definedName name="___SCH7" localSheetId="4">#REF!</definedName>
    <definedName name="___SCH7" localSheetId="6">#REF!</definedName>
    <definedName name="___SCH7">#REF!</definedName>
    <definedName name="___SCH8" localSheetId="3">#REF!</definedName>
    <definedName name="___SCH8" localSheetId="4">#REF!</definedName>
    <definedName name="___SCH8" localSheetId="6">#REF!</definedName>
    <definedName name="___SCH8">#REF!</definedName>
    <definedName name="___SCH9" localSheetId="3">#REF!</definedName>
    <definedName name="___SCH9" localSheetId="4">#REF!</definedName>
    <definedName name="___SCH9" localSheetId="6">#REF!</definedName>
    <definedName name="___SCH9">#REF!</definedName>
    <definedName name="___XL__ENTER_UNIT" localSheetId="4">#REF!</definedName>
    <definedName name="___XL__ENTER_UNIT">#REF!</definedName>
    <definedName name="__123Graph_A" localSheetId="4" hidden="1">[2]CE!#REF!</definedName>
    <definedName name="__123Graph_A" hidden="1">[2]CE!#REF!</definedName>
    <definedName name="__123Graph_ASTNPLF" localSheetId="4" hidden="1">[2]CE!#REF!</definedName>
    <definedName name="__123Graph_ASTNPLF" hidden="1">[2]CE!#REF!</definedName>
    <definedName name="__123Graph_B" localSheetId="4" hidden="1">[2]CE!#REF!</definedName>
    <definedName name="__123Graph_B" hidden="1">[2]CE!#REF!</definedName>
    <definedName name="__123Graph_BSTNPLF" localSheetId="4" hidden="1">[2]CE!#REF!</definedName>
    <definedName name="__123Graph_BSTNPLF" hidden="1">[2]CE!#REF!</definedName>
    <definedName name="__123Graph_C" localSheetId="4" hidden="1">[2]CE!#REF!</definedName>
    <definedName name="__123Graph_C" hidden="1">[2]CE!#REF!</definedName>
    <definedName name="__123Graph_CSTNPLF" localSheetId="4" hidden="1">[2]CE!#REF!</definedName>
    <definedName name="__123Graph_CSTNPLF" hidden="1">[2]CE!#REF!</definedName>
    <definedName name="__123Graph_X" localSheetId="4" hidden="1">[2]CE!#REF!</definedName>
    <definedName name="__123Graph_X" hidden="1">[2]CE!#REF!</definedName>
    <definedName name="__123Graph_XSTNPLF" localSheetId="4" hidden="1">[2]CE!#REF!</definedName>
    <definedName name="__123Graph_XSTNPLF" hidden="1">[2]CE!#REF!</definedName>
    <definedName name="__DOWN_10__GOTO" localSheetId="3">#REF!</definedName>
    <definedName name="__DOWN_10__GOTO" localSheetId="4">#REF!</definedName>
    <definedName name="__DOWN_10__GOTO" localSheetId="6">#REF!</definedName>
    <definedName name="__DOWN_10__GOTO">#REF!</definedName>
    <definedName name="__ES84__EW84_0." localSheetId="3">#REF!</definedName>
    <definedName name="__ES84__EW84_0." localSheetId="4">#REF!</definedName>
    <definedName name="__ES84__EW84_0." localSheetId="6">#REF!</definedName>
    <definedName name="__ES84__EW84_0.">#REF!</definedName>
    <definedName name="__FDS_HYPERLINK_TOGGLE_STATE__" hidden="1">"ON"</definedName>
    <definedName name="__GOTO_EP84__AV" localSheetId="3">#REF!</definedName>
    <definedName name="__GOTO_EP84__AV" localSheetId="4">#REF!</definedName>
    <definedName name="__GOTO_EP84__AV">#REF!</definedName>
    <definedName name="__SCH1" localSheetId="4">#REF!</definedName>
    <definedName name="__SCH1">#REF!</definedName>
    <definedName name="__SCH10" localSheetId="4">#REF!</definedName>
    <definedName name="__SCH10">#REF!</definedName>
    <definedName name="__SCH11" localSheetId="4">#REF!</definedName>
    <definedName name="__SCH11">#REF!</definedName>
    <definedName name="__SCH2" localSheetId="4">#REF!</definedName>
    <definedName name="__SCH2">#REF!</definedName>
    <definedName name="__SCH3" localSheetId="4">#REF!</definedName>
    <definedName name="__SCH3">#REF!</definedName>
    <definedName name="__SCH4" localSheetId="4">#REF!</definedName>
    <definedName name="__SCH4">#REF!</definedName>
    <definedName name="__SCH5" localSheetId="4">#REF!</definedName>
    <definedName name="__SCH5">#REF!</definedName>
    <definedName name="__SCH6" localSheetId="4">'[1]04REL'!#REF!</definedName>
    <definedName name="__SCH6">'[1]04REL'!#REF!</definedName>
    <definedName name="__SCH7" localSheetId="3">#REF!</definedName>
    <definedName name="__SCH7" localSheetId="4">#REF!</definedName>
    <definedName name="__SCH7" localSheetId="6">#REF!</definedName>
    <definedName name="__SCH7">#REF!</definedName>
    <definedName name="__SCH8" localSheetId="3">#REF!</definedName>
    <definedName name="__SCH8" localSheetId="4">#REF!</definedName>
    <definedName name="__SCH8" localSheetId="6">#REF!</definedName>
    <definedName name="__SCH8">#REF!</definedName>
    <definedName name="__SCH9" localSheetId="3">#REF!</definedName>
    <definedName name="__SCH9" localSheetId="4">#REF!</definedName>
    <definedName name="__SCH9" localSheetId="6">#REF!</definedName>
    <definedName name="__SCH9">#REF!</definedName>
    <definedName name="__SUM_CS57..CS6" localSheetId="4">#REF!</definedName>
    <definedName name="__SUM_CS57..CS6">#REF!</definedName>
    <definedName name="__SUM_CS65..CS7" localSheetId="4">#REF!</definedName>
    <definedName name="__SUM_CS65..CS7">#REF!</definedName>
    <definedName name="__SUM_FQ20..FQ2" localSheetId="4">#REF!</definedName>
    <definedName name="__SUM_FQ20..FQ2">#REF!</definedName>
    <definedName name="__SUM_FQ28..FQ3" localSheetId="4">#REF!</definedName>
    <definedName name="__SUM_FQ28..FQ3">#REF!</definedName>
    <definedName name="__XL__ENTER_UNIT" localSheetId="4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4">#REF!</definedName>
    <definedName name="_5">#REF!</definedName>
    <definedName name="_6" localSheetId="4">#REF!</definedName>
    <definedName name="_6">#REF!</definedName>
    <definedName name="_ann2" localSheetId="4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3">#REF!</definedName>
    <definedName name="_D___GOTO_GK112" localSheetId="4">#REF!</definedName>
    <definedName name="_D___GOTO_GK112" localSheetId="6">#REF!</definedName>
    <definedName name="_D___GOTO_GK112">#REF!</definedName>
    <definedName name="_D___GOTO_GK56_" localSheetId="3">#REF!</definedName>
    <definedName name="_D___GOTO_GK56_" localSheetId="4">#REF!</definedName>
    <definedName name="_D___GOTO_GK56_" localSheetId="6">#REF!</definedName>
    <definedName name="_D___GOTO_GK56_">#REF!</definedName>
    <definedName name="_D__D___L___GOT" localSheetId="3">#REF!</definedName>
    <definedName name="_D__D___L___GOT" localSheetId="4">#REF!</definedName>
    <definedName name="_D__D___L___GOT" localSheetId="6">#REF!</definedName>
    <definedName name="_D__D___L___GOT">#REF!</definedName>
    <definedName name="_D__D__D___D__D" localSheetId="4">#REF!</definedName>
    <definedName name="_D__D__D___D__D">#REF!</definedName>
    <definedName name="_D_19__U_19_" localSheetId="4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4">#REF!</definedName>
    <definedName name="_DOWN_9__RIGHT_">#REF!</definedName>
    <definedName name="_eva97">#REF!</definedName>
    <definedName name="_fcf97">#REF!</definedName>
    <definedName name="_Fill" localSheetId="4" hidden="1">#REF!</definedName>
    <definedName name="_Fill" hidden="1">#REF!</definedName>
    <definedName name="_FROM__R__R__08" localSheetId="4">#REF!</definedName>
    <definedName name="_FROM__R__R__08">#REF!</definedName>
    <definedName name="_FROM__R__R__16" localSheetId="4">#REF!</definedName>
    <definedName name="_FROM__R__R__16">#REF!</definedName>
    <definedName name="_FSTEMP_">#REF!</definedName>
    <definedName name="_GENERATION__R_" localSheetId="4">#REF!</definedName>
    <definedName name="_GENERATION__R_">#REF!</definedName>
    <definedName name="_GOTO_BT49__R__" localSheetId="4">#REF!</definedName>
    <definedName name="_GOTO_BT49__R__">#REF!</definedName>
    <definedName name="_GOTO_CF11__?__" localSheetId="4">#REF!</definedName>
    <definedName name="_GOTO_CF11__?__">#REF!</definedName>
    <definedName name="_GOTO_EO75__WEK" localSheetId="4">#REF!</definedName>
    <definedName name="_GOTO_EO75__WEK">#REF!</definedName>
    <definedName name="_GOTO_EP82__PEA" localSheetId="4">#REF!</definedName>
    <definedName name="_GOTO_EP82__PEA">#REF!</definedName>
    <definedName name="_GOTO_EP86__PER" localSheetId="4">#REF!</definedName>
    <definedName name="_GOTO_EP86__PER">#REF!</definedName>
    <definedName name="_GOTO_FO112__RV" localSheetId="4">#REF!</definedName>
    <definedName name="_GOTO_FO112__RV">#REF!</definedName>
    <definedName name="_GOTO_FO56__RV_" localSheetId="4">#REF!</definedName>
    <definedName name="_GOTO_FO56__RV_">#REF!</definedName>
    <definedName name="_HOME__GOTO_M14" localSheetId="4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3">#REF!</definedName>
    <definedName name="_PLF__R__R___ES" localSheetId="4">#REF!</definedName>
    <definedName name="_PLF__R__R___ES" localSheetId="6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3">#REF!</definedName>
    <definedName name="_RV_DOWN_6__LEF" localSheetId="4">#REF!</definedName>
    <definedName name="_RV_DOWN_6__LEF" localSheetId="6">#REF!</definedName>
    <definedName name="_RV_DOWN_6__LEF">#REF!</definedName>
    <definedName name="_SCH1" localSheetId="3">#REF!</definedName>
    <definedName name="_SCH1" localSheetId="4">#REF!</definedName>
    <definedName name="_SCH1" localSheetId="6">#REF!</definedName>
    <definedName name="_SCH1">#REF!</definedName>
    <definedName name="_SCH10" localSheetId="4">#REF!</definedName>
    <definedName name="_SCH10">#REF!</definedName>
    <definedName name="_SCH11" localSheetId="4">#REF!</definedName>
    <definedName name="_SCH11">#REF!</definedName>
    <definedName name="_SCH12">[4]BSPL!$A$655:$D$692</definedName>
    <definedName name="_sch13">[4]BSPL!$A$694:$D$744</definedName>
    <definedName name="_SCH2" localSheetId="3">#REF!</definedName>
    <definedName name="_SCH2" localSheetId="4">#REF!</definedName>
    <definedName name="_SCH2" localSheetId="6">#REF!</definedName>
    <definedName name="_SCH2">#REF!</definedName>
    <definedName name="_SCH3" localSheetId="3">#REF!</definedName>
    <definedName name="_SCH3" localSheetId="4">#REF!</definedName>
    <definedName name="_SCH3" localSheetId="6">#REF!</definedName>
    <definedName name="_SCH3">#REF!</definedName>
    <definedName name="_SCH4" localSheetId="3">#REF!</definedName>
    <definedName name="_SCH4" localSheetId="4">#REF!</definedName>
    <definedName name="_SCH4" localSheetId="6">#REF!</definedName>
    <definedName name="_SCH4">#REF!</definedName>
    <definedName name="_SCH5" localSheetId="4">#REF!</definedName>
    <definedName name="_SCH5">#REF!</definedName>
    <definedName name="_SCH6" localSheetId="4">'[1]04REL'!#REF!</definedName>
    <definedName name="_SCH6">'[1]04REL'!#REF!</definedName>
    <definedName name="_SCH7" localSheetId="3">#REF!</definedName>
    <definedName name="_SCH7" localSheetId="4">#REF!</definedName>
    <definedName name="_SCH7" localSheetId="6">#REF!</definedName>
    <definedName name="_SCH7">#REF!</definedName>
    <definedName name="_SCH8" localSheetId="3">#REF!</definedName>
    <definedName name="_SCH8" localSheetId="4">#REF!</definedName>
    <definedName name="_SCH8" localSheetId="6">#REF!</definedName>
    <definedName name="_SCH8">#REF!</definedName>
    <definedName name="_SCH9" localSheetId="3">#REF!</definedName>
    <definedName name="_SCH9" localSheetId="4">#REF!</definedName>
    <definedName name="_SCH9" localSheetId="6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3">#REF!</definedName>
    <definedName name="_SUM_DI14..DI21" localSheetId="4">#REF!</definedName>
    <definedName name="_SUM_DI14..DI21">#REF!</definedName>
    <definedName name="_SUM_DI22..DI29" localSheetId="4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3">#REF!</definedName>
    <definedName name="_U__END__U__D__" localSheetId="4">#REF!</definedName>
    <definedName name="_U__END__U__D__" localSheetId="6">#REF!</definedName>
    <definedName name="_U__END__U__D__">#REF!</definedName>
    <definedName name="_U__U__END__U__" localSheetId="4">#REF!</definedName>
    <definedName name="_U__U__END__U__">#REF!</definedName>
    <definedName name="_U__U__U__U__U_" localSheetId="4">#REF!</definedName>
    <definedName name="_U__U__U__U__U_">#REF!</definedName>
    <definedName name="_WGPD_GOTO_CO10" localSheetId="4">#REF!</definedName>
    <definedName name="_WGPD_GOTO_CO10">#REF!</definedName>
    <definedName name="A" localSheetId="4">#REF!</definedName>
    <definedName name="A">#REF!</definedName>
    <definedName name="A_GEN1.DomesticCompFlg">[6]GENERAL!$AQ$15</definedName>
    <definedName name="A_GEN1.ResidentialStatus">[6]GENERAL!$U$32</definedName>
    <definedName name="AA" localSheetId="3">#REF!</definedName>
    <definedName name="AA" localSheetId="4">#REF!</definedName>
    <definedName name="AA" localSheetId="6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3">#REF!</definedName>
    <definedName name="achscs" localSheetId="4">#REF!</definedName>
    <definedName name="achscs" localSheetId="6">#REF!</definedName>
    <definedName name="achscs">#REF!</definedName>
    <definedName name="ACL">#REF!</definedName>
    <definedName name="Acq" localSheetId="4">#REF!</definedName>
    <definedName name="Acq">#REF!</definedName>
    <definedName name="Act_DSCR" localSheetId="4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3">#REF!</definedName>
    <definedName name="adsds" localSheetId="4">#REF!</definedName>
    <definedName name="adsds" localSheetId="6">#REF!</definedName>
    <definedName name="adsds">#REF!</definedName>
    <definedName name="afasfasf" localSheetId="3">#REF!</definedName>
    <definedName name="afasfasf" localSheetId="4">#REF!</definedName>
    <definedName name="afasfasf" localSheetId="6">#REF!</definedName>
    <definedName name="afasfasf">#REF!</definedName>
    <definedName name="AggregateInc">[6]Calculator!$M$3</definedName>
    <definedName name="ahjsdhjkdh" localSheetId="3">#REF!</definedName>
    <definedName name="ahjsdhjkdh" localSheetId="4">#REF!</definedName>
    <definedName name="ahjsdhjkdh" localSheetId="6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3">#REF!</definedName>
    <definedName name="asaaa" localSheetId="4">#REF!</definedName>
    <definedName name="asaaa" localSheetId="6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3">#REF!</definedName>
    <definedName name="atyfafa" localSheetId="4">#REF!</definedName>
    <definedName name="atyfafa" localSheetId="6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3">#REF!</definedName>
    <definedName name="AUX_Base" localSheetId="4">#REF!</definedName>
    <definedName name="AUX_Base" localSheetId="6">#REF!</definedName>
    <definedName name="AUX_Base">#REF!</definedName>
    <definedName name="Aux_Sen" localSheetId="3">#REF!</definedName>
    <definedName name="Aux_Sen" localSheetId="4">#REF!</definedName>
    <definedName name="Aux_Sen" localSheetId="6">#REF!</definedName>
    <definedName name="Aux_Sen">#REF!</definedName>
    <definedName name="AV" localSheetId="3">#REF!</definedName>
    <definedName name="AV" localSheetId="4">#REF!</definedName>
    <definedName name="AV" localSheetId="6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3">#REF!</definedName>
    <definedName name="b" localSheetId="4">#REF!</definedName>
    <definedName name="b" localSheetId="6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3">#REF!</definedName>
    <definedName name="Base_Case" localSheetId="4">#REF!</definedName>
    <definedName name="Base_Case" localSheetId="6">#REF!</definedName>
    <definedName name="Base_Case">#REF!</definedName>
    <definedName name="BASE_DSCR" localSheetId="3">#REF!</definedName>
    <definedName name="BASE_DSCR" localSheetId="4">#REF!</definedName>
    <definedName name="BASE_DSCR" localSheetId="6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3">#REF!</definedName>
    <definedName name="bfjksbnf" localSheetId="4">#REF!</definedName>
    <definedName name="bfjksbnf" localSheetId="6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3">#REF!,#REF!</definedName>
    <definedName name="bgbgb" localSheetId="4">#REF!,#REF!</definedName>
    <definedName name="bgbgb" localSheetId="6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3">#REF!</definedName>
    <definedName name="BS" localSheetId="4">#REF!</definedName>
    <definedName name="BS" localSheetId="6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3">[26]Schedule1!#REF!</definedName>
    <definedName name="BuiltIn_Print_Area___0" localSheetId="4">[26]Schedule1!#REF!</definedName>
    <definedName name="BuiltIn_Print_Area___0" localSheetId="6">[26]Schedule1!#REF!</definedName>
    <definedName name="BuiltIn_Print_Area___0">[26]Schedule1!#REF!</definedName>
    <definedName name="BuiltIn_Print_Area___0___0" localSheetId="3">[27]GROUPING!#REF!</definedName>
    <definedName name="BuiltIn_Print_Area___0___0" localSheetId="4">[27]GROUPING!#REF!</definedName>
    <definedName name="BuiltIn_Print_Area___0___0" localSheetId="6">[27]GROUPING!#REF!</definedName>
    <definedName name="BuiltIn_Print_Area___0___0">[27]GROUPING!#REF!</definedName>
    <definedName name="BuiltIn_Print_Area___0___0___0___0" localSheetId="4">[27]GROUPING!#REF!</definedName>
    <definedName name="BuiltIn_Print_Area___0___0___0___0">[27]GROUPING!#REF!</definedName>
    <definedName name="BuiltIn_Print_Area___0___0___0___0___0" localSheetId="4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3">'[28]2000-01'!#REF!</definedName>
    <definedName name="C_Data_1" localSheetId="4">'[28]2000-01'!#REF!</definedName>
    <definedName name="C_Data_1" localSheetId="6">'[28]2000-01'!#REF!</definedName>
    <definedName name="C_Data_1">'[28]2000-01'!#REF!</definedName>
    <definedName name="C_Data_2" localSheetId="3">'[28]2000-01'!#REF!</definedName>
    <definedName name="C_Data_2" localSheetId="4">'[28]2000-01'!#REF!</definedName>
    <definedName name="C_Data_2" localSheetId="6">'[28]2000-01'!#REF!</definedName>
    <definedName name="C_Data_2">'[28]2000-01'!#REF!</definedName>
    <definedName name="C_Eligible">'[6]80G'!$L$1</definedName>
    <definedName name="CAL_MEL" localSheetId="3">#REF!</definedName>
    <definedName name="CAL_MEL" localSheetId="4">#REF!</definedName>
    <definedName name="CAL_MEL" localSheetId="6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3">#REF!</definedName>
    <definedName name="CAP_Base" localSheetId="4">#REF!</definedName>
    <definedName name="CAP_Base" localSheetId="6">#REF!</definedName>
    <definedName name="CAP_Base">#REF!</definedName>
    <definedName name="CAP_SEN" localSheetId="3">#REF!</definedName>
    <definedName name="CAP_SEN" localSheetId="4">#REF!</definedName>
    <definedName name="CAP_SEN" localSheetId="6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3">#REF!</definedName>
    <definedName name="CM10_C_RIGHT___" localSheetId="4">#REF!</definedName>
    <definedName name="CM10_C_RIGHT___" localSheetId="6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3">#REF!</definedName>
    <definedName name="COAL_ESC_BASE" localSheetId="4">#REF!</definedName>
    <definedName name="COAL_ESC_BASE" localSheetId="6">#REF!</definedName>
    <definedName name="COAL_ESC_BASE">#REF!</definedName>
    <definedName name="COAL_ESC_SEN" localSheetId="3">#REF!</definedName>
    <definedName name="COAL_ESC_SEN" localSheetId="4">#REF!</definedName>
    <definedName name="COAL_ESC_SEN" localSheetId="6">#REF!</definedName>
    <definedName name="COAL_ESC_SEN">#REF!</definedName>
    <definedName name="CoalSPV_DSCR" localSheetId="3">#REF!</definedName>
    <definedName name="CoalSPV_DSCR" localSheetId="4">#REF!</definedName>
    <definedName name="CoalSPV_DSCR" localSheetId="6">#REF!</definedName>
    <definedName name="CoalSPV_DSCR">#REF!</definedName>
    <definedName name="COALSPV_FLAG" localSheetId="3">[11]Input!#REF!</definedName>
    <definedName name="COALSPV_FLAG" localSheetId="4">[11]Input!#REF!</definedName>
    <definedName name="COALSPV_FLAG" localSheetId="6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3">#REF!</definedName>
    <definedName name="CUF_.5" localSheetId="4">#REF!</definedName>
    <definedName name="CUF_.5" localSheetId="6">#REF!</definedName>
    <definedName name="CUF_.5">#REF!</definedName>
    <definedName name="CUF_1" localSheetId="3">#REF!</definedName>
    <definedName name="CUF_1" localSheetId="4">#REF!</definedName>
    <definedName name="CUF_1" localSheetId="6">#REF!</definedName>
    <definedName name="CUF_1">#REF!</definedName>
    <definedName name="CUF_1.5" localSheetId="3">#REF!</definedName>
    <definedName name="CUF_1.5" localSheetId="4">#REF!</definedName>
    <definedName name="CUF_1.5" localSheetId="6">#REF!</definedName>
    <definedName name="CUF_1.5">#REF!</definedName>
    <definedName name="CUF_2" localSheetId="4">#REF!</definedName>
    <definedName name="CUF_2">#REF!</definedName>
    <definedName name="CUF_2.5" localSheetId="4">#REF!</definedName>
    <definedName name="CUF_2.5">#REF!</definedName>
    <definedName name="CUF_3" localSheetId="4">#REF!</definedName>
    <definedName name="CUF_3">#REF!</definedName>
    <definedName name="CUF_P50" localSheetId="4">#REF!</definedName>
    <definedName name="CUF_P50">#REF!</definedName>
    <definedName name="CUF_P75" localSheetId="4">#REF!</definedName>
    <definedName name="CUF_P75">#REF!</definedName>
    <definedName name="Cum_Int">#REF!</definedName>
    <definedName name="CurA" localSheetId="4">#REF!</definedName>
    <definedName name="CurA">#REF!</definedName>
    <definedName name="CurT" localSheetId="4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3">#REF!</definedName>
    <definedName name="CV" localSheetId="4">#REF!</definedName>
    <definedName name="CV" localSheetId="6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3">#REF!</definedName>
    <definedName name="D_1" localSheetId="4">#REF!</definedName>
    <definedName name="D_1" localSheetId="6">#REF!</definedName>
    <definedName name="D_1">#REF!</definedName>
    <definedName name="D_2" localSheetId="3">#REF!</definedName>
    <definedName name="D_2" localSheetId="4">#REF!</definedName>
    <definedName name="D_2" localSheetId="6">#REF!</definedName>
    <definedName name="D_2">#REF!</definedName>
    <definedName name="D_3" localSheetId="3">#REF!</definedName>
    <definedName name="D_3" localSheetId="4">#REF!</definedName>
    <definedName name="D_3" localSheetId="6">#REF!</definedName>
    <definedName name="D_3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RANGE">#REF!</definedName>
    <definedName name="d1_range">#REF!</definedName>
    <definedName name="dadfsdf" localSheetId="4">#REF!</definedName>
    <definedName name="dadfsdf">#REF!</definedName>
    <definedName name="dafsff" localSheetId="4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3">#REF!,#REF!</definedName>
    <definedName name="dargad" localSheetId="4">#REF!,#REF!</definedName>
    <definedName name="dargad" localSheetId="6">#REF!,#REF!</definedName>
    <definedName name="dargad">#REF!,#REF!</definedName>
    <definedName name="Data" localSheetId="4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3">'[39]04REL'!#REF!</definedName>
    <definedName name="ddd" localSheetId="4">'[39]04REL'!#REF!</definedName>
    <definedName name="ddd" localSheetId="6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3">#REF!</definedName>
    <definedName name="Deal" localSheetId="4">#REF!</definedName>
    <definedName name="Deal" localSheetId="6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3">#REF!</definedName>
    <definedName name="Dec_Proj_Cost" localSheetId="4">#REF!</definedName>
    <definedName name="Dec_Proj_Cost" localSheetId="6">#REF!</definedName>
    <definedName name="Dec_Proj_Cost">#REF!</definedName>
    <definedName name="ded_usincome">[6]Calculator!$Q$7</definedName>
    <definedName name="Deg_.25" localSheetId="3">#REF!</definedName>
    <definedName name="Deg_.25" localSheetId="4">#REF!</definedName>
    <definedName name="Deg_.25" localSheetId="6">#REF!</definedName>
    <definedName name="Deg_.25">#REF!</definedName>
    <definedName name="Deg_.5" localSheetId="3">#REF!</definedName>
    <definedName name="Deg_.5" localSheetId="4">#REF!</definedName>
    <definedName name="Deg_.5" localSheetId="6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3">#REF!</definedName>
    <definedName name="DER_1" localSheetId="4">#REF!</definedName>
    <definedName name="DER_1" localSheetId="6">#REF!</definedName>
    <definedName name="DER_1">#REF!</definedName>
    <definedName name="DER_2" localSheetId="3">#REF!</definedName>
    <definedName name="DER_2" localSheetId="4">#REF!</definedName>
    <definedName name="DER_2" localSheetId="6">#REF!</definedName>
    <definedName name="DER_2">#REF!</definedName>
    <definedName name="DER_3" localSheetId="3">#REF!</definedName>
    <definedName name="DER_3" localSheetId="4">#REF!</definedName>
    <definedName name="DER_3" localSheetId="6">#REF!</definedName>
    <definedName name="DER_3">#REF!</definedName>
    <definedName name="DER_4" localSheetId="4">#REF!</definedName>
    <definedName name="DER_4">#REF!</definedName>
    <definedName name="DER_5" localSheetId="4">#REF!</definedName>
    <definedName name="DER_5">#REF!</definedName>
    <definedName name="DER_6" localSheetId="4">#REF!</definedName>
    <definedName name="DER_6">#REF!</definedName>
    <definedName name="DETAIL">#REF!</definedName>
    <definedName name="dgxgfzdg" localSheetId="3">#REF!,#REF!</definedName>
    <definedName name="dgxgfzdg" localSheetId="4">#REF!,#REF!</definedName>
    <definedName name="dgxgfzdg" localSheetId="6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3">#REF!</definedName>
    <definedName name="DIFF_SPV" localSheetId="4">#REF!</definedName>
    <definedName name="DIFF_SPV" localSheetId="6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3">#REF!</definedName>
    <definedName name="ds" localSheetId="4">#REF!</definedName>
    <definedName name="ds" localSheetId="6">#REF!</definedName>
    <definedName name="ds">#REF!</definedName>
    <definedName name="dsd" localSheetId="3">#REF!</definedName>
    <definedName name="dsd" localSheetId="4">#REF!</definedName>
    <definedName name="dsd" localSheetId="6">#REF!</definedName>
    <definedName name="dsd">#REF!</definedName>
    <definedName name="dsfdfADF" localSheetId="3">#REF!</definedName>
    <definedName name="dsfdfADF" localSheetId="4">#REF!</definedName>
    <definedName name="dsfdfADF" localSheetId="6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3">#REF!,#REF!</definedName>
    <definedName name="dxzxxx" localSheetId="4">#REF!,#REF!</definedName>
    <definedName name="dxzxxx" localSheetId="6">#REF!,#REF!</definedName>
    <definedName name="dxzxxx">#REF!,#REF!</definedName>
    <definedName name="E" localSheetId="3">#REF!</definedName>
    <definedName name="E" localSheetId="4">#REF!</definedName>
    <definedName name="E" localSheetId="6">#REF!</definedName>
    <definedName name="E">#REF!</definedName>
    <definedName name="E_1" localSheetId="3">#REF!</definedName>
    <definedName name="E_1" localSheetId="4">#REF!</definedName>
    <definedName name="E_1" localSheetId="6">#REF!</definedName>
    <definedName name="E_1">#REF!</definedName>
    <definedName name="E_2" localSheetId="3">#REF!</definedName>
    <definedName name="E_2" localSheetId="4">#REF!</definedName>
    <definedName name="E_2" localSheetId="6">#REF!</definedName>
    <definedName name="E_2">#REF!</definedName>
    <definedName name="E_3" localSheetId="4">#REF!</definedName>
    <definedName name="E_3">#REF!</definedName>
    <definedName name="E_315MVA_Addl_Page1" localSheetId="4">#REF!</definedName>
    <definedName name="E_315MVA_Addl_Page1">#REF!</definedName>
    <definedName name="E_315MVA_Addl_Page2" localSheetId="4">#REF!</definedName>
    <definedName name="E_315MVA_Addl_Page2">#REF!</definedName>
    <definedName name="E_4" localSheetId="4">#REF!</definedName>
    <definedName name="E_4">#REF!</definedName>
    <definedName name="E_5" localSheetId="4">#REF!</definedName>
    <definedName name="E_5">#REF!</definedName>
    <definedName name="E_6" localSheetId="4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3">[11]Input!#REF!</definedName>
    <definedName name="ECB" localSheetId="4">[11]Input!#REF!</definedName>
    <definedName name="ECB" localSheetId="6">[11]Input!#REF!</definedName>
    <definedName name="ECB">[11]Input!#REF!</definedName>
    <definedName name="ECB_BASE" localSheetId="3">[11]Input!#REF!</definedName>
    <definedName name="ECB_BASE" localSheetId="4">[11]Input!#REF!</definedName>
    <definedName name="ECB_BASE" localSheetId="6">[11]Input!#REF!</definedName>
    <definedName name="ECB_BASE">[11]Input!#REF!</definedName>
    <definedName name="ECB_REFI" localSheetId="3">[11]Input!#REF!</definedName>
    <definedName name="ECB_REFI" localSheetId="4">[11]Input!#REF!</definedName>
    <definedName name="ECB_REFI" localSheetId="6">[11]Input!#REF!</definedName>
    <definedName name="ECB_REFI">[11]Input!#REF!</definedName>
    <definedName name="Eco_Transport_Base" localSheetId="3">#REF!</definedName>
    <definedName name="Eco_Transport_Base" localSheetId="4">#REF!</definedName>
    <definedName name="Eco_Transport_Base" localSheetId="6">#REF!</definedName>
    <definedName name="Eco_Transport_Base">#REF!</definedName>
    <definedName name="Eco_Transport_SEN" localSheetId="3">#REF!</definedName>
    <definedName name="Eco_Transport_SEN" localSheetId="4">#REF!</definedName>
    <definedName name="Eco_Transport_SEN" localSheetId="6">#REF!</definedName>
    <definedName name="Eco_Transport_SEN">#REF!</definedName>
    <definedName name="ECOEsc_Base" localSheetId="3">#REF!</definedName>
    <definedName name="ECOEsc_Base" localSheetId="4">#REF!</definedName>
    <definedName name="ECOEsc_Base" localSheetId="6">#REF!</definedName>
    <definedName name="ECOEsc_Base">#REF!</definedName>
    <definedName name="ECOEsc_SEN" localSheetId="4">#REF!</definedName>
    <definedName name="ECOEsc_SEN">#REF!</definedName>
    <definedName name="ECOPrice_Base" localSheetId="4">#REF!</definedName>
    <definedName name="ECOPrice_Base">#REF!</definedName>
    <definedName name="ECOPrice_SEN" localSheetId="4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3">#REF!</definedName>
    <definedName name="egtdgtgxdg" localSheetId="4">#REF!</definedName>
    <definedName name="egtdgtgxdg" localSheetId="6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3">#REF!</definedName>
    <definedName name="EmpExp_Base" localSheetId="4">#REF!</definedName>
    <definedName name="EmpExp_Base" localSheetId="6">#REF!</definedName>
    <definedName name="EmpExp_Base">#REF!</definedName>
    <definedName name="EmpExp_SEN" localSheetId="3">#REF!</definedName>
    <definedName name="EmpExp_SEN" localSheetId="4">#REF!</definedName>
    <definedName name="EmpExp_SEN" localSheetId="6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3">#REF!</definedName>
    <definedName name="EscAGExp" localSheetId="4">#REF!</definedName>
    <definedName name="EscAGExp" localSheetId="6">#REF!</definedName>
    <definedName name="EscAGExp">#REF!</definedName>
    <definedName name="EscCoal" localSheetId="3">#REF!</definedName>
    <definedName name="EscCoal" localSheetId="4">#REF!</definedName>
    <definedName name="EscCoal" localSheetId="6">#REF!</definedName>
    <definedName name="EscCoal">#REF!</definedName>
    <definedName name="EscDomGas" localSheetId="3">#REF!</definedName>
    <definedName name="EscDomGas" localSheetId="4">#REF!</definedName>
    <definedName name="EscDomGas" localSheetId="6">#REF!</definedName>
    <definedName name="EscDomGas">#REF!</definedName>
    <definedName name="EscEmpExp" localSheetId="4">#REF!</definedName>
    <definedName name="EscEmpExp">#REF!</definedName>
    <definedName name="EscLNGas" localSheetId="4">#REF!</definedName>
    <definedName name="EscLNGas">#REF!</definedName>
    <definedName name="EscOil" localSheetId="4">#REF!</definedName>
    <definedName name="EscOil">#REF!</definedName>
    <definedName name="EscOtherIncome" localSheetId="4">#REF!</definedName>
    <definedName name="EscOtherIncome">#REF!</definedName>
    <definedName name="EscOtherVarCharge" localSheetId="4">#REF!</definedName>
    <definedName name="EscOtherVarCharge">#REF!</definedName>
    <definedName name="EscRMExp" localSheetId="4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4">#REF!</definedName>
    <definedName name="ex">#REF!</definedName>
    <definedName name="EXC" localSheetId="4">#REF!</definedName>
    <definedName name="EXC">#REF!</definedName>
    <definedName name="Excel_BuiltIn_Print_Area_3" localSheetId="4">[50]EPS!#REF!</definedName>
    <definedName name="Excel_BuiltIn_Print_Area_3">[50]EPS!#REF!</definedName>
    <definedName name="exfactcost">'[47]HI-TARGE'!#REF!</definedName>
    <definedName name="EXH" localSheetId="3">#REF!</definedName>
    <definedName name="EXH" localSheetId="4">#REF!</definedName>
    <definedName name="EXH" localSheetId="6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3">#REF!</definedName>
    <definedName name="F" localSheetId="4">#REF!</definedName>
    <definedName name="F" localSheetId="6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3">#REF!</definedName>
    <definedName name="FAX" localSheetId="4">#REF!</definedName>
    <definedName name="FAX" localSheetId="6">#REF!</definedName>
    <definedName name="FAX">#REF!</definedName>
    <definedName name="fbdfhsh" localSheetId="3">#REF!</definedName>
    <definedName name="fbdfhsh" localSheetId="4">#REF!</definedName>
    <definedName name="fbdfhsh" localSheetId="6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3">#REF!</definedName>
    <definedName name="fdfdgdgd" localSheetId="4">#REF!</definedName>
    <definedName name="fdfdgdgd" localSheetId="6">#REF!</definedName>
    <definedName name="fdfdgdgd">#REF!</definedName>
    <definedName name="fdsfdsf" localSheetId="3">#REF!</definedName>
    <definedName name="fdsfdsf" localSheetId="4">#REF!</definedName>
    <definedName name="fdsfdsf" localSheetId="6">#REF!</definedName>
    <definedName name="fdsfdsf">#REF!</definedName>
    <definedName name="fdxfds" localSheetId="3">#REF!</definedName>
    <definedName name="fdxfds" localSheetId="4">#REF!</definedName>
    <definedName name="fdxfds" localSheetId="6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3">#REF!</definedName>
    <definedName name="fgdgchjgd" localSheetId="4">#REF!</definedName>
    <definedName name="fgdgchjgd">#REF!</definedName>
    <definedName name="fgvdata">#REF!</definedName>
    <definedName name="Fhandling">[11]Assumptions!$D$61</definedName>
    <definedName name="FHandling_Base" localSheetId="3">#REF!</definedName>
    <definedName name="FHandling_Base" localSheetId="4">#REF!</definedName>
    <definedName name="FHandling_Base" localSheetId="6">#REF!</definedName>
    <definedName name="FHandling_Base">#REF!</definedName>
    <definedName name="FHandling_SEN" localSheetId="3">#REF!</definedName>
    <definedName name="FHandling_SEN" localSheetId="4">#REF!</definedName>
    <definedName name="FHandling_SEN" localSheetId="6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3">#REF!</definedName>
    <definedName name="Forex_Base" localSheetId="4">#REF!</definedName>
    <definedName name="Forex_Base" localSheetId="6">#REF!</definedName>
    <definedName name="Forex_Base">#REF!</definedName>
    <definedName name="Forex_SEN" localSheetId="3">#REF!</definedName>
    <definedName name="Forex_SEN" localSheetId="4">#REF!</definedName>
    <definedName name="Forex_SEN" localSheetId="6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3">#REF!</definedName>
    <definedName name="fssdzfzsdffzsdf" localSheetId="4">#REF!</definedName>
    <definedName name="fssdzfzsdffzsdf" localSheetId="6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3">#REF!</definedName>
    <definedName name="Fuel_Base" localSheetId="4">#REF!</definedName>
    <definedName name="Fuel_Base" localSheetId="6">#REF!</definedName>
    <definedName name="Fuel_Base">#REF!</definedName>
    <definedName name="Fuel_Exp_CY" localSheetId="3">#REF!</definedName>
    <definedName name="Fuel_Exp_CY" localSheetId="4">#REF!</definedName>
    <definedName name="Fuel_Exp_CY" localSheetId="6">#REF!</definedName>
    <definedName name="Fuel_Exp_CY">#REF!</definedName>
    <definedName name="Fuel_Exp_EY" localSheetId="3">#REF!</definedName>
    <definedName name="Fuel_Exp_EY" localSheetId="4">#REF!</definedName>
    <definedName name="Fuel_Exp_EY" localSheetId="6">#REF!</definedName>
    <definedName name="Fuel_Exp_EY">#REF!</definedName>
    <definedName name="Fuel_Exp_PY" localSheetId="4">#REF!</definedName>
    <definedName name="Fuel_Exp_PY">#REF!</definedName>
    <definedName name="FUEL_SEN" localSheetId="4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3">#REF!</definedName>
    <definedName name="Fx_Base" localSheetId="4">#REF!</definedName>
    <definedName name="Fx_Base" localSheetId="6">#REF!</definedName>
    <definedName name="Fx_Base">#REF!</definedName>
    <definedName name="Fx_SEN" localSheetId="3">#REF!</definedName>
    <definedName name="Fx_SEN" localSheetId="4">#REF!</definedName>
    <definedName name="Fx_SEN" localSheetId="6">#REF!</definedName>
    <definedName name="Fx_SEN">#REF!</definedName>
    <definedName name="fy" localSheetId="3">#REF!</definedName>
    <definedName name="fy" localSheetId="4">#REF!</definedName>
    <definedName name="fy" localSheetId="6">#REF!</definedName>
    <definedName name="fy">#REF!</definedName>
    <definedName name="FYMonths">[29]ReportsParameters!$B$42</definedName>
    <definedName name="g" localSheetId="3">#REF!</definedName>
    <definedName name="g" localSheetId="4">#REF!</definedName>
    <definedName name="g" localSheetId="6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3">#REF!</definedName>
    <definedName name="gaga" localSheetId="4">#REF!</definedName>
    <definedName name="gaga" localSheetId="6">#REF!</definedName>
    <definedName name="gaga">#REF!</definedName>
    <definedName name="gahZh" localSheetId="4">#REF!</definedName>
    <definedName name="gahZh">#REF!</definedName>
    <definedName name="gajkahuah" localSheetId="4">#REF!</definedName>
    <definedName name="gajkahuah">#REF!</definedName>
    <definedName name="gasgdskhdu" localSheetId="3">#REF!,#REF!</definedName>
    <definedName name="gasgdskhdu" localSheetId="4">#REF!,#REF!</definedName>
    <definedName name="gasgdskhdu" localSheetId="6">#REF!,#REF!</definedName>
    <definedName name="gasgdskhdu">#REF!,#REF!</definedName>
    <definedName name="gdgfg" localSheetId="3">#REF!,#REF!</definedName>
    <definedName name="gdgfg" localSheetId="4">#REF!,#REF!</definedName>
    <definedName name="gdgfg" localSheetId="6">#REF!,#REF!</definedName>
    <definedName name="gdgfg">#REF!,#REF!</definedName>
    <definedName name="gf" localSheetId="3">#REF!</definedName>
    <definedName name="gf" localSheetId="4">#REF!</definedName>
    <definedName name="gf" localSheetId="6">#REF!</definedName>
    <definedName name="gf">#REF!</definedName>
    <definedName name="gfg" localSheetId="3">#REF!</definedName>
    <definedName name="gfg" localSheetId="4">#REF!</definedName>
    <definedName name="gfg" localSheetId="6">#REF!</definedName>
    <definedName name="gfg">#REF!</definedName>
    <definedName name="gggggg">'[33]ANNX -II'!$X$20:$AG$41</definedName>
    <definedName name="ghhfh" localSheetId="3">#REF!</definedName>
    <definedName name="ghhfh" localSheetId="4">#REF!</definedName>
    <definedName name="ghhfh" localSheetId="6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3">#REF!</definedName>
    <definedName name="GR" localSheetId="4">#REF!</definedName>
    <definedName name="GR" localSheetId="6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3">#REF!</definedName>
    <definedName name="gshjgshgs" localSheetId="4">#REF!</definedName>
    <definedName name="gshjgshgs" localSheetId="6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3">#REF!,#REF!</definedName>
    <definedName name="gydgdg" localSheetId="4">#REF!,#REF!</definedName>
    <definedName name="gydgdg" localSheetId="6">#REF!,#REF!</definedName>
    <definedName name="gydgdg">#REF!,#REF!</definedName>
    <definedName name="h" localSheetId="3">'[55]04REL'!#REF!</definedName>
    <definedName name="h" localSheetId="4">'[55]04REL'!#REF!</definedName>
    <definedName name="h" localSheetId="6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3">#REF!</definedName>
    <definedName name="hahshuis" localSheetId="4">#REF!</definedName>
    <definedName name="hahshuis" localSheetId="6">#REF!</definedName>
    <definedName name="hahshuis">#REF!</definedName>
    <definedName name="halol">[56]HALOL!$A$10:$D$182</definedName>
    <definedName name="hasnain" localSheetId="3">#REF!</definedName>
    <definedName name="hasnain" localSheetId="4">#REF!</definedName>
    <definedName name="hasnain" localSheetId="6">#REF!</definedName>
    <definedName name="hasnain">#REF!</definedName>
    <definedName name="hdhdjh" localSheetId="3">#REF!</definedName>
    <definedName name="hdhdjh" localSheetId="4">#REF!</definedName>
    <definedName name="hdhdjh" localSheetId="6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3">'[39]04REL'!#REF!</definedName>
    <definedName name="hgtfhdh" localSheetId="4">'[39]04REL'!#REF!</definedName>
    <definedName name="hgtfhdh" localSheetId="6">'[39]04REL'!#REF!</definedName>
    <definedName name="hgtfhdh">'[39]04REL'!#REF!</definedName>
    <definedName name="hhhuh" localSheetId="3">#REF!</definedName>
    <definedName name="hhhuh" localSheetId="4">#REF!</definedName>
    <definedName name="hhhuh" localSheetId="6">#REF!</definedName>
    <definedName name="hhhuh">#REF!</definedName>
    <definedName name="hHzhzh" localSheetId="3">#REF!</definedName>
    <definedName name="hHzhzh" localSheetId="4">#REF!</definedName>
    <definedName name="hHzhzh" localSheetId="6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3">#REF!</definedName>
    <definedName name="hshhxuhxu" localSheetId="4">#REF!</definedName>
    <definedName name="hshhxuhxu" localSheetId="6">#REF!</definedName>
    <definedName name="hshhxuhxu">#REF!</definedName>
    <definedName name="hvdc.avlblty">'[15]PPT Inputs'!$C$27</definedName>
    <definedName name="HWSheet">1</definedName>
    <definedName name="i" localSheetId="3">#REF!</definedName>
    <definedName name="i" localSheetId="4">#REF!</definedName>
    <definedName name="i" localSheetId="6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3">#REF!</definedName>
    <definedName name="idc_copy_3" localSheetId="4">#REF!</definedName>
    <definedName name="idc_copy_3" localSheetId="6">#REF!</definedName>
    <definedName name="idc_copy_3">#REF!</definedName>
    <definedName name="idc_diff" localSheetId="3">#REF!</definedName>
    <definedName name="idc_diff" localSheetId="4">#REF!</definedName>
    <definedName name="idc_diff" localSheetId="6">#REF!</definedName>
    <definedName name="idc_diff">#REF!</definedName>
    <definedName name="IDC_DIFF_1" localSheetId="3">'[23]Capex Scheduling'!#REF!</definedName>
    <definedName name="IDC_DIFF_1" localSheetId="4">'[23]Capex Scheduling'!#REF!</definedName>
    <definedName name="IDC_DIFF_1" localSheetId="6">'[23]Capex Scheduling'!#REF!</definedName>
    <definedName name="IDC_DIFF_1">'[23]Capex Scheduling'!#REF!</definedName>
    <definedName name="idc_p">'[58]Debt Scheduling'!$E$50:$Q$50</definedName>
    <definedName name="idc_paste" localSheetId="3">#REF!</definedName>
    <definedName name="idc_paste" localSheetId="4">#REF!</definedName>
    <definedName name="idc_paste" localSheetId="6">#REF!</definedName>
    <definedName name="idc_paste">#REF!</definedName>
    <definedName name="idc_paste_3" localSheetId="3">#REF!</definedName>
    <definedName name="idc_paste_3" localSheetId="4">#REF!</definedName>
    <definedName name="idc_paste_3" localSheetId="6">#REF!</definedName>
    <definedName name="idc_paste_3">#REF!</definedName>
    <definedName name="IdcDiff" localSheetId="3">'[23]Capex Scheduling'!#REF!</definedName>
    <definedName name="IdcDiff" localSheetId="4">'[23]Capex Scheduling'!#REF!</definedName>
    <definedName name="IdcDiff" localSheetId="6">'[23]Capex Scheduling'!#REF!</definedName>
    <definedName name="IdcDiff">'[23]Capex Scheduling'!#REF!</definedName>
    <definedName name="IDCDifference" localSheetId="3">'[23]Capex Scheduling'!#REF!</definedName>
    <definedName name="IDCDifference" localSheetId="4">'[23]Capex Scheduling'!#REF!</definedName>
    <definedName name="IDCDifference" localSheetId="6">'[23]Capex Scheduling'!#REF!</definedName>
    <definedName name="IDCDifference">'[23]Capex Scheduling'!#REF!</definedName>
    <definedName name="idcPaste1">'[23]Capex Scheduling'!$F$35:$W$35</definedName>
    <definedName name="Inc_Proj_Cost" localSheetId="3">#REF!</definedName>
    <definedName name="Inc_Proj_Cost" localSheetId="4">#REF!</definedName>
    <definedName name="Inc_Proj_Cost" localSheetId="6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3">'[60]LTC-Insulation_Volume'!#REF!</definedName>
    <definedName name="Insulation_Volume" localSheetId="4">'[60]LTC-Insulation_Volume'!#REF!</definedName>
    <definedName name="Insulation_Volume" localSheetId="6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3">#REF!</definedName>
    <definedName name="IntRate_100" localSheetId="4">#REF!</definedName>
    <definedName name="IntRate_100" localSheetId="6">#REF!</definedName>
    <definedName name="IntRate_100">#REF!</definedName>
    <definedName name="IntRate_11">[41]Assumptions!$B$11</definedName>
    <definedName name="IntRate_12">[41]Assumptions!$B$12</definedName>
    <definedName name="IntRate_25" localSheetId="3">#REF!</definedName>
    <definedName name="IntRate_25" localSheetId="4">#REF!</definedName>
    <definedName name="IntRate_25" localSheetId="6">#REF!</definedName>
    <definedName name="IntRate_25">#REF!</definedName>
    <definedName name="IntRate_50" localSheetId="3">#REF!</definedName>
    <definedName name="IntRate_50" localSheetId="4">#REF!</definedName>
    <definedName name="IntRate_50" localSheetId="6">#REF!</definedName>
    <definedName name="IntRate_50">#REF!</definedName>
    <definedName name="IntRate_75" localSheetId="3">#REF!</definedName>
    <definedName name="IntRate_75" localSheetId="4">#REF!</definedName>
    <definedName name="IntRate_75" localSheetId="6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3">#REF!</definedName>
    <definedName name="IntRate12" localSheetId="4">#REF!</definedName>
    <definedName name="IntRate12" localSheetId="6">#REF!</definedName>
    <definedName name="IntRate12">#REF!</definedName>
    <definedName name="IntRate13" localSheetId="3">#REF!</definedName>
    <definedName name="IntRate13" localSheetId="4">#REF!</definedName>
    <definedName name="IntRate13" localSheetId="6">#REF!</definedName>
    <definedName name="IntRate13">#REF!</definedName>
    <definedName name="IntRateWC11" localSheetId="3">#REF!</definedName>
    <definedName name="IntRateWC11" localSheetId="4">#REF!</definedName>
    <definedName name="IntRateWC11" localSheetId="6">#REF!</definedName>
    <definedName name="IntRateWC11">#REF!</definedName>
    <definedName name="IntRateWC12" localSheetId="4">#REF!</definedName>
    <definedName name="IntRateWC12">#REF!</definedName>
    <definedName name="IntRateWC13" localSheetId="4">#REF!</definedName>
    <definedName name="IntRateWC13">#REF!</definedName>
    <definedName name="Intt_Charge_cY" localSheetId="3">#REF!,#REF!</definedName>
    <definedName name="Intt_Charge_cY" localSheetId="4">#REF!,#REF!</definedName>
    <definedName name="Intt_Charge_cY" localSheetId="6">#REF!,#REF!</definedName>
    <definedName name="Intt_Charge_cY">#REF!,#REF!</definedName>
    <definedName name="Intt_Charge_cy_1">'[62]A 3.7'!$H$35,'[62]A 3.7'!$H$44</definedName>
    <definedName name="Intt_Charge_eY" localSheetId="3">#REF!,#REF!</definedName>
    <definedName name="Intt_Charge_eY" localSheetId="4">#REF!,#REF!</definedName>
    <definedName name="Intt_Charge_eY" localSheetId="6">#REF!,#REF!</definedName>
    <definedName name="Intt_Charge_eY">#REF!,#REF!</definedName>
    <definedName name="Intt_Charge_ey_1">'[62]A 3.7'!$I$35,'[62]A 3.7'!$I$44</definedName>
    <definedName name="Intt_Charge_PY" localSheetId="3">#REF!,#REF!</definedName>
    <definedName name="Intt_Charge_PY" localSheetId="4">#REF!,#REF!</definedName>
    <definedName name="Intt_Charge_PY" localSheetId="6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3">#REF!</definedName>
    <definedName name="IsCircular" localSheetId="4">#REF!</definedName>
    <definedName name="IsCircular" localSheetId="6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3">#REF!</definedName>
    <definedName name="j" localSheetId="4">#REF!</definedName>
    <definedName name="j" localSheetId="6">#REF!</definedName>
    <definedName name="j">#REF!</definedName>
    <definedName name="JDCL_MISC">#REF!</definedName>
    <definedName name="jjjj">#REF!</definedName>
    <definedName name="jjkjklj" localSheetId="3">#REF!,#REF!</definedName>
    <definedName name="jjkjklj" localSheetId="4">#REF!,#REF!</definedName>
    <definedName name="jjkjklj" localSheetId="6">#REF!,#REF!</definedName>
    <definedName name="jjkjklj">#REF!,#REF!</definedName>
    <definedName name="jjskjsklj" localSheetId="3">#REF!</definedName>
    <definedName name="jjskjsklj" localSheetId="4">#REF!</definedName>
    <definedName name="jjskjsklj" localSheetId="6">#REF!</definedName>
    <definedName name="jjskjsklj">#REF!</definedName>
    <definedName name="jsdkf3" localSheetId="3">#REF!</definedName>
    <definedName name="jsdkf3" localSheetId="4">#REF!</definedName>
    <definedName name="jsdkf3" localSheetId="6">#REF!</definedName>
    <definedName name="jsdkf3">#REF!</definedName>
    <definedName name="jsjssij" localSheetId="3">#REF!</definedName>
    <definedName name="jsjssij" localSheetId="4">#REF!</definedName>
    <definedName name="jsjssij" localSheetId="6">#REF!</definedName>
    <definedName name="jsjssij">#REF!</definedName>
    <definedName name="k" localSheetId="4">#REF!</definedName>
    <definedName name="k">#REF!</definedName>
    <definedName name="K2000_">#N/A</definedName>
    <definedName name="Kettex">#REF!</definedName>
    <definedName name="kettex98">#REF!</definedName>
    <definedName name="kishor" localSheetId="3">#REF!</definedName>
    <definedName name="kishor" localSheetId="4">#REF!</definedName>
    <definedName name="kishor" localSheetId="6">#REF!</definedName>
    <definedName name="kishor">#REF!</definedName>
    <definedName name="kk">#REF!</definedName>
    <definedName name="kkJJ" localSheetId="3">#REF!</definedName>
    <definedName name="kkJJ" localSheetId="4">#REF!</definedName>
    <definedName name="kkJJ" localSheetId="6">#REF!</definedName>
    <definedName name="kkJJ">#REF!</definedName>
    <definedName name="kkk">#REF!</definedName>
    <definedName name="Korea_Telecom">[16]List_ratios!#REF!</definedName>
    <definedName name="ksokskosk" localSheetId="3">#REF!</definedName>
    <definedName name="ksokskosk" localSheetId="4">#REF!</definedName>
    <definedName name="ksokskosk" localSheetId="6">#REF!</definedName>
    <definedName name="ksokskosk">#REF!</definedName>
    <definedName name="kv.avlblty">'[15]PPT Inputs'!$C$28</definedName>
    <definedName name="l" localSheetId="3">#REF!</definedName>
    <definedName name="l" localSheetId="4">#REF!</definedName>
    <definedName name="l" localSheetId="6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3">#REF!</definedName>
    <definedName name="llJkljl" localSheetId="4">#REF!</definedName>
    <definedName name="llJkljl" localSheetId="6">#REF!</definedName>
    <definedName name="llJkljl">#REF!</definedName>
    <definedName name="Loan_Amount">#REF!</definedName>
    <definedName name="loan_cntr">'[65]Capital Cost'!$A$111:$IV$111</definedName>
    <definedName name="Loan_CoalSPV" localSheetId="3">#REF!</definedName>
    <definedName name="Loan_CoalSPV" localSheetId="4">#REF!</definedName>
    <definedName name="Loan_CoalSPV" localSheetId="6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3">#REF!</definedName>
    <definedName name="LTR_M_NEW" localSheetId="4">#REF!</definedName>
    <definedName name="LTR_M_NEW" localSheetId="6">#REF!</definedName>
    <definedName name="LTR_M_NEW">#REF!</definedName>
    <definedName name="LTR_MOR" localSheetId="3">#REF!</definedName>
    <definedName name="LTR_MOR" localSheetId="4">#REF!</definedName>
    <definedName name="LTR_MOR" localSheetId="6">#REF!</definedName>
    <definedName name="LTR_MOR">#REF!</definedName>
    <definedName name="lvkfeqvlkqe" localSheetId="4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3">#REF!</definedName>
    <definedName name="m105." localSheetId="4">#REF!</definedName>
    <definedName name="m105." localSheetId="6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3">#REF!</definedName>
    <definedName name="Melawan_Transport_Base" localSheetId="4">#REF!</definedName>
    <definedName name="Melawan_Transport_Base" localSheetId="6">#REF!</definedName>
    <definedName name="Melawan_Transport_Base">#REF!</definedName>
    <definedName name="Melawan_Transport_SEN" localSheetId="3">#REF!</definedName>
    <definedName name="Melawan_Transport_SEN" localSheetId="4">#REF!</definedName>
    <definedName name="Melawan_Transport_SEN" localSheetId="6">#REF!</definedName>
    <definedName name="Melawan_Transport_SEN">#REF!</definedName>
    <definedName name="MelawanEsc_Base" localSheetId="3">#REF!</definedName>
    <definedName name="MelawanEsc_Base" localSheetId="4">#REF!</definedName>
    <definedName name="MelawanEsc_Base" localSheetId="6">#REF!</definedName>
    <definedName name="MelawanEsc_Base">#REF!</definedName>
    <definedName name="MelawanEsc_SEN" localSheetId="4">#REF!</definedName>
    <definedName name="MelawanEsc_SEN">#REF!</definedName>
    <definedName name="Melawanprice_Base" localSheetId="4">#REF!</definedName>
    <definedName name="Melawanprice_Base">#REF!</definedName>
    <definedName name="MelawanPrice_SEN" localSheetId="4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3">#REF!</definedName>
    <definedName name="Min_SPV" localSheetId="4">#REF!</definedName>
    <definedName name="Min_SPV" localSheetId="6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3">#REF!</definedName>
    <definedName name="Mix_Eco_Base" localSheetId="4">#REF!</definedName>
    <definedName name="Mix_Eco_Base" localSheetId="6">#REF!</definedName>
    <definedName name="Mix_Eco_Base">#REF!</definedName>
    <definedName name="Mix_Eco_Sen" localSheetId="3">#REF!</definedName>
    <definedName name="Mix_Eco_Sen" localSheetId="4">#REF!</definedName>
    <definedName name="Mix_Eco_Sen" localSheetId="6">#REF!</definedName>
    <definedName name="Mix_Eco_Sen">#REF!</definedName>
    <definedName name="MIX_MEL">[11]Assumptions!$C$92</definedName>
    <definedName name="Mix_Melawan_Base" localSheetId="3">#REF!</definedName>
    <definedName name="Mix_Melawan_Base" localSheetId="4">#REF!</definedName>
    <definedName name="Mix_Melawan_Base" localSheetId="6">#REF!</definedName>
    <definedName name="Mix_Melawan_Base">#REF!</definedName>
    <definedName name="Mix_Melawan_SEN" localSheetId="3">#REF!</definedName>
    <definedName name="Mix_Melawan_SEN" localSheetId="4">#REF!</definedName>
    <definedName name="Mix_Melawan_SEN" localSheetId="6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3" hidden="1">[67]CE!#REF!</definedName>
    <definedName name="new" localSheetId="4" hidden="1">[67]CE!#REF!</definedName>
    <definedName name="new" localSheetId="6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3">#REF!</definedName>
    <definedName name="nnkklj" localSheetId="4">#REF!</definedName>
    <definedName name="nnkklj" localSheetId="6">#REF!</definedName>
    <definedName name="nnkklj">#REF!</definedName>
    <definedName name="NO_G" localSheetId="3">#REF!</definedName>
    <definedName name="NO_G" localSheetId="4">#REF!</definedName>
    <definedName name="NO_G" localSheetId="6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3">#REF!</definedName>
    <definedName name="O" localSheetId="4">#REF!</definedName>
    <definedName name="O" localSheetId="6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3">#REF!</definedName>
    <definedName name="Olklkk" localSheetId="4">#REF!</definedName>
    <definedName name="Olklkk" localSheetId="6">#REF!</definedName>
    <definedName name="Olklkk">#REF!</definedName>
    <definedName name="OM.5" localSheetId="3">#REF!</definedName>
    <definedName name="OM.5" localSheetId="4">#REF!</definedName>
    <definedName name="OM.5" localSheetId="6">#REF!</definedName>
    <definedName name="OM.5">#REF!</definedName>
    <definedName name="OM_1" localSheetId="3">#REF!</definedName>
    <definedName name="OM_1" localSheetId="4">#REF!</definedName>
    <definedName name="OM_1" localSheetId="6">#REF!</definedName>
    <definedName name="OM_1">#REF!</definedName>
    <definedName name="OM_1.5" localSheetId="4">#REF!</definedName>
    <definedName name="OM_1.5">#REF!</definedName>
    <definedName name="OM_2" localSheetId="4">#REF!</definedName>
    <definedName name="OM_2">#REF!</definedName>
    <definedName name="OM_2.5" localSheetId="4">#REF!</definedName>
    <definedName name="OM_2.5">#REF!</definedName>
    <definedName name="OM_3" localSheetId="4">#REF!</definedName>
    <definedName name="OM_3">#REF!</definedName>
    <definedName name="ONM_Base" localSheetId="4">#REF!</definedName>
    <definedName name="ONM_Base">#REF!</definedName>
    <definedName name="ONM_SEN" localSheetId="4">#REF!</definedName>
    <definedName name="ONM_SEN">#REF!</definedName>
    <definedName name="order_value" localSheetId="4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4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3">#REF!</definedName>
    <definedName name="PAF_Base" localSheetId="4">#REF!</definedName>
    <definedName name="PAF_Base" localSheetId="6">#REF!</definedName>
    <definedName name="PAF_Base">#REF!</definedName>
    <definedName name="PAF_SEN" localSheetId="3">#REF!</definedName>
    <definedName name="PAF_SEN" localSheetId="4">#REF!</definedName>
    <definedName name="PAF_SEN" localSheetId="6">#REF!</definedName>
    <definedName name="PAF_SEN">#REF!</definedName>
    <definedName name="PAGE1" localSheetId="3">#REF!</definedName>
    <definedName name="PAGE1" localSheetId="4">#REF!</definedName>
    <definedName name="PAGE1" localSheetId="6">#REF!</definedName>
    <definedName name="PAGE1">#REF!</definedName>
    <definedName name="page10" localSheetId="4">#REF!</definedName>
    <definedName name="page10">#REF!</definedName>
    <definedName name="PAGE10_6" localSheetId="4">#REF!</definedName>
    <definedName name="PAGE10_6">#REF!</definedName>
    <definedName name="PAGE11_6" localSheetId="4">#REF!</definedName>
    <definedName name="PAGE11_6">#REF!</definedName>
    <definedName name="PAGE12_6" localSheetId="4">#REF!</definedName>
    <definedName name="PAGE12_6">#REF!</definedName>
    <definedName name="PAGE14" localSheetId="4">#REF!</definedName>
    <definedName name="PAGE14">#REF!</definedName>
    <definedName name="PAGE15" localSheetId="4">#REF!</definedName>
    <definedName name="PAGE15">#REF!</definedName>
    <definedName name="PAGE16" localSheetId="4">#REF!</definedName>
    <definedName name="PAGE16">#REF!</definedName>
    <definedName name="PAGE17" localSheetId="4">#REF!</definedName>
    <definedName name="PAGE17">#REF!</definedName>
    <definedName name="PAGE18" localSheetId="4">#REF!</definedName>
    <definedName name="PAGE18">#REF!</definedName>
    <definedName name="PAGE19" localSheetId="4">#REF!</definedName>
    <definedName name="PAGE19">#REF!</definedName>
    <definedName name="PAGE2" localSheetId="4">#REF!</definedName>
    <definedName name="PAGE2">#REF!</definedName>
    <definedName name="PAGE2_6" localSheetId="4">#REF!</definedName>
    <definedName name="PAGE2_6">#REF!</definedName>
    <definedName name="PAGE20" localSheetId="4">#REF!</definedName>
    <definedName name="PAGE20">#REF!</definedName>
    <definedName name="PAGE21" localSheetId="4">#REF!</definedName>
    <definedName name="PAGE21">#REF!</definedName>
    <definedName name="PAGE210" localSheetId="4">#REF!</definedName>
    <definedName name="PAGE210">#REF!</definedName>
    <definedName name="PAGE22" localSheetId="4">#REF!</definedName>
    <definedName name="PAGE22">#REF!</definedName>
    <definedName name="PAGE23" localSheetId="4">#REF!</definedName>
    <definedName name="PAGE23">#REF!</definedName>
    <definedName name="PAGE24" localSheetId="4">#REF!</definedName>
    <definedName name="PAGE24">#REF!</definedName>
    <definedName name="PAGE25" localSheetId="4">#REF!</definedName>
    <definedName name="PAGE25">#REF!</definedName>
    <definedName name="PAGE26" localSheetId="4">#REF!</definedName>
    <definedName name="PAGE26">#REF!</definedName>
    <definedName name="PAGE27" localSheetId="4">#REF!</definedName>
    <definedName name="PAGE27">#REF!</definedName>
    <definedName name="PAGE28" localSheetId="4">#REF!</definedName>
    <definedName name="PAGE28">#REF!</definedName>
    <definedName name="PAGE29" localSheetId="4">#REF!</definedName>
    <definedName name="PAGE29">#REF!</definedName>
    <definedName name="PAGE3_6" localSheetId="4">#REF!</definedName>
    <definedName name="PAGE3_6">#REF!</definedName>
    <definedName name="page34" localSheetId="4">#REF!</definedName>
    <definedName name="page34">#REF!</definedName>
    <definedName name="Page35" localSheetId="4">#REF!</definedName>
    <definedName name="Page35">#REF!</definedName>
    <definedName name="PAGE4_6" localSheetId="4">#REF!</definedName>
    <definedName name="PAGE4_6">#REF!</definedName>
    <definedName name="PAGE5_6" localSheetId="4">#REF!</definedName>
    <definedName name="PAGE5_6">#REF!</definedName>
    <definedName name="page50" localSheetId="4">#REF!</definedName>
    <definedName name="page50">#REF!</definedName>
    <definedName name="page51" localSheetId="4">#REF!</definedName>
    <definedName name="page51">#REF!</definedName>
    <definedName name="page52" localSheetId="4">#REF!</definedName>
    <definedName name="page52">#REF!</definedName>
    <definedName name="PAGE6" localSheetId="4">#REF!</definedName>
    <definedName name="PAGE6">#REF!</definedName>
    <definedName name="PAGE6_6" localSheetId="4">#REF!</definedName>
    <definedName name="PAGE6_6">#REF!</definedName>
    <definedName name="PAGE7" localSheetId="4">#REF!</definedName>
    <definedName name="PAGE7">#REF!</definedName>
    <definedName name="PAGE7_6" localSheetId="4">#REF!</definedName>
    <definedName name="PAGE7_6">#REF!</definedName>
    <definedName name="PAGE8" localSheetId="4">#REF!</definedName>
    <definedName name="PAGE8">#REF!</definedName>
    <definedName name="PAGE8_6U1A" localSheetId="4">#REF!</definedName>
    <definedName name="PAGE8_6U1A">#REF!</definedName>
    <definedName name="PAGE8_6U1B" localSheetId="4">#REF!</definedName>
    <definedName name="PAGE8_6U1B">#REF!</definedName>
    <definedName name="PAGE8_6U2A" localSheetId="4">#REF!</definedName>
    <definedName name="PAGE8_6U2A">#REF!</definedName>
    <definedName name="PAGE8_6U2B" localSheetId="4">#REF!</definedName>
    <definedName name="PAGE8_6U2B">#REF!</definedName>
    <definedName name="PAGE8_6U3A" localSheetId="4">#REF!</definedName>
    <definedName name="PAGE8_6U3A">#REF!</definedName>
    <definedName name="PAGE8_6U3B" localSheetId="4">#REF!</definedName>
    <definedName name="PAGE8_6U3B">#REF!</definedName>
    <definedName name="PAGE9" localSheetId="4">#REF!</definedName>
    <definedName name="PAGE9">#REF!</definedName>
    <definedName name="PAGE9_6" localSheetId="4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3">#REF!</definedName>
    <definedName name="PASTE_LoanCOALSPV" localSheetId="4">#REF!</definedName>
    <definedName name="PASTE_LoanCOALSPV" localSheetId="6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3">#REF!</definedName>
    <definedName name="PC_1" localSheetId="4">#REF!</definedName>
    <definedName name="PC_1" localSheetId="6">#REF!</definedName>
    <definedName name="PC_1">#REF!</definedName>
    <definedName name="PC_2" localSheetId="4">#REF!</definedName>
    <definedName name="PC_2">#REF!</definedName>
    <definedName name="PC_3" localSheetId="4">#REF!</definedName>
    <definedName name="PC_3">#REF!</definedName>
    <definedName name="PC_4" localSheetId="4">#REF!</definedName>
    <definedName name="PC_4">#REF!</definedName>
    <definedName name="PC_5" localSheetId="4">#REF!</definedName>
    <definedName name="PC_5">#REF!</definedName>
    <definedName name="PC_6" localSheetId="4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3">#REF!</definedName>
    <definedName name="PL" localSheetId="4">#REF!</definedName>
    <definedName name="PL" localSheetId="6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3">#REF!</definedName>
    <definedName name="PLF_Base" localSheetId="4">#REF!</definedName>
    <definedName name="PLF_Base" localSheetId="6">#REF!</definedName>
    <definedName name="PLF_Base">#REF!</definedName>
    <definedName name="PLF_SEN" localSheetId="3">#REF!</definedName>
    <definedName name="PLF_SEN" localSheetId="4">#REF!</definedName>
    <definedName name="PLF_SEN" localSheetId="6">#REF!</definedName>
    <definedName name="PLF_SEN">#REF!</definedName>
    <definedName name="Pop_Ratio" localSheetId="3">#REF!</definedName>
    <definedName name="Pop_Ratio" localSheetId="4">#REF!</definedName>
    <definedName name="Pop_Ratio" localSheetId="6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3">#REF!</definedName>
    <definedName name="Premium" localSheetId="4">#REF!</definedName>
    <definedName name="Premium" localSheetId="6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3">#REF!</definedName>
    <definedName name="PRF_1" localSheetId="4">#REF!</definedName>
    <definedName name="PRF_1" localSheetId="6">#REF!</definedName>
    <definedName name="PRF_1">#REF!</definedName>
    <definedName name="PRF_2_P1" localSheetId="3">#REF!</definedName>
    <definedName name="PRF_2_P1" localSheetId="4">#REF!</definedName>
    <definedName name="PRF_2_P1" localSheetId="6">#REF!</definedName>
    <definedName name="PRF_2_P1">#REF!</definedName>
    <definedName name="PRF_2_P2" localSheetId="4">#REF!</definedName>
    <definedName name="PRF_2_P2">#REF!</definedName>
    <definedName name="PRF_3_AN1" localSheetId="4">#REF!</definedName>
    <definedName name="PRF_3_AN1">#REF!</definedName>
    <definedName name="PRF_3_AN2" localSheetId="4">#REF!</definedName>
    <definedName name="PRF_3_AN2">#REF!</definedName>
    <definedName name="PRF_3_AN3" localSheetId="4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3">#REF!</definedName>
    <definedName name="_xlnm.Print_Area" localSheetId="4">'[73]Dep It'!#REF!</definedName>
    <definedName name="_xlnm.Print_Area" localSheetId="6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3">#REF!</definedName>
    <definedName name="Print_Area_MI" localSheetId="4">#REF!</definedName>
    <definedName name="PRINT_AREA_MI" localSheetId="6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3">#REF!</definedName>
    <definedName name="RAUX" localSheetId="4">#REF!</definedName>
    <definedName name="RAUX" localSheetId="6">#REF!</definedName>
    <definedName name="RAUX">#REF!</definedName>
    <definedName name="RAWMAT">'[47]Data Input'!$B$195:$P$272</definedName>
    <definedName name="RBASE" localSheetId="3">#REF!</definedName>
    <definedName name="RBASE" localSheetId="4">#REF!</definedName>
    <definedName name="RBASE" localSheetId="6">#REF!</definedName>
    <definedName name="RBASE">#REF!</definedName>
    <definedName name="RCAP" localSheetId="3">#REF!</definedName>
    <definedName name="RCAP" localSheetId="4">#REF!</definedName>
    <definedName name="RCAP" localSheetId="6">#REF!</definedName>
    <definedName name="RCAP">#REF!</definedName>
    <definedName name="RCERC" localSheetId="4">#REF!</definedName>
    <definedName name="RCERC">#REF!</definedName>
    <definedName name="RCOALCOST" localSheetId="4">#REF!</definedName>
    <definedName name="RCOALCOST">#REF!</definedName>
    <definedName name="RCoalScenario" localSheetId="4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3">#REF!</definedName>
    <definedName name="Red_Tariff_.25" localSheetId="4">#REF!</definedName>
    <definedName name="Red_Tariff_.25" localSheetId="6">#REF!</definedName>
    <definedName name="Red_Tariff_.25">#REF!</definedName>
    <definedName name="Red_Tariff_.5" localSheetId="3">#REF!</definedName>
    <definedName name="Red_Tariff_.5" localSheetId="4">#REF!</definedName>
    <definedName name="Red_Tariff_.5" localSheetId="6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3">#REF!</definedName>
    <definedName name="refin" localSheetId="4">#REF!</definedName>
    <definedName name="refin" localSheetId="6">#REF!</definedName>
    <definedName name="refin">#REF!</definedName>
    <definedName name="Reinvest">#REF!</definedName>
    <definedName name="REmpExp" localSheetId="4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3">#REF!</definedName>
    <definedName name="REsc_Melawan" localSheetId="4">#REF!</definedName>
    <definedName name="REsc_Melawan" localSheetId="6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3">#REF!</definedName>
    <definedName name="RFHandling" localSheetId="4">#REF!</definedName>
    <definedName name="RFHandling" localSheetId="6">#REF!</definedName>
    <definedName name="RFHandling">#REF!</definedName>
    <definedName name="RFOREX" localSheetId="3">#REF!</definedName>
    <definedName name="RFOREX" localSheetId="4">#REF!</definedName>
    <definedName name="RFOREX" localSheetId="6">#REF!</definedName>
    <definedName name="RFOREX">#REF!</definedName>
    <definedName name="RFUEL" localSheetId="3">#REF!</definedName>
    <definedName name="RFUEL" localSheetId="4">#REF!</definedName>
    <definedName name="RFUEL" localSheetId="6">#REF!</definedName>
    <definedName name="RFUEL">#REF!</definedName>
    <definedName name="RFx" localSheetId="4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4">#REF!</definedName>
    <definedName name="RMelawan_Price">#REF!</definedName>
    <definedName name="RMIX" localSheetId="4">#REF!</definedName>
    <definedName name="RMIX">#REF!</definedName>
    <definedName name="ROA">[16]List_ratios!#REF!</definedName>
    <definedName name="ROE">[16]List_ratios!#REF!</definedName>
    <definedName name="RONM" localSheetId="3">#REF!</definedName>
    <definedName name="RONM" localSheetId="4">#REF!</definedName>
    <definedName name="RONM" localSheetId="6">#REF!</definedName>
    <definedName name="RONM">#REF!</definedName>
    <definedName name="RPAF" localSheetId="4">#REF!</definedName>
    <definedName name="RPAF">#REF!</definedName>
    <definedName name="RPLF" localSheetId="4">#REF!</definedName>
    <definedName name="RPLF">#REF!</definedName>
    <definedName name="rr">[78]STATE!$A$2:$A$65536</definedName>
    <definedName name="rradj">nopatadj/capitaladj</definedName>
    <definedName name="RRTL_Int" localSheetId="3">#REF!</definedName>
    <definedName name="RRTL_Int" localSheetId="4">#REF!</definedName>
    <definedName name="RRTL_Int" localSheetId="6">#REF!</definedName>
    <definedName name="RRTL_Int">#REF!</definedName>
    <definedName name="Rsin">[79]Main!$B$2</definedName>
    <definedName name="RSL" localSheetId="3">#REF!</definedName>
    <definedName name="RSL" localSheetId="4">#REF!</definedName>
    <definedName name="RSL" localSheetId="6">#REF!</definedName>
    <definedName name="RSL">#REF!</definedName>
    <definedName name="RTariff" localSheetId="3">#REF!</definedName>
    <definedName name="RTariff" localSheetId="4">#REF!</definedName>
    <definedName name="RTariff" localSheetId="6">#REF!</definedName>
    <definedName name="RTariff">#REF!</definedName>
    <definedName name="RTL_BASE" localSheetId="3">[11]Input!#REF!</definedName>
    <definedName name="RTL_BASE" localSheetId="4">[11]Input!#REF!</definedName>
    <definedName name="RTL_BASE" localSheetId="6">[11]Input!#REF!</definedName>
    <definedName name="RTL_BASE">[11]Input!#REF!</definedName>
    <definedName name="RTL_INT_Base" localSheetId="3">#REF!</definedName>
    <definedName name="RTL_INT_Base" localSheetId="4">#REF!</definedName>
    <definedName name="RTL_INT_Base" localSheetId="6">#REF!</definedName>
    <definedName name="RTL_INT_Base">#REF!</definedName>
    <definedName name="RTL_INT_SEN" localSheetId="3">#REF!</definedName>
    <definedName name="RTL_INT_SEN" localSheetId="4">#REF!</definedName>
    <definedName name="RTL_INT_SEN" localSheetId="6">#REF!</definedName>
    <definedName name="RTL_INT_SEN">#REF!</definedName>
    <definedName name="RTransporation" localSheetId="3">#REF!</definedName>
    <definedName name="RTransporation" localSheetId="4">#REF!</definedName>
    <definedName name="RTransporation" localSheetId="6">#REF!</definedName>
    <definedName name="RTransporation">#REF!</definedName>
    <definedName name="RTransport" localSheetId="4">#REF!</definedName>
    <definedName name="RTransport">#REF!</definedName>
    <definedName name="RTransportation" localSheetId="4">#REF!</definedName>
    <definedName name="RTransportation">#REF!</definedName>
    <definedName name="S" localSheetId="4">#REF!</definedName>
    <definedName name="S">#REF!</definedName>
    <definedName name="S_0" localSheetId="4">#REF!</definedName>
    <definedName name="S_0">#REF!</definedName>
    <definedName name="S_0.5" localSheetId="4">#REF!</definedName>
    <definedName name="S_0.5">#REF!</definedName>
    <definedName name="S_1" localSheetId="4">#REF!</definedName>
    <definedName name="S_1">#REF!</definedName>
    <definedName name="S_10" localSheetId="4">#REF!</definedName>
    <definedName name="S_10">#REF!</definedName>
    <definedName name="S_11" localSheetId="4">#REF!</definedName>
    <definedName name="S_11">#REF!</definedName>
    <definedName name="S_12" localSheetId="4">#REF!</definedName>
    <definedName name="S_12">#REF!</definedName>
    <definedName name="S_13" localSheetId="4">#REF!</definedName>
    <definedName name="S_13">#REF!</definedName>
    <definedName name="S_14" localSheetId="4">#REF!</definedName>
    <definedName name="S_14">#REF!</definedName>
    <definedName name="S_15" localSheetId="4">#REF!</definedName>
    <definedName name="S_15">#REF!</definedName>
    <definedName name="S_16" localSheetId="4">#REF!</definedName>
    <definedName name="S_16">#REF!</definedName>
    <definedName name="S_17" localSheetId="4">#REF!</definedName>
    <definedName name="S_17">#REF!</definedName>
    <definedName name="S_18" localSheetId="4">#REF!</definedName>
    <definedName name="S_18">#REF!</definedName>
    <definedName name="S_19" localSheetId="4">#REF!</definedName>
    <definedName name="S_19">#REF!</definedName>
    <definedName name="S_2" localSheetId="4">#REF!</definedName>
    <definedName name="S_2">#REF!</definedName>
    <definedName name="S_20" localSheetId="4">#REF!</definedName>
    <definedName name="S_20">#REF!</definedName>
    <definedName name="S_21" localSheetId="4">#REF!</definedName>
    <definedName name="S_21">#REF!</definedName>
    <definedName name="S_22" localSheetId="4">#REF!</definedName>
    <definedName name="S_22">#REF!</definedName>
    <definedName name="S_23" localSheetId="4">#REF!</definedName>
    <definedName name="S_23">#REF!</definedName>
    <definedName name="S_24" localSheetId="4">#REF!</definedName>
    <definedName name="S_24">#REF!</definedName>
    <definedName name="S_25" localSheetId="4">#REF!</definedName>
    <definedName name="S_25">#REF!</definedName>
    <definedName name="S_26" localSheetId="4">#REF!</definedName>
    <definedName name="S_26">#REF!</definedName>
    <definedName name="S_27" localSheetId="4">#REF!</definedName>
    <definedName name="S_27">#REF!</definedName>
    <definedName name="S_28" localSheetId="4">#REF!</definedName>
    <definedName name="S_28">#REF!</definedName>
    <definedName name="S_29" localSheetId="4">#REF!</definedName>
    <definedName name="S_29">#REF!</definedName>
    <definedName name="S_3" localSheetId="4">#REF!</definedName>
    <definedName name="S_3">#REF!</definedName>
    <definedName name="S_30" localSheetId="4">#REF!</definedName>
    <definedName name="S_30">#REF!</definedName>
    <definedName name="S_4" localSheetId="4">#REF!</definedName>
    <definedName name="S_4">#REF!</definedName>
    <definedName name="S_5" localSheetId="4">#REF!</definedName>
    <definedName name="S_5">#REF!</definedName>
    <definedName name="S_6" localSheetId="4">#REF!</definedName>
    <definedName name="S_6">#REF!</definedName>
    <definedName name="S_7" localSheetId="4">#REF!</definedName>
    <definedName name="S_7">#REF!</definedName>
    <definedName name="S_8" localSheetId="4">#REF!</definedName>
    <definedName name="S_8">#REF!</definedName>
    <definedName name="S_9" localSheetId="4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4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3">#REF!</definedName>
    <definedName name="sdsdsdsd" localSheetId="4">#REF!</definedName>
    <definedName name="sdsdsdsd" localSheetId="6">#REF!</definedName>
    <definedName name="sdsdsdsd">#REF!</definedName>
    <definedName name="sdsfszsfzs" localSheetId="3">#REF!,#REF!</definedName>
    <definedName name="sdsfszsfzs" localSheetId="4">#REF!,#REF!</definedName>
    <definedName name="sdsfszsfzs" localSheetId="6">#REF!,#REF!</definedName>
    <definedName name="sdsfszsfzs">#REF!,#REF!</definedName>
    <definedName name="SE_NAME">""</definedName>
    <definedName name="SECOAL" localSheetId="3">#REF!</definedName>
    <definedName name="SECOAL" localSheetId="4">#REF!</definedName>
    <definedName name="SECOAL" localSheetId="6">#REF!</definedName>
    <definedName name="SECOAL">#REF!</definedName>
    <definedName name="SECTOR_LIST">[71]SECTOR!$A$2:$A$65536</definedName>
    <definedName name="SELECT" localSheetId="3">#REF!</definedName>
    <definedName name="SELECT" localSheetId="4">#REF!</definedName>
    <definedName name="SELECT" localSheetId="6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3">#REF!</definedName>
    <definedName name="SEOREP" localSheetId="4">#REF!</definedName>
    <definedName name="SEOREP" localSheetId="6">#REF!</definedName>
    <definedName name="SEOREP">#REF!</definedName>
    <definedName name="SEREPORT" localSheetId="3">#REF!</definedName>
    <definedName name="SEREPORT" localSheetId="4">#REF!</definedName>
    <definedName name="SEREPORT" localSheetId="6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3">#REF!,#REF!</definedName>
    <definedName name="shshshsh" localSheetId="4">#REF!,#REF!</definedName>
    <definedName name="shshshsh" localSheetId="6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3">[11]Input!#REF!</definedName>
    <definedName name="SL" localSheetId="4">[11]Input!#REF!</definedName>
    <definedName name="SL" localSheetId="6">[11]Input!#REF!</definedName>
    <definedName name="SL">[11]Input!#REF!</definedName>
    <definedName name="SL_Base" localSheetId="3">#REF!</definedName>
    <definedName name="SL_Base" localSheetId="4">#REF!</definedName>
    <definedName name="SL_Base" localSheetId="6">#REF!</definedName>
    <definedName name="SL_Base">#REF!</definedName>
    <definedName name="SL_SEN" localSheetId="3">#REF!</definedName>
    <definedName name="SL_SEN" localSheetId="4">#REF!</definedName>
    <definedName name="SL_SEN" localSheetId="6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3">#REF!</definedName>
    <definedName name="SPV_DSCR" localSheetId="4">#REF!</definedName>
    <definedName name="SPV_DSCR" localSheetId="6">#REF!</definedName>
    <definedName name="SPV_DSCR">#REF!</definedName>
    <definedName name="SPV_Loan" localSheetId="4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3">#REF!</definedName>
    <definedName name="Stock" localSheetId="4">#REF!</definedName>
    <definedName name="Stock" localSheetId="6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3">#REF!</definedName>
    <definedName name="sub_total" localSheetId="4">#REF!</definedName>
    <definedName name="sub_total" localSheetId="6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3">#REF!</definedName>
    <definedName name="t" localSheetId="4">#REF!</definedName>
    <definedName name="t" localSheetId="6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3">#REF!</definedName>
    <definedName name="Target" localSheetId="4">#REF!</definedName>
    <definedName name="Target" localSheetId="6">#REF!</definedName>
    <definedName name="Target">#REF!</definedName>
    <definedName name="Tariff">[23]Assumptions!$H$8</definedName>
    <definedName name="tariff_var_mod">[23]Assumptions!$L$37</definedName>
    <definedName name="TAX_DIFF" localSheetId="3">#REF!</definedName>
    <definedName name="TAX_DIFF" localSheetId="4">#REF!</definedName>
    <definedName name="TAX_DIFF" localSheetId="6">#REF!</definedName>
    <definedName name="TAX_DIFF">#REF!</definedName>
    <definedName name="TAX_PAS" localSheetId="3">#REF!</definedName>
    <definedName name="TAX_PAS" localSheetId="4">#REF!</definedName>
    <definedName name="TAX_PAS" localSheetId="6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3">#REF!</definedName>
    <definedName name="Taxrate12" localSheetId="4">#REF!</definedName>
    <definedName name="Taxrate12" localSheetId="6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3">#REF!</definedName>
    <definedName name="TDSCR_FCSPV" localSheetId="4">#REF!</definedName>
    <definedName name="TDSCR_FCSPV" localSheetId="6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3">#REF!</definedName>
    <definedName name="Tgt" localSheetId="4">#REF!</definedName>
    <definedName name="Tgt" localSheetId="6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3">#REF!</definedName>
    <definedName name="title" localSheetId="4">#REF!</definedName>
    <definedName name="title" localSheetId="6">#REF!</definedName>
    <definedName name="title">#REF!</definedName>
    <definedName name="Tolerance">0.0025</definedName>
    <definedName name="total_A" localSheetId="3">#REF!</definedName>
    <definedName name="total_A" localSheetId="4">#REF!</definedName>
    <definedName name="total_A" localSheetId="6">#REF!</definedName>
    <definedName name="total_A">#REF!</definedName>
    <definedName name="total_B" localSheetId="3">#REF!</definedName>
    <definedName name="total_B" localSheetId="4">#REF!</definedName>
    <definedName name="total_B" localSheetId="6">#REF!</definedName>
    <definedName name="total_B">#REF!</definedName>
    <definedName name="total_budget" localSheetId="3">#REF!</definedName>
    <definedName name="total_budget" localSheetId="4">#REF!</definedName>
    <definedName name="total_budget" localSheetId="6">#REF!</definedName>
    <definedName name="total_budget">#REF!</definedName>
    <definedName name="total_C" localSheetId="4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3">[11]Assumptions!#REF!</definedName>
    <definedName name="TPS" localSheetId="4">[11]Assumptions!#REF!</definedName>
    <definedName name="TPS" localSheetId="6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3">#REF!</definedName>
    <definedName name="Transportation_Base" localSheetId="4">#REF!</definedName>
    <definedName name="Transportation_Base" localSheetId="6">#REF!</definedName>
    <definedName name="Transportation_Base">#REF!</definedName>
    <definedName name="Transportation_SEN" localSheetId="3">#REF!</definedName>
    <definedName name="Transportation_SEN" localSheetId="4">#REF!</definedName>
    <definedName name="Transportation_SEN" localSheetId="6">#REF!</definedName>
    <definedName name="Transportation_SEN">#REF!</definedName>
    <definedName name="TRAVEL">#REF!</definedName>
    <definedName name="tripping" localSheetId="3">#REF!</definedName>
    <definedName name="tripping" localSheetId="4">#REF!</definedName>
    <definedName name="tripping" localSheetId="6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3">#REF!</definedName>
    <definedName name="uNIT1" localSheetId="4">#REF!</definedName>
    <definedName name="uNIT1" localSheetId="6">#REF!</definedName>
    <definedName name="uNIT1">#REF!</definedName>
    <definedName name="uNIT2" localSheetId="3">#REF!</definedName>
    <definedName name="uNIT2" localSheetId="4">#REF!</definedName>
    <definedName name="uNIT2" localSheetId="6">#REF!</definedName>
    <definedName name="uNIT2">#REF!</definedName>
    <definedName name="uNIT3" localSheetId="3">#REF!</definedName>
    <definedName name="uNIT3" localSheetId="4">#REF!</definedName>
    <definedName name="uNIT3" localSheetId="6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4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3">#REF!</definedName>
    <definedName name="VAR_1" localSheetId="4">#REF!</definedName>
    <definedName name="VAR_1" localSheetId="6">#REF!</definedName>
    <definedName name="VAR_1">#REF!</definedName>
    <definedName name="VAR_10" localSheetId="3">#REF!</definedName>
    <definedName name="VAR_10" localSheetId="4">#REF!</definedName>
    <definedName name="VAR_10" localSheetId="6">#REF!</definedName>
    <definedName name="VAR_10">#REF!</definedName>
    <definedName name="VAR_11" localSheetId="3">#REF!</definedName>
    <definedName name="VAR_11" localSheetId="4">#REF!</definedName>
    <definedName name="VAR_11" localSheetId="6">#REF!</definedName>
    <definedName name="VAR_11">#REF!</definedName>
    <definedName name="VAR_12" localSheetId="4">#REF!</definedName>
    <definedName name="VAR_12">#REF!</definedName>
    <definedName name="VAR_13" localSheetId="4">#REF!</definedName>
    <definedName name="VAR_13">#REF!</definedName>
    <definedName name="VAR_14" localSheetId="4">#REF!</definedName>
    <definedName name="VAR_14">#REF!</definedName>
    <definedName name="VAR_15" localSheetId="4">#REF!</definedName>
    <definedName name="VAR_15">#REF!</definedName>
    <definedName name="VAR_16" localSheetId="4">#REF!</definedName>
    <definedName name="VAR_16">#REF!</definedName>
    <definedName name="VAR_17" localSheetId="4">#REF!</definedName>
    <definedName name="VAR_17">#REF!</definedName>
    <definedName name="VAR_18" localSheetId="4">#REF!</definedName>
    <definedName name="VAR_18">#REF!</definedName>
    <definedName name="VAR_19" localSheetId="4">#REF!</definedName>
    <definedName name="VAR_19">#REF!</definedName>
    <definedName name="VAR_2" localSheetId="4">#REF!</definedName>
    <definedName name="VAR_2">#REF!</definedName>
    <definedName name="VAR_20" localSheetId="4">#REF!</definedName>
    <definedName name="VAR_20">#REF!</definedName>
    <definedName name="VAR_21" localSheetId="4">#REF!</definedName>
    <definedName name="VAR_21">#REF!</definedName>
    <definedName name="VAR_22" localSheetId="4">#REF!</definedName>
    <definedName name="VAR_22">#REF!</definedName>
    <definedName name="VAR_23" localSheetId="4">#REF!</definedName>
    <definedName name="VAR_23">#REF!</definedName>
    <definedName name="VAR_24" localSheetId="4">#REF!</definedName>
    <definedName name="VAR_24">#REF!</definedName>
    <definedName name="VAR_25" localSheetId="4">#REF!</definedName>
    <definedName name="VAR_25">#REF!</definedName>
    <definedName name="VAR_26" localSheetId="4">#REF!</definedName>
    <definedName name="VAR_26">#REF!</definedName>
    <definedName name="VAR_27" localSheetId="4">#REF!</definedName>
    <definedName name="VAR_27">#REF!</definedName>
    <definedName name="VAR_28" localSheetId="4">#REF!</definedName>
    <definedName name="VAR_28">#REF!</definedName>
    <definedName name="VAR_29" localSheetId="4">#REF!</definedName>
    <definedName name="VAR_29">#REF!</definedName>
    <definedName name="VAR_3" localSheetId="4">#REF!</definedName>
    <definedName name="VAR_3">#REF!</definedName>
    <definedName name="VAR_30" localSheetId="4">#REF!</definedName>
    <definedName name="VAR_30">#REF!</definedName>
    <definedName name="VAR_4" localSheetId="4">#REF!</definedName>
    <definedName name="VAR_4">#REF!</definedName>
    <definedName name="VAR_5" localSheetId="4">#REF!</definedName>
    <definedName name="VAR_5">#REF!</definedName>
    <definedName name="VAR_6" localSheetId="4">#REF!</definedName>
    <definedName name="VAR_6">#REF!</definedName>
    <definedName name="VAR_7" localSheetId="4">#REF!</definedName>
    <definedName name="VAR_7">#REF!</definedName>
    <definedName name="VAR_8" localSheetId="4">#REF!</definedName>
    <definedName name="VAR_8">#REF!</definedName>
    <definedName name="VAR_9" localSheetId="4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3">#REF!</definedName>
    <definedName name="W" localSheetId="4">#REF!</definedName>
    <definedName name="W" localSheetId="6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3">#REF!</definedName>
    <definedName name="WEEK_1A" localSheetId="4">#REF!</definedName>
    <definedName name="WEEK_1A" localSheetId="6">#REF!</definedName>
    <definedName name="WEEK_1A">#REF!</definedName>
    <definedName name="WEEK_1B" localSheetId="3">#REF!</definedName>
    <definedName name="WEEK_1B" localSheetId="4">#REF!</definedName>
    <definedName name="WEEK_1B" localSheetId="6">#REF!</definedName>
    <definedName name="WEEK_1B">#REF!</definedName>
    <definedName name="WEEK_2A" localSheetId="4">#REF!</definedName>
    <definedName name="WEEK_2A">#REF!</definedName>
    <definedName name="WEEK_2B" localSheetId="4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3">#REF!</definedName>
    <definedName name="X1_" localSheetId="4">#REF!</definedName>
    <definedName name="X1_" localSheetId="6">#REF!</definedName>
    <definedName name="X1_">#REF!</definedName>
    <definedName name="X11__?___QUIT_" localSheetId="3">#REF!</definedName>
    <definedName name="X11__?___QUIT_" localSheetId="4">#REF!</definedName>
    <definedName name="X11__?___QUIT_" localSheetId="6">#REF!</definedName>
    <definedName name="X11__?___QUIT_">#REF!</definedName>
    <definedName name="xc">[90]Company!$J$16</definedName>
    <definedName name="xcxcxcc" localSheetId="3">#REF!</definedName>
    <definedName name="xcxcxcc" localSheetId="4">#REF!</definedName>
    <definedName name="xcxcxcc" localSheetId="6">#REF!</definedName>
    <definedName name="xcxcxcc">#REF!</definedName>
    <definedName name="xcxvxv" localSheetId="3">'[39]04REL'!#REF!</definedName>
    <definedName name="xcxvxv" localSheetId="4">'[39]04REL'!#REF!</definedName>
    <definedName name="xcxvxv" localSheetId="6">'[39]04REL'!#REF!</definedName>
    <definedName name="xcxvxv">'[39]04REL'!#REF!</definedName>
    <definedName name="xczczczc" localSheetId="3">#REF!</definedName>
    <definedName name="xczczczc" localSheetId="4">#REF!</definedName>
    <definedName name="xczczczc" localSheetId="6">#REF!</definedName>
    <definedName name="xczczczc">#REF!</definedName>
    <definedName name="xczxzxz" localSheetId="3">#REF!,#REF!</definedName>
    <definedName name="xczxzxz" localSheetId="4">#REF!,#REF!</definedName>
    <definedName name="xczxzxz" localSheetId="6">#REF!,#REF!</definedName>
    <definedName name="xczxzxz">#REF!,#REF!</definedName>
    <definedName name="xfzdsfzsf" localSheetId="3">#REF!</definedName>
    <definedName name="xfzdsfzsf" localSheetId="4">#REF!</definedName>
    <definedName name="xfzdsfzsf" localSheetId="6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3" hidden="1">[93]CE!#REF!</definedName>
    <definedName name="xxxx" localSheetId="4" hidden="1">[93]CE!#REF!</definedName>
    <definedName name="xxxx" localSheetId="6" hidden="1">[93]CE!#REF!</definedName>
    <definedName name="xxxx" hidden="1">[93]CE!#REF!</definedName>
    <definedName name="xzxzxcxc" localSheetId="3">#REF!</definedName>
    <definedName name="xzxzxcxc" localSheetId="4">#REF!</definedName>
    <definedName name="xzxzxcxc" localSheetId="6">#REF!</definedName>
    <definedName name="xzxzxcxc">#REF!</definedName>
    <definedName name="year" localSheetId="3">#REF!</definedName>
    <definedName name="year" localSheetId="4">#REF!</definedName>
    <definedName name="year" localSheetId="6">#REF!</definedName>
    <definedName name="year">#REF!</definedName>
    <definedName name="Year1" localSheetId="3">#REF!</definedName>
    <definedName name="Year1" localSheetId="4">#REF!</definedName>
    <definedName name="Year1" localSheetId="6">#REF!</definedName>
    <definedName name="Year1">#REF!</definedName>
    <definedName name="year2011" localSheetId="4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3">#REF!</definedName>
    <definedName name="ygshjshua" localSheetId="4">#REF!</definedName>
    <definedName name="ygshjshua" localSheetId="6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3">#REF!</definedName>
    <definedName name="zbhh" localSheetId="4">#REF!</definedName>
    <definedName name="zbhh">#REF!</definedName>
    <definedName name="zzxxx" localSheetId="3">#REF!,#REF!</definedName>
    <definedName name="zzxxx" localSheetId="4">#REF!,#REF!</definedName>
    <definedName name="zzxxx" localSheetId="6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8" l="1"/>
  <c r="D45" i="8"/>
  <c r="S28" i="1"/>
  <c r="B44" i="1"/>
  <c r="M25" i="7" l="1"/>
  <c r="D26" i="9" l="1"/>
  <c r="C26" i="9"/>
  <c r="D25" i="9"/>
  <c r="C25" i="9"/>
  <c r="D20" i="9"/>
  <c r="D21" i="9"/>
  <c r="C21" i="9"/>
  <c r="C20" i="9"/>
  <c r="D15" i="9"/>
  <c r="D16" i="9"/>
  <c r="C16" i="9"/>
  <c r="C15" i="9"/>
  <c r="D10" i="9"/>
  <c r="E10" i="9"/>
  <c r="E11" i="9" s="1"/>
  <c r="F10" i="9"/>
  <c r="F11" i="9" s="1"/>
  <c r="D11" i="9"/>
  <c r="C11" i="9"/>
  <c r="C10" i="9"/>
  <c r="F15" i="9" l="1"/>
  <c r="E15" i="9"/>
  <c r="C32" i="5"/>
  <c r="F16" i="9" l="1"/>
  <c r="F20" i="9"/>
  <c r="E20" i="9"/>
  <c r="E16" i="9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H11" i="8"/>
  <c r="G70" i="3"/>
  <c r="F70" i="3"/>
  <c r="C30" i="5"/>
  <c r="C29" i="5"/>
  <c r="F21" i="9" l="1"/>
  <c r="F25" i="9"/>
  <c r="F26" i="9" s="1"/>
  <c r="E21" i="9"/>
  <c r="E25" i="9"/>
  <c r="E26" i="9" s="1"/>
  <c r="I25" i="6"/>
  <c r="E24" i="6"/>
  <c r="F21" i="6"/>
  <c r="D20" i="6"/>
  <c r="D19" i="6"/>
  <c r="C4" i="6"/>
  <c r="D36" i="1" l="1"/>
  <c r="K78" i="1"/>
  <c r="L78" i="1"/>
  <c r="J78" i="1"/>
  <c r="F11" i="5"/>
  <c r="C56" i="1"/>
  <c r="B45" i="1"/>
  <c r="M43" i="1"/>
  <c r="L43" i="1"/>
  <c r="K43" i="1"/>
  <c r="J43" i="1"/>
  <c r="M24" i="7" l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H43" i="7"/>
  <c r="AD32" i="7"/>
  <c r="AC32" i="7"/>
  <c r="AB32" i="7"/>
  <c r="AA32" i="7"/>
  <c r="Z32" i="7"/>
  <c r="Y32" i="7"/>
  <c r="X32" i="7"/>
  <c r="W32" i="7"/>
  <c r="V32" i="7"/>
  <c r="J2" i="1"/>
  <c r="J2" i="7" s="1"/>
  <c r="Y73" i="3"/>
  <c r="C10" i="5"/>
  <c r="N25" i="7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K2" i="1" l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D2" i="7" s="1"/>
  <c r="J28" i="1"/>
  <c r="W2" i="7" l="1"/>
  <c r="Z2" i="7"/>
  <c r="U2" i="7"/>
  <c r="T2" i="7"/>
  <c r="S2" i="7"/>
  <c r="V2" i="7"/>
  <c r="Q2" i="7"/>
  <c r="P2" i="7"/>
  <c r="O2" i="7"/>
  <c r="R2" i="7"/>
  <c r="L2" i="7"/>
  <c r="K2" i="7"/>
  <c r="Y2" i="7"/>
  <c r="AB2" i="7"/>
  <c r="X2" i="7"/>
  <c r="AA2" i="7"/>
  <c r="N2" i="7"/>
  <c r="M2" i="7"/>
  <c r="AC2" i="7"/>
  <c r="AD6" i="7"/>
  <c r="AC6" i="7"/>
  <c r="C53" i="1"/>
  <c r="U28" i="1"/>
  <c r="T28" i="1"/>
  <c r="D70" i="3" l="1"/>
  <c r="D71" i="3" s="1"/>
  <c r="B66" i="3"/>
  <c r="H64" i="3" l="1"/>
  <c r="H67" i="3" s="1"/>
  <c r="I64" i="3" l="1"/>
  <c r="I67" i="3" l="1"/>
  <c r="H51" i="7" l="1"/>
  <c r="U13" i="7"/>
  <c r="T13" i="7"/>
  <c r="S13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C63" i="1"/>
  <c r="C64" i="1" s="1"/>
  <c r="G55" i="3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C21" i="6"/>
  <c r="E20" i="6"/>
  <c r="E19" i="6"/>
  <c r="AD28" i="1"/>
  <c r="AD13" i="7" s="1"/>
  <c r="AC28" i="1"/>
  <c r="AC13" i="7" s="1"/>
  <c r="H25" i="6" l="1"/>
  <c r="G25" i="6"/>
  <c r="F25" i="6"/>
  <c r="E25" i="6"/>
  <c r="X55" i="3"/>
  <c r="W61" i="3"/>
  <c r="D21" i="6"/>
  <c r="X61" i="3" l="1"/>
  <c r="Y55" i="3"/>
  <c r="Y59" i="3" s="1"/>
  <c r="C37" i="1"/>
  <c r="B33" i="8" s="1"/>
  <c r="D42" i="8" s="1"/>
  <c r="AB28" i="1"/>
  <c r="AB13" i="7" s="1"/>
  <c r="AA28" i="1"/>
  <c r="AA13" i="7" s="1"/>
  <c r="Z28" i="1"/>
  <c r="Z13" i="7" s="1"/>
  <c r="Y28" i="1"/>
  <c r="Y13" i="7" s="1"/>
  <c r="X28" i="1"/>
  <c r="X13" i="7" s="1"/>
  <c r="W28" i="1"/>
  <c r="W13" i="7" s="1"/>
  <c r="V28" i="1"/>
  <c r="V13" i="7" s="1"/>
  <c r="R28" i="1"/>
  <c r="R13" i="7" s="1"/>
  <c r="Q28" i="1"/>
  <c r="Q13" i="7" s="1"/>
  <c r="P28" i="1"/>
  <c r="P13" i="7" s="1"/>
  <c r="O28" i="1"/>
  <c r="O13" i="7" s="1"/>
  <c r="N28" i="1"/>
  <c r="N13" i="7" s="1"/>
  <c r="M28" i="1"/>
  <c r="M13" i="7" s="1"/>
  <c r="L28" i="1"/>
  <c r="K28" i="1"/>
  <c r="Y60" i="3" l="1"/>
  <c r="Y61" i="3" s="1"/>
  <c r="F4" i="1"/>
  <c r="F1" i="1"/>
  <c r="G1" i="1" s="1"/>
  <c r="F3" i="1" l="1"/>
  <c r="AC85" i="7" l="1"/>
  <c r="AC26" i="7"/>
  <c r="B42" i="8"/>
  <c r="AD85" i="7" l="1"/>
  <c r="AD26" i="7"/>
  <c r="I86" i="7"/>
  <c r="I74" i="7"/>
  <c r="A42" i="8"/>
  <c r="A41" i="8"/>
  <c r="I51" i="7"/>
  <c r="G1" i="7"/>
  <c r="G52" i="7" s="1"/>
  <c r="F1" i="7"/>
  <c r="F52" i="7" s="1"/>
  <c r="E52" i="7"/>
  <c r="D52" i="7"/>
  <c r="D49" i="7"/>
  <c r="D50" i="7" s="1"/>
  <c r="I43" i="7"/>
  <c r="A10" i="7"/>
  <c r="A4" i="7"/>
  <c r="A3" i="7"/>
  <c r="A2" i="7"/>
  <c r="A1" i="7"/>
  <c r="I91" i="7" l="1"/>
  <c r="B43" i="8"/>
  <c r="C42" i="8" s="1"/>
  <c r="D53" i="7"/>
  <c r="E49" i="7" s="1"/>
  <c r="E50" i="7" s="1"/>
  <c r="M85" i="7" l="1"/>
  <c r="C41" i="8"/>
  <c r="E53" i="7"/>
  <c r="F49" i="7" s="1"/>
  <c r="F50" i="7" s="1"/>
  <c r="N85" i="7" l="1"/>
  <c r="F53" i="7"/>
  <c r="G49" i="7" s="1"/>
  <c r="G50" i="7" s="1"/>
  <c r="O85" i="7" l="1"/>
  <c r="G53" i="7"/>
  <c r="H49" i="7" s="1"/>
  <c r="H50" i="7" s="1"/>
  <c r="H44" i="7" s="1"/>
  <c r="H45" i="7" s="1"/>
  <c r="P85" i="7" l="1"/>
  <c r="Q85" i="7" l="1"/>
  <c r="R85" i="7" l="1"/>
  <c r="S85" i="7" l="1"/>
  <c r="T85" i="7" l="1"/>
  <c r="U85" i="7" l="1"/>
  <c r="V85" i="7" l="1"/>
  <c r="W85" i="7" l="1"/>
  <c r="X85" i="7" l="1"/>
  <c r="Y85" i="7" l="1"/>
  <c r="Z85" i="7" l="1"/>
  <c r="AA85" i="7" l="1"/>
  <c r="AB85" i="7" l="1"/>
  <c r="C47" i="1" l="1"/>
  <c r="C9" i="1"/>
  <c r="C10" i="1" s="1"/>
  <c r="C15" i="1" s="1"/>
  <c r="C11" i="1"/>
  <c r="C13" i="1" s="1"/>
  <c r="C14" i="1" s="1"/>
  <c r="J64" i="3" l="1"/>
  <c r="F6" i="6"/>
  <c r="E5" i="6"/>
  <c r="E4" i="6"/>
  <c r="D5" i="6"/>
  <c r="D4" i="6"/>
  <c r="J67" i="3" l="1"/>
  <c r="K64" i="3"/>
  <c r="G4" i="1"/>
  <c r="F4" i="7"/>
  <c r="K67" i="3" l="1"/>
  <c r="L64" i="3"/>
  <c r="G4" i="7"/>
  <c r="G3" i="1"/>
  <c r="L67" i="3" l="1"/>
  <c r="M64" i="3"/>
  <c r="M67" i="3" l="1"/>
  <c r="N64" i="3"/>
  <c r="E27" i="6"/>
  <c r="F24" i="6" s="1"/>
  <c r="N67" i="3" l="1"/>
  <c r="O64" i="3"/>
  <c r="F27" i="6"/>
  <c r="G24" i="6" s="1"/>
  <c r="O67" i="3" l="1"/>
  <c r="P64" i="3"/>
  <c r="G27" i="6"/>
  <c r="H24" i="6" s="1"/>
  <c r="B6" i="6"/>
  <c r="C6" i="6"/>
  <c r="E10" i="6" s="1"/>
  <c r="J11" i="6" l="1"/>
  <c r="E11" i="6"/>
  <c r="I11" i="6"/>
  <c r="F11" i="6"/>
  <c r="H11" i="6"/>
  <c r="G11" i="6"/>
  <c r="P67" i="3"/>
  <c r="Q64" i="3"/>
  <c r="H27" i="6"/>
  <c r="I24" i="6" s="1"/>
  <c r="D6" i="6"/>
  <c r="C12" i="5"/>
  <c r="C21" i="5" s="1"/>
  <c r="C24" i="5" s="1"/>
  <c r="J31" i="5" s="1"/>
  <c r="J32" i="5" s="1"/>
  <c r="I3" i="5"/>
  <c r="J6" i="5"/>
  <c r="D6" i="5"/>
  <c r="Q67" i="3" l="1"/>
  <c r="R64" i="3"/>
  <c r="E26" i="6"/>
  <c r="F26" i="6"/>
  <c r="G26" i="6"/>
  <c r="H26" i="6"/>
  <c r="I27" i="6"/>
  <c r="I26" i="6"/>
  <c r="B29" i="6"/>
  <c r="K3" i="5"/>
  <c r="R67" i="3" l="1"/>
  <c r="S64" i="3"/>
  <c r="J24" i="6"/>
  <c r="J27" i="6" s="1"/>
  <c r="S67" i="3" l="1"/>
  <c r="J26" i="6"/>
  <c r="K24" i="6"/>
  <c r="K27" i="6" s="1"/>
  <c r="C29" i="6"/>
  <c r="T64" i="3" l="1"/>
  <c r="T67" i="3" s="1"/>
  <c r="K26" i="6"/>
  <c r="L24" i="6"/>
  <c r="L26" i="6" s="1"/>
  <c r="D29" i="6"/>
  <c r="U64" i="3" l="1"/>
  <c r="U67" i="3" s="1"/>
  <c r="L27" i="6"/>
  <c r="V64" i="3" l="1"/>
  <c r="W64" i="3" s="1"/>
  <c r="M24" i="6"/>
  <c r="M25" i="6" s="1"/>
  <c r="M27" i="6" s="1"/>
  <c r="E13" i="6"/>
  <c r="E12" i="6"/>
  <c r="E29" i="6" s="1"/>
  <c r="M32" i="7" s="1"/>
  <c r="V67" i="3" l="1"/>
  <c r="W67" i="3"/>
  <c r="X64" i="3"/>
  <c r="N24" i="6"/>
  <c r="M26" i="6"/>
  <c r="F10" i="6"/>
  <c r="X67" i="3" l="1"/>
  <c r="X66" i="3"/>
  <c r="Y64" i="3" s="1"/>
  <c r="N25" i="6"/>
  <c r="N27" i="6" s="1"/>
  <c r="O24" i="6" s="1"/>
  <c r="N26" i="6"/>
  <c r="F13" i="6"/>
  <c r="F12" i="6"/>
  <c r="F29" i="6" s="1"/>
  <c r="N32" i="7" s="1"/>
  <c r="Y67" i="3" l="1"/>
  <c r="Y66" i="3"/>
  <c r="O25" i="6"/>
  <c r="O27" i="6" s="1"/>
  <c r="P24" i="6" s="1"/>
  <c r="O26" i="6"/>
  <c r="G10" i="6"/>
  <c r="P25" i="6" l="1"/>
  <c r="P27" i="6" s="1"/>
  <c r="Q24" i="6" s="1"/>
  <c r="P26" i="6"/>
  <c r="G12" i="6"/>
  <c r="G29" i="6" s="1"/>
  <c r="O32" i="7" s="1"/>
  <c r="G13" i="6"/>
  <c r="I43" i="1"/>
  <c r="H43" i="1"/>
  <c r="G43" i="1"/>
  <c r="F43" i="1"/>
  <c r="E43" i="1"/>
  <c r="D43" i="1"/>
  <c r="C43" i="1"/>
  <c r="C65" i="1"/>
  <c r="AD21" i="7" s="1"/>
  <c r="E61" i="3"/>
  <c r="A50" i="3"/>
  <c r="H1" i="1"/>
  <c r="D61" i="3"/>
  <c r="I38" i="3"/>
  <c r="I42" i="3" s="1"/>
  <c r="I37" i="3"/>
  <c r="I41" i="3" s="1"/>
  <c r="I36" i="3"/>
  <c r="I40" i="3" s="1"/>
  <c r="I33" i="3"/>
  <c r="I45" i="3" s="1"/>
  <c r="I32" i="3"/>
  <c r="I44" i="3" s="1"/>
  <c r="I29" i="3"/>
  <c r="O28" i="3"/>
  <c r="O27" i="3"/>
  <c r="O25" i="3"/>
  <c r="O24" i="3"/>
  <c r="N23" i="3"/>
  <c r="N26" i="3" s="1"/>
  <c r="N29" i="3" s="1"/>
  <c r="M23" i="3"/>
  <c r="M26" i="3" s="1"/>
  <c r="M29" i="3" s="1"/>
  <c r="L23" i="3"/>
  <c r="L26" i="3" s="1"/>
  <c r="L29" i="3" s="1"/>
  <c r="K23" i="3"/>
  <c r="K26" i="3" s="1"/>
  <c r="K29" i="3" s="1"/>
  <c r="J23" i="3"/>
  <c r="J26" i="3" s="1"/>
  <c r="J29" i="3" s="1"/>
  <c r="H23" i="3"/>
  <c r="H26" i="3" s="1"/>
  <c r="H29" i="3" s="1"/>
  <c r="G23" i="3"/>
  <c r="G26" i="3" s="1"/>
  <c r="G29" i="3" s="1"/>
  <c r="F23" i="3"/>
  <c r="F26" i="3" s="1"/>
  <c r="O22" i="3"/>
  <c r="O21" i="3"/>
  <c r="O20" i="3"/>
  <c r="I17" i="3"/>
  <c r="I34" i="3" s="1"/>
  <c r="I46" i="3" s="1"/>
  <c r="O16" i="3"/>
  <c r="O14" i="3"/>
  <c r="O12" i="3"/>
  <c r="O10" i="3"/>
  <c r="N9" i="3"/>
  <c r="N36" i="3" s="1"/>
  <c r="N40" i="3" s="1"/>
  <c r="M9" i="3"/>
  <c r="M36" i="3" s="1"/>
  <c r="M40" i="3" s="1"/>
  <c r="L9" i="3"/>
  <c r="L37" i="3" s="1"/>
  <c r="L41" i="3" s="1"/>
  <c r="K9" i="3"/>
  <c r="K36" i="3" s="1"/>
  <c r="K40" i="3" s="1"/>
  <c r="J9" i="3"/>
  <c r="J36" i="3" s="1"/>
  <c r="J40" i="3" s="1"/>
  <c r="H9" i="3"/>
  <c r="H37" i="3" s="1"/>
  <c r="H41" i="3" s="1"/>
  <c r="G9" i="3"/>
  <c r="G36" i="3" s="1"/>
  <c r="G40" i="3" s="1"/>
  <c r="F9" i="3"/>
  <c r="F13" i="3" s="1"/>
  <c r="D9" i="3"/>
  <c r="D13" i="3" s="1"/>
  <c r="O8" i="3"/>
  <c r="O7" i="3"/>
  <c r="O6" i="3"/>
  <c r="O5" i="3"/>
  <c r="X73" i="3" l="1"/>
  <c r="W73" i="3"/>
  <c r="E70" i="3"/>
  <c r="E71" i="3" s="1"/>
  <c r="Q25" i="6"/>
  <c r="Q27" i="6" s="1"/>
  <c r="R24" i="6" s="1"/>
  <c r="Q26" i="6"/>
  <c r="I1" i="1"/>
  <c r="H1" i="7"/>
  <c r="H52" i="7" s="1"/>
  <c r="H53" i="7" s="1"/>
  <c r="I49" i="7" s="1"/>
  <c r="I50" i="7" s="1"/>
  <c r="I44" i="7" s="1"/>
  <c r="I45" i="7" s="1"/>
  <c r="H10" i="6"/>
  <c r="F74" i="3"/>
  <c r="M74" i="3"/>
  <c r="G74" i="3"/>
  <c r="G73" i="3"/>
  <c r="E73" i="3"/>
  <c r="V73" i="3"/>
  <c r="F73" i="3"/>
  <c r="M73" i="3"/>
  <c r="P73" i="3"/>
  <c r="E74" i="3"/>
  <c r="O9" i="3"/>
  <c r="O37" i="3" s="1"/>
  <c r="O41" i="3" s="1"/>
  <c r="F61" i="3"/>
  <c r="G61" i="3"/>
  <c r="D38" i="3"/>
  <c r="D42" i="3" s="1"/>
  <c r="D33" i="3"/>
  <c r="D17" i="3"/>
  <c r="F17" i="3"/>
  <c r="F38" i="3"/>
  <c r="F42" i="3" s="1"/>
  <c r="F33" i="3"/>
  <c r="F45" i="3" s="1"/>
  <c r="O26" i="3"/>
  <c r="F29" i="3"/>
  <c r="O29" i="3" s="1"/>
  <c r="G13" i="3"/>
  <c r="L13" i="3"/>
  <c r="O23" i="3"/>
  <c r="D32" i="3"/>
  <c r="M32" i="3"/>
  <c r="M44" i="3" s="1"/>
  <c r="H36" i="3"/>
  <c r="H40" i="3" s="1"/>
  <c r="L36" i="3"/>
  <c r="L40" i="3" s="1"/>
  <c r="D37" i="3"/>
  <c r="D41" i="3" s="1"/>
  <c r="M37" i="3"/>
  <c r="M41" i="3" s="1"/>
  <c r="H13" i="3"/>
  <c r="M13" i="3"/>
  <c r="F32" i="3"/>
  <c r="F44" i="3" s="1"/>
  <c r="J32" i="3"/>
  <c r="J44" i="3" s="1"/>
  <c r="N32" i="3"/>
  <c r="N44" i="3" s="1"/>
  <c r="D36" i="3"/>
  <c r="D40" i="3" s="1"/>
  <c r="F37" i="3"/>
  <c r="F41" i="3" s="1"/>
  <c r="J37" i="3"/>
  <c r="J41" i="3" s="1"/>
  <c r="N37" i="3"/>
  <c r="N41" i="3" s="1"/>
  <c r="J13" i="3"/>
  <c r="N13" i="3"/>
  <c r="G32" i="3"/>
  <c r="G44" i="3" s="1"/>
  <c r="K32" i="3"/>
  <c r="K44" i="3" s="1"/>
  <c r="F36" i="3"/>
  <c r="F40" i="3" s="1"/>
  <c r="G37" i="3"/>
  <c r="G41" i="3" s="1"/>
  <c r="K37" i="3"/>
  <c r="K41" i="3" s="1"/>
  <c r="K13" i="3"/>
  <c r="H32" i="3"/>
  <c r="H44" i="3" s="1"/>
  <c r="L32" i="3"/>
  <c r="L44" i="3" s="1"/>
  <c r="D75" i="3"/>
  <c r="D74" i="3"/>
  <c r="D73" i="3"/>
  <c r="I1" i="7" l="1"/>
  <c r="I52" i="7" s="1"/>
  <c r="I53" i="7" s="1"/>
  <c r="D50" i="3"/>
  <c r="J1" i="1"/>
  <c r="E2" i="8" s="1"/>
  <c r="F71" i="3"/>
  <c r="E18" i="8"/>
  <c r="F18" i="8"/>
  <c r="G18" i="8"/>
  <c r="R25" i="6"/>
  <c r="R27" i="6" s="1"/>
  <c r="S24" i="6" s="1"/>
  <c r="R26" i="6"/>
  <c r="I66" i="7"/>
  <c r="I46" i="7"/>
  <c r="M18" i="8"/>
  <c r="H13" i="6"/>
  <c r="H12" i="6"/>
  <c r="H29" i="6" s="1"/>
  <c r="P32" i="7" s="1"/>
  <c r="E75" i="3"/>
  <c r="G75" i="3"/>
  <c r="F75" i="3"/>
  <c r="O13" i="3"/>
  <c r="O38" i="3" s="1"/>
  <c r="O42" i="3" s="1"/>
  <c r="O36" i="3"/>
  <c r="O40" i="3" s="1"/>
  <c r="H73" i="3"/>
  <c r="J17" i="3"/>
  <c r="J34" i="3" s="1"/>
  <c r="J46" i="3" s="1"/>
  <c r="J38" i="3"/>
  <c r="J42" i="3" s="1"/>
  <c r="J33" i="3"/>
  <c r="J45" i="3" s="1"/>
  <c r="H61" i="3"/>
  <c r="K38" i="3"/>
  <c r="K42" i="3" s="1"/>
  <c r="K33" i="3"/>
  <c r="K45" i="3" s="1"/>
  <c r="K17" i="3"/>
  <c r="K34" i="3" s="1"/>
  <c r="K46" i="3" s="1"/>
  <c r="M38" i="3"/>
  <c r="M42" i="3" s="1"/>
  <c r="M33" i="3"/>
  <c r="M45" i="3" s="1"/>
  <c r="M17" i="3"/>
  <c r="M34" i="3" s="1"/>
  <c r="M46" i="3" s="1"/>
  <c r="H75" i="3"/>
  <c r="L38" i="3"/>
  <c r="L42" i="3" s="1"/>
  <c r="L33" i="3"/>
  <c r="L45" i="3" s="1"/>
  <c r="L17" i="3"/>
  <c r="L34" i="3" s="1"/>
  <c r="L46" i="3" s="1"/>
  <c r="F34" i="3"/>
  <c r="F46" i="3" s="1"/>
  <c r="H38" i="3"/>
  <c r="H42" i="3" s="1"/>
  <c r="H33" i="3"/>
  <c r="H45" i="3" s="1"/>
  <c r="H17" i="3"/>
  <c r="H34" i="3" s="1"/>
  <c r="H46" i="3" s="1"/>
  <c r="G38" i="3"/>
  <c r="G42" i="3" s="1"/>
  <c r="G33" i="3"/>
  <c r="G45" i="3" s="1"/>
  <c r="G17" i="3"/>
  <c r="G34" i="3" s="1"/>
  <c r="G46" i="3" s="1"/>
  <c r="D34" i="3"/>
  <c r="N38" i="3"/>
  <c r="N42" i="3" s="1"/>
  <c r="N17" i="3"/>
  <c r="N34" i="3" s="1"/>
  <c r="N46" i="3" s="1"/>
  <c r="N33" i="3"/>
  <c r="N45" i="3" s="1"/>
  <c r="D44" i="3"/>
  <c r="O32" i="3"/>
  <c r="O44" i="3" s="1"/>
  <c r="D45" i="3"/>
  <c r="M29" i="7" l="1"/>
  <c r="H14" i="8"/>
  <c r="J1" i="7"/>
  <c r="E50" i="3"/>
  <c r="K1" i="1"/>
  <c r="F2" i="8" s="1"/>
  <c r="S25" i="6"/>
  <c r="S27" i="6" s="1"/>
  <c r="T24" i="6" s="1"/>
  <c r="S26" i="6"/>
  <c r="I10" i="6"/>
  <c r="O17" i="3"/>
  <c r="I61" i="3"/>
  <c r="D46" i="3"/>
  <c r="O34" i="3"/>
  <c r="O33" i="3"/>
  <c r="O45" i="3" s="1"/>
  <c r="K1" i="7" l="1"/>
  <c r="F50" i="3"/>
  <c r="L1" i="1"/>
  <c r="G2" i="8" s="1"/>
  <c r="I73" i="3"/>
  <c r="H69" i="3"/>
  <c r="T25" i="6"/>
  <c r="T27" i="6" s="1"/>
  <c r="U24" i="6" s="1"/>
  <c r="T26" i="6"/>
  <c r="I13" i="6"/>
  <c r="I12" i="6"/>
  <c r="I29" i="6" s="1"/>
  <c r="Q32" i="7" s="1"/>
  <c r="H74" i="3"/>
  <c r="H18" i="8" s="1"/>
  <c r="I75" i="3"/>
  <c r="O46" i="3"/>
  <c r="J61" i="3"/>
  <c r="N29" i="7" l="1"/>
  <c r="I14" i="8"/>
  <c r="L1" i="7"/>
  <c r="G50" i="3"/>
  <c r="G71" i="3"/>
  <c r="M1" i="1"/>
  <c r="H70" i="3"/>
  <c r="I69" i="3" s="1"/>
  <c r="U25" i="6"/>
  <c r="U27" i="6" s="1"/>
  <c r="V24" i="6" s="1"/>
  <c r="U26" i="6"/>
  <c r="J10" i="6"/>
  <c r="I74" i="3"/>
  <c r="I18" i="8" s="1"/>
  <c r="K61" i="3"/>
  <c r="N1" i="1" l="1"/>
  <c r="I2" i="8" s="1"/>
  <c r="H2" i="8"/>
  <c r="M1" i="7"/>
  <c r="H50" i="3"/>
  <c r="N1" i="7"/>
  <c r="V26" i="6"/>
  <c r="V25" i="6"/>
  <c r="V27" i="6" s="1"/>
  <c r="H71" i="3"/>
  <c r="J69" i="3"/>
  <c r="I70" i="3"/>
  <c r="I71" i="3" s="1"/>
  <c r="J73" i="3"/>
  <c r="J12" i="6"/>
  <c r="J29" i="6" s="1"/>
  <c r="R32" i="7" s="1"/>
  <c r="J13" i="6"/>
  <c r="O1" i="1"/>
  <c r="J2" i="8" s="1"/>
  <c r="K73" i="3"/>
  <c r="L61" i="3"/>
  <c r="I50" i="3" l="1"/>
  <c r="O1" i="7"/>
  <c r="J50" i="3"/>
  <c r="J70" i="3"/>
  <c r="J71" i="3" s="1"/>
  <c r="K69" i="3"/>
  <c r="P1" i="1"/>
  <c r="K2" i="8" s="1"/>
  <c r="M61" i="3"/>
  <c r="K74" i="3"/>
  <c r="K18" i="8" s="1"/>
  <c r="P1" i="7" l="1"/>
  <c r="K50" i="3"/>
  <c r="L73" i="3"/>
  <c r="K70" i="3"/>
  <c r="K71" i="3" s="1"/>
  <c r="L69" i="3"/>
  <c r="J75" i="3"/>
  <c r="K29" i="6"/>
  <c r="S32" i="7" s="1"/>
  <c r="Q1" i="1"/>
  <c r="L2" i="8" s="1"/>
  <c r="K75" i="3"/>
  <c r="N61" i="3"/>
  <c r="O29" i="7" l="1"/>
  <c r="J14" i="8"/>
  <c r="P29" i="7"/>
  <c r="K14" i="8"/>
  <c r="Q1" i="7"/>
  <c r="L50" i="3"/>
  <c r="L74" i="3"/>
  <c r="L18" i="8" s="1"/>
  <c r="M69" i="3"/>
  <c r="L70" i="3"/>
  <c r="L71" i="3" s="1"/>
  <c r="J74" i="3"/>
  <c r="J18" i="8" s="1"/>
  <c r="R1" i="1"/>
  <c r="M2" i="8" s="1"/>
  <c r="L75" i="3"/>
  <c r="O61" i="3"/>
  <c r="Q29" i="7" l="1"/>
  <c r="L14" i="8"/>
  <c r="R1" i="7"/>
  <c r="M50" i="3"/>
  <c r="N69" i="3"/>
  <c r="M70" i="3"/>
  <c r="M71" i="3" s="1"/>
  <c r="S1" i="1"/>
  <c r="N2" i="8" s="1"/>
  <c r="M75" i="3"/>
  <c r="P61" i="3"/>
  <c r="M29" i="6" l="1"/>
  <c r="U32" i="7" s="1"/>
  <c r="R29" i="7"/>
  <c r="M14" i="8"/>
  <c r="S1" i="7"/>
  <c r="N50" i="3"/>
  <c r="L29" i="6"/>
  <c r="T32" i="7" s="1"/>
  <c r="O69" i="3"/>
  <c r="N70" i="3"/>
  <c r="N71" i="3" s="1"/>
  <c r="N73" i="3"/>
  <c r="T1" i="1"/>
  <c r="O2" i="8" s="1"/>
  <c r="N75" i="3"/>
  <c r="N74" i="3"/>
  <c r="Q61" i="3"/>
  <c r="S29" i="7" l="1"/>
  <c r="N14" i="8"/>
  <c r="T1" i="7"/>
  <c r="O50" i="3"/>
  <c r="P69" i="3"/>
  <c r="O70" i="3"/>
  <c r="O71" i="3" s="1"/>
  <c r="O73" i="3"/>
  <c r="N18" i="8"/>
  <c r="U1" i="1"/>
  <c r="P2" i="8" s="1"/>
  <c r="R61" i="3"/>
  <c r="U1" i="7" l="1"/>
  <c r="P50" i="3"/>
  <c r="O74" i="3"/>
  <c r="O18" i="8" s="1"/>
  <c r="Q69" i="3"/>
  <c r="P70" i="3"/>
  <c r="P71" i="3" s="1"/>
  <c r="V1" i="1"/>
  <c r="Q2" i="8" s="1"/>
  <c r="O75" i="3"/>
  <c r="S61" i="3"/>
  <c r="T29" i="7" l="1"/>
  <c r="O14" i="8"/>
  <c r="V1" i="7"/>
  <c r="Q50" i="3"/>
  <c r="P74" i="3"/>
  <c r="P18" i="8" s="1"/>
  <c r="Q70" i="3"/>
  <c r="R69" i="3" s="1"/>
  <c r="W1" i="1"/>
  <c r="R2" i="8" s="1"/>
  <c r="P75" i="3"/>
  <c r="Q73" i="3"/>
  <c r="T61" i="3"/>
  <c r="U29" i="7" l="1"/>
  <c r="P14" i="8"/>
  <c r="W1" i="7"/>
  <c r="R50" i="3"/>
  <c r="Q75" i="3"/>
  <c r="Q14" i="8" s="1"/>
  <c r="R70" i="3"/>
  <c r="S69" i="3" s="1"/>
  <c r="Q71" i="3"/>
  <c r="X1" i="1"/>
  <c r="S2" i="8" s="1"/>
  <c r="Q74" i="3"/>
  <c r="Q18" i="8" s="1"/>
  <c r="U61" i="3"/>
  <c r="X1" i="7" l="1"/>
  <c r="S50" i="3"/>
  <c r="V29" i="7"/>
  <c r="R73" i="3"/>
  <c r="R71" i="3"/>
  <c r="S70" i="3"/>
  <c r="S71" i="3" s="1"/>
  <c r="T69" i="3"/>
  <c r="Y1" i="1"/>
  <c r="T2" i="8" s="1"/>
  <c r="S74" i="3"/>
  <c r="S73" i="3"/>
  <c r="V61" i="3"/>
  <c r="R75" i="3"/>
  <c r="W29" i="7" l="1"/>
  <c r="R14" i="8"/>
  <c r="Y1" i="7"/>
  <c r="T50" i="3"/>
  <c r="R74" i="3"/>
  <c r="R18" i="8" s="1"/>
  <c r="S75" i="3"/>
  <c r="U69" i="3"/>
  <c r="T70" i="3"/>
  <c r="T71" i="3" s="1"/>
  <c r="S18" i="8"/>
  <c r="Z1" i="1"/>
  <c r="U2" i="8" s="1"/>
  <c r="X29" i="7" l="1"/>
  <c r="S14" i="8"/>
  <c r="Z1" i="7"/>
  <c r="U50" i="3"/>
  <c r="U70" i="3"/>
  <c r="V69" i="3" s="1"/>
  <c r="AA1" i="1"/>
  <c r="V2" i="8" s="1"/>
  <c r="AA1" i="7" l="1"/>
  <c r="V50" i="3"/>
  <c r="T73" i="3"/>
  <c r="V70" i="3"/>
  <c r="U71" i="3"/>
  <c r="T75" i="3"/>
  <c r="AB1" i="1"/>
  <c r="Y29" i="7" l="1"/>
  <c r="T14" i="8"/>
  <c r="W50" i="3"/>
  <c r="W2" i="8"/>
  <c r="V71" i="3"/>
  <c r="W69" i="3"/>
  <c r="U73" i="3"/>
  <c r="AB1" i="7"/>
  <c r="AC1" i="1"/>
  <c r="X2" i="8" s="1"/>
  <c r="U75" i="3"/>
  <c r="T74" i="3"/>
  <c r="T18" i="8" s="1"/>
  <c r="Z29" i="7" l="1"/>
  <c r="U14" i="8"/>
  <c r="AC1" i="7"/>
  <c r="X50" i="3"/>
  <c r="W70" i="3"/>
  <c r="X68" i="3" s="1"/>
  <c r="X69" i="3" s="1"/>
  <c r="X70" i="3" s="1"/>
  <c r="Y68" i="3" s="1"/>
  <c r="Y69" i="3" s="1"/>
  <c r="Y71" i="3" s="1"/>
  <c r="AD1" i="1"/>
  <c r="U74" i="3"/>
  <c r="U18" i="8" s="1"/>
  <c r="Y50" i="3" l="1"/>
  <c r="Y2" i="8"/>
  <c r="W71" i="3"/>
  <c r="X71" i="3"/>
  <c r="Y70" i="3"/>
  <c r="AD1" i="7"/>
  <c r="V75" i="3"/>
  <c r="V14" i="8" s="1"/>
  <c r="AA29" i="7" l="1"/>
  <c r="Y75" i="3"/>
  <c r="W75" i="3"/>
  <c r="V74" i="3"/>
  <c r="V18" i="8" s="1"/>
  <c r="AD29" i="7" l="1"/>
  <c r="Y14" i="8"/>
  <c r="AB29" i="7"/>
  <c r="W14" i="8"/>
  <c r="X75" i="3"/>
  <c r="AC29" i="7" l="1"/>
  <c r="X14" i="8"/>
  <c r="H4" i="1"/>
  <c r="I4" i="5"/>
  <c r="I5" i="5"/>
  <c r="K5" i="5" s="1"/>
  <c r="W74" i="3" l="1"/>
  <c r="W18" i="8" s="1"/>
  <c r="Y74" i="3"/>
  <c r="Y18" i="8" s="1"/>
  <c r="H3" i="1"/>
  <c r="H4" i="7"/>
  <c r="I4" i="1"/>
  <c r="D53" i="3" s="1"/>
  <c r="I6" i="5"/>
  <c r="K4" i="5"/>
  <c r="H79" i="1" l="1"/>
  <c r="H74" i="1"/>
  <c r="J4" i="1"/>
  <c r="E3" i="8" s="1"/>
  <c r="I4" i="7"/>
  <c r="I3" i="1"/>
  <c r="L4" i="5"/>
  <c r="N4" i="5" s="1"/>
  <c r="L3" i="5"/>
  <c r="L5" i="5"/>
  <c r="N5" i="5" s="1"/>
  <c r="D51" i="3" l="1"/>
  <c r="I74" i="1"/>
  <c r="I79" i="1"/>
  <c r="B23" i="6"/>
  <c r="B9" i="6"/>
  <c r="E53" i="3"/>
  <c r="X74" i="3"/>
  <c r="X18" i="8" s="1"/>
  <c r="K4" i="1"/>
  <c r="F3" i="8" s="1"/>
  <c r="J3" i="1"/>
  <c r="J4" i="7"/>
  <c r="N3" i="5"/>
  <c r="O3" i="5"/>
  <c r="E1" i="8" l="1"/>
  <c r="J74" i="1"/>
  <c r="J79" i="1"/>
  <c r="J3" i="7"/>
  <c r="E51" i="3"/>
  <c r="C9" i="6"/>
  <c r="F53" i="3"/>
  <c r="C23" i="6"/>
  <c r="C25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K4" i="7"/>
  <c r="K3" i="1"/>
  <c r="L4" i="1"/>
  <c r="G3" i="8" s="1"/>
  <c r="N6" i="5"/>
  <c r="K74" i="1" l="1"/>
  <c r="K79" i="1"/>
  <c r="F51" i="3"/>
  <c r="F1" i="8"/>
  <c r="G53" i="3"/>
  <c r="D23" i="6"/>
  <c r="D9" i="6"/>
  <c r="L4" i="7"/>
  <c r="L3" i="1"/>
  <c r="M4" i="1"/>
  <c r="H3" i="8" s="1"/>
  <c r="K3" i="7"/>
  <c r="H5" i="5"/>
  <c r="H4" i="5"/>
  <c r="H3" i="5"/>
  <c r="L74" i="1" l="1"/>
  <c r="M74" i="1" s="1"/>
  <c r="L79" i="1"/>
  <c r="M79" i="1" s="1"/>
  <c r="G51" i="3"/>
  <c r="G1" i="8"/>
  <c r="H53" i="3"/>
  <c r="E23" i="6"/>
  <c r="E9" i="6"/>
  <c r="M4" i="7"/>
  <c r="N4" i="1"/>
  <c r="I3" i="8" s="1"/>
  <c r="M3" i="1"/>
  <c r="L3" i="7"/>
  <c r="K6" i="5"/>
  <c r="C19" i="5" s="1"/>
  <c r="H6" i="5"/>
  <c r="B32" i="8" l="1"/>
  <c r="D41" i="8" s="1"/>
  <c r="D43" i="8" s="1"/>
  <c r="H51" i="3"/>
  <c r="H1" i="8"/>
  <c r="H23" i="8"/>
  <c r="F23" i="6"/>
  <c r="F9" i="6"/>
  <c r="I53" i="3"/>
  <c r="M84" i="7"/>
  <c r="M3" i="7"/>
  <c r="N4" i="7"/>
  <c r="O4" i="1"/>
  <c r="J3" i="8" s="1"/>
  <c r="N3" i="1"/>
  <c r="I51" i="3" l="1"/>
  <c r="I1" i="8"/>
  <c r="I23" i="8"/>
  <c r="G9" i="6"/>
  <c r="J53" i="3"/>
  <c r="G23" i="6"/>
  <c r="B50" i="8"/>
  <c r="M9" i="7"/>
  <c r="M10" i="7" s="1"/>
  <c r="M11" i="7" s="1"/>
  <c r="M86" i="7"/>
  <c r="N84" i="7" s="1"/>
  <c r="N3" i="7"/>
  <c r="O4" i="7"/>
  <c r="P4" i="1"/>
  <c r="K3" i="8" s="1"/>
  <c r="O3" i="1"/>
  <c r="J51" i="3" l="1"/>
  <c r="J1" i="8"/>
  <c r="E5" i="8"/>
  <c r="E16" i="8"/>
  <c r="J23" i="8"/>
  <c r="K53" i="3"/>
  <c r="H23" i="6"/>
  <c r="H9" i="6"/>
  <c r="M17" i="7"/>
  <c r="M18" i="7"/>
  <c r="M87" i="7"/>
  <c r="D27" i="8"/>
  <c r="B51" i="8"/>
  <c r="D28" i="8" s="1"/>
  <c r="B49" i="8"/>
  <c r="D26" i="8" s="1"/>
  <c r="O3" i="7"/>
  <c r="P4" i="7"/>
  <c r="P3" i="1"/>
  <c r="Q4" i="1"/>
  <c r="L3" i="8" s="1"/>
  <c r="N9" i="7"/>
  <c r="N10" i="7" s="1"/>
  <c r="N11" i="7" s="1"/>
  <c r="N86" i="7"/>
  <c r="E9" i="8" l="1"/>
  <c r="E7" i="8"/>
  <c r="E19" i="8"/>
  <c r="F5" i="8"/>
  <c r="K51" i="3"/>
  <c r="K1" i="8"/>
  <c r="F16" i="8"/>
  <c r="K23" i="8"/>
  <c r="L53" i="3"/>
  <c r="I23" i="6"/>
  <c r="I9" i="6"/>
  <c r="M72" i="7"/>
  <c r="E6" i="8"/>
  <c r="E15" i="8"/>
  <c r="E17" i="8"/>
  <c r="N17" i="7"/>
  <c r="N18" i="7"/>
  <c r="M19" i="7"/>
  <c r="M73" i="7" s="1"/>
  <c r="M74" i="7" s="1"/>
  <c r="N87" i="7"/>
  <c r="O84" i="7"/>
  <c r="P3" i="7"/>
  <c r="O9" i="7"/>
  <c r="O10" i="7" s="1"/>
  <c r="O11" i="7" s="1"/>
  <c r="O86" i="7"/>
  <c r="P84" i="7" s="1"/>
  <c r="Q4" i="7"/>
  <c r="R4" i="1"/>
  <c r="M3" i="8" s="1"/>
  <c r="Q3" i="1"/>
  <c r="F9" i="8" l="1"/>
  <c r="F7" i="8"/>
  <c r="F6" i="8"/>
  <c r="G5" i="8"/>
  <c r="L51" i="3"/>
  <c r="L1" i="8"/>
  <c r="L23" i="8"/>
  <c r="J23" i="6"/>
  <c r="J9" i="6"/>
  <c r="M53" i="3"/>
  <c r="M91" i="7"/>
  <c r="M75" i="7"/>
  <c r="N72" i="7"/>
  <c r="N19" i="7"/>
  <c r="N73" i="7" s="1"/>
  <c r="N74" i="7" s="1"/>
  <c r="E10" i="8"/>
  <c r="E8" i="8"/>
  <c r="F15" i="8"/>
  <c r="O17" i="7"/>
  <c r="O18" i="7"/>
  <c r="F19" i="8"/>
  <c r="M22" i="7"/>
  <c r="H5" i="8" s="1"/>
  <c r="Q3" i="7"/>
  <c r="P9" i="7"/>
  <c r="P10" i="7" s="1"/>
  <c r="P11" i="7" s="1"/>
  <c r="P17" i="7" s="1"/>
  <c r="P86" i="7"/>
  <c r="Q84" i="7" s="1"/>
  <c r="R4" i="7"/>
  <c r="S4" i="1"/>
  <c r="N3" i="8" s="1"/>
  <c r="R3" i="1"/>
  <c r="O87" i="7"/>
  <c r="F17" i="8" l="1"/>
  <c r="G16" i="8"/>
  <c r="F8" i="8"/>
  <c r="G7" i="8"/>
  <c r="M51" i="3"/>
  <c r="M1" i="8"/>
  <c r="M23" i="8"/>
  <c r="K9" i="6"/>
  <c r="N53" i="3"/>
  <c r="K23" i="6"/>
  <c r="M93" i="7"/>
  <c r="O72" i="7"/>
  <c r="N75" i="7"/>
  <c r="N91" i="7"/>
  <c r="O19" i="7"/>
  <c r="O73" i="7" s="1"/>
  <c r="O74" i="7" s="1"/>
  <c r="P19" i="7"/>
  <c r="P73" i="7" s="1"/>
  <c r="P74" i="7" s="1"/>
  <c r="G6" i="8"/>
  <c r="G15" i="8"/>
  <c r="G19" i="8"/>
  <c r="N22" i="7"/>
  <c r="M26" i="7"/>
  <c r="M27" i="7" s="1"/>
  <c r="H7" i="8" s="1"/>
  <c r="P87" i="7"/>
  <c r="S4" i="7"/>
  <c r="S3" i="1"/>
  <c r="T4" i="1"/>
  <c r="O3" i="8" s="1"/>
  <c r="R3" i="7"/>
  <c r="Q9" i="7"/>
  <c r="Q10" i="7" s="1"/>
  <c r="Q11" i="7" s="1"/>
  <c r="Q17" i="7" s="1"/>
  <c r="Q86" i="7"/>
  <c r="R84" i="7" s="1"/>
  <c r="G9" i="8" l="1"/>
  <c r="G17" i="8"/>
  <c r="H16" i="8"/>
  <c r="E11" i="8"/>
  <c r="N51" i="3"/>
  <c r="N1" i="8"/>
  <c r="H15" i="8"/>
  <c r="I5" i="8"/>
  <c r="N23" i="8"/>
  <c r="O53" i="3"/>
  <c r="L23" i="6"/>
  <c r="L9" i="6"/>
  <c r="N93" i="7"/>
  <c r="O75" i="7"/>
  <c r="P72" i="7"/>
  <c r="P75" i="7" s="1"/>
  <c r="O91" i="7"/>
  <c r="P22" i="7"/>
  <c r="K5" i="8" s="1"/>
  <c r="Q19" i="7"/>
  <c r="Q73" i="7" s="1"/>
  <c r="Q74" i="7" s="1"/>
  <c r="H6" i="8"/>
  <c r="H19" i="8"/>
  <c r="F10" i="8"/>
  <c r="N26" i="7"/>
  <c r="N27" i="7" s="1"/>
  <c r="I7" i="8" s="1"/>
  <c r="M28" i="7"/>
  <c r="G8" i="8"/>
  <c r="M30" i="7"/>
  <c r="H9" i="8" s="1"/>
  <c r="H12" i="8" s="1"/>
  <c r="O22" i="7"/>
  <c r="J5" i="8" s="1"/>
  <c r="T4" i="7"/>
  <c r="U4" i="1"/>
  <c r="P3" i="8" s="1"/>
  <c r="T3" i="1"/>
  <c r="P26" i="7"/>
  <c r="Q72" i="7"/>
  <c r="P91" i="7"/>
  <c r="R9" i="7"/>
  <c r="R10" i="7" s="1"/>
  <c r="R11" i="7" s="1"/>
  <c r="R17" i="7" s="1"/>
  <c r="R86" i="7"/>
  <c r="S84" i="7" s="1"/>
  <c r="Q87" i="7"/>
  <c r="S3" i="7"/>
  <c r="H17" i="8" l="1"/>
  <c r="I16" i="8"/>
  <c r="O51" i="3"/>
  <c r="O1" i="8"/>
  <c r="O23" i="8"/>
  <c r="P53" i="3"/>
  <c r="M23" i="6"/>
  <c r="M9" i="6"/>
  <c r="P93" i="7"/>
  <c r="O93" i="7"/>
  <c r="Q22" i="7"/>
  <c r="L5" i="8" s="1"/>
  <c r="R19" i="7"/>
  <c r="R73" i="7" s="1"/>
  <c r="R74" i="7" s="1"/>
  <c r="Q26" i="7"/>
  <c r="P27" i="7"/>
  <c r="I6" i="8"/>
  <c r="I19" i="8"/>
  <c r="I15" i="8"/>
  <c r="H8" i="8"/>
  <c r="N28" i="7"/>
  <c r="N30" i="7"/>
  <c r="I9" i="8" s="1"/>
  <c r="I12" i="8" s="1"/>
  <c r="M33" i="7"/>
  <c r="M31" i="7"/>
  <c r="G10" i="8"/>
  <c r="O26" i="7"/>
  <c r="O27" i="7" s="1"/>
  <c r="J7" i="8" s="1"/>
  <c r="R72" i="7"/>
  <c r="Q91" i="7"/>
  <c r="Q75" i="7"/>
  <c r="S9" i="7"/>
  <c r="S10" i="7" s="1"/>
  <c r="S11" i="7" s="1"/>
  <c r="S17" i="7" s="1"/>
  <c r="S86" i="7"/>
  <c r="T84" i="7" s="1"/>
  <c r="F11" i="8"/>
  <c r="R87" i="7"/>
  <c r="J6" i="8"/>
  <c r="J19" i="8"/>
  <c r="J15" i="8"/>
  <c r="T3" i="7"/>
  <c r="U4" i="7"/>
  <c r="V4" i="1"/>
  <c r="Q3" i="8" s="1"/>
  <c r="U3" i="1"/>
  <c r="J8" i="8" l="1"/>
  <c r="K7" i="8"/>
  <c r="K8" i="8" s="1"/>
  <c r="I17" i="8"/>
  <c r="J16" i="8"/>
  <c r="J17" i="8" s="1"/>
  <c r="K16" i="8"/>
  <c r="P51" i="3"/>
  <c r="P1" i="8"/>
  <c r="P23" i="8"/>
  <c r="N23" i="6"/>
  <c r="N9" i="6"/>
  <c r="Q53" i="3"/>
  <c r="Q93" i="7"/>
  <c r="Q27" i="7"/>
  <c r="P30" i="7"/>
  <c r="P28" i="7"/>
  <c r="R22" i="7"/>
  <c r="M5" i="8" s="1"/>
  <c r="S19" i="7"/>
  <c r="S73" i="7" s="1"/>
  <c r="S74" i="7" s="1"/>
  <c r="M49" i="7"/>
  <c r="M50" i="7" s="1"/>
  <c r="M44" i="7" s="1"/>
  <c r="H10" i="8"/>
  <c r="N33" i="7"/>
  <c r="N31" i="7"/>
  <c r="O30" i="7"/>
  <c r="J9" i="8" s="1"/>
  <c r="J12" i="8" s="1"/>
  <c r="O28" i="7"/>
  <c r="I8" i="8"/>
  <c r="M34" i="7"/>
  <c r="M43" i="7"/>
  <c r="M51" i="7"/>
  <c r="S72" i="7"/>
  <c r="R91" i="7"/>
  <c r="R26" i="7"/>
  <c r="S87" i="7"/>
  <c r="U3" i="7"/>
  <c r="K6" i="8"/>
  <c r="K19" i="8"/>
  <c r="K15" i="8"/>
  <c r="V4" i="7"/>
  <c r="W4" i="1"/>
  <c r="R3" i="8" s="1"/>
  <c r="V3" i="1"/>
  <c r="T9" i="7"/>
  <c r="T10" i="7" s="1"/>
  <c r="T11" i="7" s="1"/>
  <c r="T17" i="7" s="1"/>
  <c r="T86" i="7"/>
  <c r="U84" i="7" s="1"/>
  <c r="E12" i="8"/>
  <c r="R75" i="7"/>
  <c r="J10" i="8" l="1"/>
  <c r="K9" i="8"/>
  <c r="Q30" i="7"/>
  <c r="L9" i="8" s="1"/>
  <c r="L12" i="8" s="1"/>
  <c r="L7" i="8"/>
  <c r="K17" i="8"/>
  <c r="L16" i="8"/>
  <c r="Q51" i="3"/>
  <c r="Q1" i="8"/>
  <c r="Q23" i="8"/>
  <c r="O9" i="6"/>
  <c r="R53" i="3"/>
  <c r="O23" i="6"/>
  <c r="R93" i="7"/>
  <c r="P31" i="7"/>
  <c r="Q28" i="7"/>
  <c r="P33" i="7"/>
  <c r="P51" i="7" s="1"/>
  <c r="T19" i="7"/>
  <c r="T73" i="7" s="1"/>
  <c r="T74" i="7" s="1"/>
  <c r="S22" i="7"/>
  <c r="N5" i="8" s="1"/>
  <c r="R27" i="7"/>
  <c r="N34" i="7"/>
  <c r="N43" i="7"/>
  <c r="N51" i="7"/>
  <c r="O31" i="7"/>
  <c r="I10" i="8"/>
  <c r="O33" i="7"/>
  <c r="M45" i="7"/>
  <c r="M66" i="7" s="1"/>
  <c r="T87" i="7"/>
  <c r="U9" i="7"/>
  <c r="U10" i="7" s="1"/>
  <c r="U11" i="7" s="1"/>
  <c r="U17" i="7" s="1"/>
  <c r="U86" i="7"/>
  <c r="V84" i="7" s="1"/>
  <c r="L6" i="8"/>
  <c r="L19" i="8"/>
  <c r="L15" i="8"/>
  <c r="W4" i="7"/>
  <c r="X4" i="1"/>
  <c r="S3" i="8" s="1"/>
  <c r="W3" i="1"/>
  <c r="Q33" i="7"/>
  <c r="E13" i="8"/>
  <c r="E20" i="8"/>
  <c r="V3" i="7"/>
  <c r="T72" i="7"/>
  <c r="S91" i="7"/>
  <c r="S75" i="7"/>
  <c r="S26" i="7"/>
  <c r="M52" i="7"/>
  <c r="M53" i="7" s="1"/>
  <c r="N49" i="7" s="1"/>
  <c r="K10" i="8" l="1"/>
  <c r="K12" i="8"/>
  <c r="Q31" i="7"/>
  <c r="L8" i="8"/>
  <c r="M7" i="8"/>
  <c r="L17" i="8"/>
  <c r="M16" i="8"/>
  <c r="F12" i="8"/>
  <c r="F13" i="8" s="1"/>
  <c r="G11" i="8"/>
  <c r="R51" i="3"/>
  <c r="R1" i="8"/>
  <c r="R23" i="8"/>
  <c r="S53" i="3"/>
  <c r="P23" i="6"/>
  <c r="P9" i="6"/>
  <c r="S93" i="7"/>
  <c r="P43" i="7"/>
  <c r="P34" i="7"/>
  <c r="S27" i="7"/>
  <c r="R28" i="7"/>
  <c r="T22" i="7"/>
  <c r="O5" i="8" s="1"/>
  <c r="R30" i="7"/>
  <c r="U19" i="7"/>
  <c r="U73" i="7" s="1"/>
  <c r="U74" i="7" s="1"/>
  <c r="T75" i="7"/>
  <c r="O34" i="7"/>
  <c r="O51" i="7"/>
  <c r="O43" i="7"/>
  <c r="U87" i="7"/>
  <c r="M35" i="7"/>
  <c r="N50" i="7"/>
  <c r="N44" i="7" s="1"/>
  <c r="N45" i="7" s="1"/>
  <c r="E28" i="8"/>
  <c r="E27" i="8"/>
  <c r="E21" i="8"/>
  <c r="E26" i="8"/>
  <c r="Q51" i="7"/>
  <c r="Q43" i="7"/>
  <c r="Q34" i="7"/>
  <c r="T26" i="7"/>
  <c r="M6" i="8"/>
  <c r="M19" i="8"/>
  <c r="M15" i="8"/>
  <c r="V9" i="7"/>
  <c r="V10" i="7" s="1"/>
  <c r="V11" i="7" s="1"/>
  <c r="V17" i="7" s="1"/>
  <c r="V86" i="7"/>
  <c r="W84" i="7" s="1"/>
  <c r="W3" i="7"/>
  <c r="X4" i="7"/>
  <c r="Y4" i="1"/>
  <c r="T3" i="8" s="1"/>
  <c r="X3" i="1"/>
  <c r="U72" i="7"/>
  <c r="T91" i="7"/>
  <c r="F20" i="8" l="1"/>
  <c r="F28" i="8" s="1"/>
  <c r="M8" i="8"/>
  <c r="N7" i="8"/>
  <c r="R33" i="7"/>
  <c r="R34" i="7" s="1"/>
  <c r="M9" i="8"/>
  <c r="M12" i="8" s="1"/>
  <c r="M17" i="8"/>
  <c r="N16" i="8"/>
  <c r="G12" i="8"/>
  <c r="G20" i="8" s="1"/>
  <c r="S51" i="3"/>
  <c r="S1" i="8"/>
  <c r="S23" i="8"/>
  <c r="T53" i="3"/>
  <c r="Q23" i="6"/>
  <c r="Q9" i="6"/>
  <c r="S28" i="7"/>
  <c r="T93" i="7"/>
  <c r="S30" i="7"/>
  <c r="R31" i="7"/>
  <c r="U22" i="7"/>
  <c r="P5" i="8" s="1"/>
  <c r="U26" i="7"/>
  <c r="L10" i="8"/>
  <c r="T27" i="7"/>
  <c r="V19" i="7"/>
  <c r="V73" i="7" s="1"/>
  <c r="V74" i="7" s="1"/>
  <c r="M36" i="7"/>
  <c r="M37" i="7" s="1"/>
  <c r="U75" i="7"/>
  <c r="V87" i="7"/>
  <c r="W9" i="7"/>
  <c r="W10" i="7" s="1"/>
  <c r="W11" i="7" s="1"/>
  <c r="W17" i="7" s="1"/>
  <c r="W86" i="7"/>
  <c r="X84" i="7" s="1"/>
  <c r="N6" i="8"/>
  <c r="N19" i="8"/>
  <c r="N15" i="8"/>
  <c r="N66" i="7"/>
  <c r="X3" i="7"/>
  <c r="Y4" i="7"/>
  <c r="Z4" i="1"/>
  <c r="U3" i="8" s="1"/>
  <c r="Y3" i="1"/>
  <c r="V72" i="7"/>
  <c r="U91" i="7"/>
  <c r="N52" i="7"/>
  <c r="N53" i="7" s="1"/>
  <c r="O49" i="7" s="1"/>
  <c r="F27" i="8" l="1"/>
  <c r="R43" i="7"/>
  <c r="R51" i="7"/>
  <c r="F21" i="8"/>
  <c r="G13" i="8"/>
  <c r="F26" i="8"/>
  <c r="N17" i="8"/>
  <c r="O16" i="8"/>
  <c r="N8" i="8"/>
  <c r="O7" i="8"/>
  <c r="M10" i="8"/>
  <c r="N9" i="8"/>
  <c r="N12" i="8" s="1"/>
  <c r="T51" i="3"/>
  <c r="T1" i="8"/>
  <c r="S33" i="7"/>
  <c r="S34" i="7" s="1"/>
  <c r="T23" i="8"/>
  <c r="R23" i="6"/>
  <c r="R9" i="6"/>
  <c r="U53" i="3"/>
  <c r="U93" i="7"/>
  <c r="S31" i="7"/>
  <c r="U27" i="7"/>
  <c r="T30" i="7"/>
  <c r="T28" i="7"/>
  <c r="V22" i="7"/>
  <c r="Q5" i="8" s="1"/>
  <c r="W19" i="7"/>
  <c r="W73" i="7" s="1"/>
  <c r="W74" i="7" s="1"/>
  <c r="W87" i="7"/>
  <c r="O50" i="7"/>
  <c r="O44" i="7" s="1"/>
  <c r="O45" i="7" s="1"/>
  <c r="W72" i="7"/>
  <c r="V91" i="7"/>
  <c r="V75" i="7"/>
  <c r="G26" i="8"/>
  <c r="G21" i="8"/>
  <c r="G28" i="8"/>
  <c r="G27" i="8"/>
  <c r="Y3" i="7"/>
  <c r="O6" i="8"/>
  <c r="O19" i="8"/>
  <c r="O15" i="8"/>
  <c r="X9" i="7"/>
  <c r="X10" i="7" s="1"/>
  <c r="X11" i="7" s="1"/>
  <c r="X17" i="7" s="1"/>
  <c r="X86" i="7"/>
  <c r="Y84" i="7" s="1"/>
  <c r="V26" i="7"/>
  <c r="Z4" i="7"/>
  <c r="AA4" i="1"/>
  <c r="V3" i="8" s="1"/>
  <c r="Z3" i="1"/>
  <c r="N35" i="7"/>
  <c r="S43" i="7" l="1"/>
  <c r="S51" i="7"/>
  <c r="O17" i="8"/>
  <c r="P16" i="8"/>
  <c r="U28" i="7"/>
  <c r="P7" i="8"/>
  <c r="T31" i="7"/>
  <c r="O9" i="8"/>
  <c r="O12" i="8" s="1"/>
  <c r="U51" i="3"/>
  <c r="U1" i="8"/>
  <c r="U23" i="8"/>
  <c r="S9" i="6"/>
  <c r="V53" i="3"/>
  <c r="S23" i="6"/>
  <c r="U30" i="7"/>
  <c r="O8" i="8"/>
  <c r="V93" i="7"/>
  <c r="T33" i="7"/>
  <c r="T34" i="7" s="1"/>
  <c r="N10" i="8"/>
  <c r="V27" i="7"/>
  <c r="W22" i="7"/>
  <c r="R5" i="8" s="1"/>
  <c r="X19" i="7"/>
  <c r="X73" i="7" s="1"/>
  <c r="X74" i="7" s="1"/>
  <c r="O52" i="7"/>
  <c r="O53" i="7" s="1"/>
  <c r="P49" i="7" s="1"/>
  <c r="P50" i="7" s="1"/>
  <c r="P44" i="7" s="1"/>
  <c r="P45" i="7" s="1"/>
  <c r="X87" i="7"/>
  <c r="X72" i="7"/>
  <c r="W91" i="7"/>
  <c r="AA4" i="7"/>
  <c r="AB4" i="1"/>
  <c r="W3" i="8" s="1"/>
  <c r="AA3" i="1"/>
  <c r="N36" i="7"/>
  <c r="N37" i="7" s="1"/>
  <c r="W75" i="7"/>
  <c r="Y9" i="7"/>
  <c r="Y10" i="7" s="1"/>
  <c r="Y11" i="7" s="1"/>
  <c r="Y17" i="7" s="1"/>
  <c r="Y86" i="7"/>
  <c r="Z84" i="7" s="1"/>
  <c r="Z3" i="7"/>
  <c r="P6" i="8"/>
  <c r="P19" i="8"/>
  <c r="P15" i="8"/>
  <c r="W26" i="7"/>
  <c r="O66" i="7"/>
  <c r="P17" i="8" l="1"/>
  <c r="Q16" i="8"/>
  <c r="P8" i="8"/>
  <c r="Q7" i="8"/>
  <c r="O10" i="8"/>
  <c r="P9" i="8"/>
  <c r="P12" i="8" s="1"/>
  <c r="V51" i="3"/>
  <c r="V1" i="8"/>
  <c r="U31" i="7"/>
  <c r="V23" i="8"/>
  <c r="W53" i="3"/>
  <c r="T23" i="6"/>
  <c r="T9" i="6"/>
  <c r="U33" i="7"/>
  <c r="U34" i="7" s="1"/>
  <c r="W93" i="7"/>
  <c r="T51" i="7"/>
  <c r="T43" i="7"/>
  <c r="V30" i="7"/>
  <c r="V28" i="7"/>
  <c r="W27" i="7"/>
  <c r="X22" i="7"/>
  <c r="S5" i="8" s="1"/>
  <c r="Y19" i="7"/>
  <c r="Y73" i="7" s="1"/>
  <c r="Y74" i="7" s="1"/>
  <c r="AC4" i="1"/>
  <c r="X3" i="8" s="1"/>
  <c r="P52" i="7"/>
  <c r="P53" i="7" s="1"/>
  <c r="Q49" i="7" s="1"/>
  <c r="Q50" i="7" s="1"/>
  <c r="Q44" i="7" s="1"/>
  <c r="Q45" i="7" s="1"/>
  <c r="O35" i="7"/>
  <c r="Y87" i="7"/>
  <c r="Y72" i="7"/>
  <c r="X91" i="7"/>
  <c r="AA3" i="7"/>
  <c r="Z9" i="7"/>
  <c r="Z10" i="7" s="1"/>
  <c r="Z11" i="7" s="1"/>
  <c r="Z17" i="7" s="1"/>
  <c r="Z86" i="7"/>
  <c r="AA84" i="7" s="1"/>
  <c r="X75" i="7"/>
  <c r="Q6" i="8"/>
  <c r="Q19" i="8"/>
  <c r="Q15" i="8"/>
  <c r="H13" i="8"/>
  <c r="H20" i="8"/>
  <c r="AB4" i="7"/>
  <c r="AB3" i="1"/>
  <c r="X26" i="7"/>
  <c r="P66" i="7"/>
  <c r="U51" i="7"/>
  <c r="W28" i="7" l="1"/>
  <c r="R7" i="8"/>
  <c r="Q17" i="8"/>
  <c r="R16" i="8"/>
  <c r="V31" i="7"/>
  <c r="Q9" i="8"/>
  <c r="O36" i="7"/>
  <c r="O37" i="7" s="1"/>
  <c r="W51" i="3"/>
  <c r="W1" i="8"/>
  <c r="AD4" i="1"/>
  <c r="X53" i="3"/>
  <c r="U23" i="6"/>
  <c r="U9" i="6"/>
  <c r="U43" i="7"/>
  <c r="V33" i="7"/>
  <c r="V43" i="7" s="1"/>
  <c r="P10" i="8"/>
  <c r="X93" i="7"/>
  <c r="W30" i="7"/>
  <c r="Q8" i="8"/>
  <c r="AC4" i="7"/>
  <c r="W23" i="8"/>
  <c r="AC3" i="1"/>
  <c r="Y22" i="7"/>
  <c r="T5" i="8" s="1"/>
  <c r="Z19" i="7"/>
  <c r="Z73" i="7" s="1"/>
  <c r="Z74" i="7" s="1"/>
  <c r="Y26" i="7"/>
  <c r="X27" i="7"/>
  <c r="Z87" i="7"/>
  <c r="I20" i="8"/>
  <c r="P35" i="7"/>
  <c r="Y75" i="7"/>
  <c r="R19" i="8"/>
  <c r="R15" i="8"/>
  <c r="H28" i="8"/>
  <c r="H26" i="8"/>
  <c r="H27" i="8"/>
  <c r="H21" i="8"/>
  <c r="AA9" i="7"/>
  <c r="AA10" i="7" s="1"/>
  <c r="AA11" i="7" s="1"/>
  <c r="AA17" i="7" s="1"/>
  <c r="AA86" i="7"/>
  <c r="AB84" i="7" s="1"/>
  <c r="B52" i="3"/>
  <c r="AB3" i="7"/>
  <c r="R6" i="8"/>
  <c r="Q66" i="7"/>
  <c r="Z72" i="7"/>
  <c r="Y91" i="7"/>
  <c r="Q52" i="7"/>
  <c r="Q53" i="7" s="1"/>
  <c r="R49" i="7" s="1"/>
  <c r="Q10" i="8" l="1"/>
  <c r="Q12" i="8"/>
  <c r="V51" i="7"/>
  <c r="X30" i="7"/>
  <c r="S9" i="8" s="1"/>
  <c r="S12" i="8" s="1"/>
  <c r="S7" i="8"/>
  <c r="W31" i="7"/>
  <c r="R9" i="8"/>
  <c r="X23" i="8"/>
  <c r="Y3" i="8"/>
  <c r="Y23" i="8" s="1"/>
  <c r="R17" i="8"/>
  <c r="S16" i="8"/>
  <c r="J13" i="8"/>
  <c r="X51" i="3"/>
  <c r="X1" i="8"/>
  <c r="V34" i="7"/>
  <c r="AD3" i="1"/>
  <c r="AD4" i="7"/>
  <c r="V23" i="6"/>
  <c r="V9" i="6"/>
  <c r="Y53" i="3"/>
  <c r="Y93" i="7"/>
  <c r="W33" i="7"/>
  <c r="W34" i="7" s="1"/>
  <c r="AC3" i="7"/>
  <c r="Y27" i="7"/>
  <c r="R8" i="8"/>
  <c r="X28" i="7"/>
  <c r="Z22" i="7"/>
  <c r="U5" i="8" s="1"/>
  <c r="Z26" i="7"/>
  <c r="AA19" i="7"/>
  <c r="AA87" i="7"/>
  <c r="I13" i="8"/>
  <c r="P36" i="7"/>
  <c r="P37" i="7" s="1"/>
  <c r="Q35" i="7"/>
  <c r="I21" i="8"/>
  <c r="I26" i="8"/>
  <c r="I28" i="8"/>
  <c r="I27" i="8"/>
  <c r="AA72" i="7"/>
  <c r="Z91" i="7"/>
  <c r="S6" i="8"/>
  <c r="S19" i="8"/>
  <c r="S15" i="8"/>
  <c r="AB9" i="7"/>
  <c r="AB10" i="7" s="1"/>
  <c r="AB11" i="7" s="1"/>
  <c r="AB17" i="7" s="1"/>
  <c r="AB86" i="7"/>
  <c r="AC84" i="7" s="1"/>
  <c r="R50" i="7"/>
  <c r="R44" i="7" s="1"/>
  <c r="R45" i="7" s="1"/>
  <c r="Z75" i="7"/>
  <c r="X31" i="7" l="1"/>
  <c r="R10" i="8"/>
  <c r="R12" i="8"/>
  <c r="X33" i="7"/>
  <c r="X34" i="7" s="1"/>
  <c r="J20" i="8"/>
  <c r="J27" i="8" s="1"/>
  <c r="S17" i="8"/>
  <c r="T16" i="8"/>
  <c r="S8" i="8"/>
  <c r="T7" i="8"/>
  <c r="Y51" i="3"/>
  <c r="Y1" i="8"/>
  <c r="K20" i="8"/>
  <c r="W51" i="7"/>
  <c r="AD3" i="7"/>
  <c r="AD86" i="7" s="1"/>
  <c r="Z93" i="7"/>
  <c r="W43" i="7"/>
  <c r="Y28" i="7"/>
  <c r="Y30" i="7"/>
  <c r="AC9" i="7"/>
  <c r="AC10" i="7" s="1"/>
  <c r="AC11" i="7" s="1"/>
  <c r="AC17" i="7" s="1"/>
  <c r="AC86" i="7"/>
  <c r="AD84" i="7" s="1"/>
  <c r="AA22" i="7"/>
  <c r="V5" i="8" s="1"/>
  <c r="AA73" i="7"/>
  <c r="AA74" i="7" s="1"/>
  <c r="AB72" i="7" s="1"/>
  <c r="Z27" i="7"/>
  <c r="AB19" i="7"/>
  <c r="AB73" i="7" s="1"/>
  <c r="AB74" i="7" s="1"/>
  <c r="Q36" i="7"/>
  <c r="Q37" i="7" s="1"/>
  <c r="R52" i="7"/>
  <c r="R53" i="7" s="1"/>
  <c r="S49" i="7" s="1"/>
  <c r="S50" i="7" s="1"/>
  <c r="S44" i="7" s="1"/>
  <c r="S45" i="7" s="1"/>
  <c r="R66" i="7"/>
  <c r="AA26" i="7"/>
  <c r="T6" i="8"/>
  <c r="T15" i="8"/>
  <c r="T19" i="8"/>
  <c r="AB87" i="7"/>
  <c r="X43" i="7" l="1"/>
  <c r="X51" i="7"/>
  <c r="AD9" i="7"/>
  <c r="J28" i="8"/>
  <c r="J26" i="8"/>
  <c r="J21" i="8"/>
  <c r="K13" i="8"/>
  <c r="T17" i="8"/>
  <c r="U16" i="8"/>
  <c r="Y31" i="7"/>
  <c r="T9" i="8"/>
  <c r="T12" i="8" s="1"/>
  <c r="Z28" i="7"/>
  <c r="U7" i="8"/>
  <c r="S10" i="8"/>
  <c r="AA91" i="7"/>
  <c r="Y33" i="7"/>
  <c r="Y34" i="7" s="1"/>
  <c r="AA27" i="7"/>
  <c r="Z30" i="7"/>
  <c r="Z33" i="7" s="1"/>
  <c r="AA75" i="7"/>
  <c r="AD87" i="7"/>
  <c r="AC19" i="7"/>
  <c r="T8" i="8"/>
  <c r="AD10" i="7"/>
  <c r="AD11" i="7" s="1"/>
  <c r="AD17" i="7" s="1"/>
  <c r="AC87" i="7"/>
  <c r="AB22" i="7"/>
  <c r="W5" i="8" s="1"/>
  <c r="AB91" i="7"/>
  <c r="AC72" i="7"/>
  <c r="S52" i="7"/>
  <c r="S53" i="7" s="1"/>
  <c r="T49" i="7" s="1"/>
  <c r="T50" i="7" s="1"/>
  <c r="T44" i="7" s="1"/>
  <c r="T45" i="7" s="1"/>
  <c r="K21" i="8"/>
  <c r="K26" i="8"/>
  <c r="K28" i="8"/>
  <c r="K27" i="8"/>
  <c r="S66" i="7"/>
  <c r="R35" i="7"/>
  <c r="AB26" i="7"/>
  <c r="U6" i="8"/>
  <c r="U19" i="8"/>
  <c r="U15" i="8"/>
  <c r="AB75" i="7"/>
  <c r="T10" i="8" l="1"/>
  <c r="U9" i="8"/>
  <c r="U12" i="8" s="1"/>
  <c r="U8" i="8"/>
  <c r="V7" i="8"/>
  <c r="AB93" i="7"/>
  <c r="AA93" i="7"/>
  <c r="AA30" i="7"/>
  <c r="AA28" i="7"/>
  <c r="Y51" i="7"/>
  <c r="Y43" i="7"/>
  <c r="Z31" i="7"/>
  <c r="AC73" i="7"/>
  <c r="AC74" i="7" s="1"/>
  <c r="AC22" i="7"/>
  <c r="X5" i="8" s="1"/>
  <c r="AD19" i="7"/>
  <c r="AB27" i="7"/>
  <c r="S35" i="7"/>
  <c r="V6" i="8"/>
  <c r="V15" i="8"/>
  <c r="V19" i="8"/>
  <c r="T66" i="7"/>
  <c r="Z34" i="7"/>
  <c r="Z51" i="7"/>
  <c r="Z43" i="7"/>
  <c r="R36" i="7"/>
  <c r="R37" i="7" s="1"/>
  <c r="T52" i="7"/>
  <c r="T53" i="7" s="1"/>
  <c r="U49" i="7" s="1"/>
  <c r="AB30" i="7" l="1"/>
  <c r="W9" i="8" s="1"/>
  <c r="W12" i="8" s="1"/>
  <c r="W7" i="8"/>
  <c r="AA33" i="7"/>
  <c r="AA51" i="7" s="1"/>
  <c r="V9" i="8"/>
  <c r="U17" i="8"/>
  <c r="V16" i="8"/>
  <c r="V17" i="8" s="1"/>
  <c r="W16" i="8"/>
  <c r="S36" i="7"/>
  <c r="S37" i="7" s="1"/>
  <c r="AA31" i="7"/>
  <c r="U10" i="8"/>
  <c r="AC75" i="7"/>
  <c r="AB28" i="7"/>
  <c r="AD73" i="7"/>
  <c r="AD74" i="7" s="1"/>
  <c r="AD91" i="7" s="1"/>
  <c r="AD22" i="7"/>
  <c r="Y5" i="8" s="1"/>
  <c r="AC27" i="7"/>
  <c r="X7" i="8" s="1"/>
  <c r="AD72" i="7"/>
  <c r="AC91" i="7"/>
  <c r="V8" i="8"/>
  <c r="T35" i="7"/>
  <c r="M13" i="8"/>
  <c r="U50" i="7"/>
  <c r="U44" i="7" s="1"/>
  <c r="U45" i="7" s="1"/>
  <c r="L20" i="8"/>
  <c r="L13" i="8"/>
  <c r="V10" i="8" l="1"/>
  <c r="V12" i="8"/>
  <c r="AB33" i="7"/>
  <c r="AB34" i="7" s="1"/>
  <c r="AA43" i="7"/>
  <c r="AB31" i="7"/>
  <c r="AA34" i="7"/>
  <c r="Y6" i="8"/>
  <c r="Y15" i="8"/>
  <c r="Y19" i="8"/>
  <c r="T36" i="7"/>
  <c r="T37" i="7" s="1"/>
  <c r="AD75" i="7"/>
  <c r="AC93" i="7"/>
  <c r="AD93" i="7"/>
  <c r="Y16" i="8" s="1"/>
  <c r="Y17" i="8" s="1"/>
  <c r="W8" i="8"/>
  <c r="AC28" i="7"/>
  <c r="AC30" i="7"/>
  <c r="X9" i="8" s="1"/>
  <c r="X12" i="8" s="1"/>
  <c r="W6" i="8"/>
  <c r="W15" i="8"/>
  <c r="W19" i="8"/>
  <c r="AD27" i="7"/>
  <c r="Y7" i="8" s="1"/>
  <c r="Y8" i="8" s="1"/>
  <c r="N13" i="8"/>
  <c r="M20" i="8"/>
  <c r="M26" i="8" s="1"/>
  <c r="U52" i="7"/>
  <c r="U53" i="7" s="1"/>
  <c r="V49" i="7" s="1"/>
  <c r="V50" i="7" s="1"/>
  <c r="V44" i="7" s="1"/>
  <c r="V45" i="7" s="1"/>
  <c r="L28" i="8"/>
  <c r="L26" i="8"/>
  <c r="L27" i="8"/>
  <c r="L21" i="8"/>
  <c r="AB43" i="7"/>
  <c r="U66" i="7"/>
  <c r="AB51" i="7" l="1"/>
  <c r="W17" i="8"/>
  <c r="X16" i="8"/>
  <c r="X17" i="8" s="1"/>
  <c r="X8" i="8"/>
  <c r="AD28" i="7"/>
  <c r="AD30" i="7"/>
  <c r="Y9" i="8" s="1"/>
  <c r="W10" i="8"/>
  <c r="AC31" i="7"/>
  <c r="AC33" i="7"/>
  <c r="X6" i="8"/>
  <c r="X15" i="8"/>
  <c r="X19" i="8"/>
  <c r="N20" i="8"/>
  <c r="N27" i="8" s="1"/>
  <c r="M21" i="8"/>
  <c r="M27" i="8"/>
  <c r="M28" i="8"/>
  <c r="U35" i="7"/>
  <c r="V52" i="7"/>
  <c r="V53" i="7" s="1"/>
  <c r="W49" i="7" s="1"/>
  <c r="W50" i="7" s="1"/>
  <c r="V66" i="7"/>
  <c r="Y10" i="8" l="1"/>
  <c r="Y12" i="8"/>
  <c r="O13" i="8"/>
  <c r="AD33" i="7"/>
  <c r="X10" i="8"/>
  <c r="AD31" i="7"/>
  <c r="AC51" i="7"/>
  <c r="AC43" i="7"/>
  <c r="AC34" i="7"/>
  <c r="N28" i="8"/>
  <c r="N21" i="8"/>
  <c r="N26" i="8"/>
  <c r="U36" i="7"/>
  <c r="U37" i="7" s="1"/>
  <c r="V35" i="7"/>
  <c r="W44" i="7"/>
  <c r="W45" i="7" s="1"/>
  <c r="W66" i="7" s="1"/>
  <c r="W35" i="7" s="1"/>
  <c r="W52" i="7"/>
  <c r="W53" i="7" s="1"/>
  <c r="X49" i="7" s="1"/>
  <c r="X50" i="7" s="1"/>
  <c r="X44" i="7" s="1"/>
  <c r="X45" i="7" s="1"/>
  <c r="X66" i="7" s="1"/>
  <c r="X35" i="7" s="1"/>
  <c r="O20" i="8" l="1"/>
  <c r="O27" i="8" s="1"/>
  <c r="P20" i="8"/>
  <c r="AD34" i="7"/>
  <c r="AD43" i="7"/>
  <c r="AD51" i="7"/>
  <c r="V36" i="7"/>
  <c r="V37" i="7" s="1"/>
  <c r="W36" i="7"/>
  <c r="W37" i="7" s="1"/>
  <c r="X36" i="7"/>
  <c r="X37" i="7" s="1"/>
  <c r="X52" i="7"/>
  <c r="X53" i="7" s="1"/>
  <c r="Y49" i="7" s="1"/>
  <c r="O26" i="8" l="1"/>
  <c r="O21" i="8"/>
  <c r="O28" i="8"/>
  <c r="P13" i="8"/>
  <c r="Q13" i="8"/>
  <c r="Q20" i="8"/>
  <c r="Q28" i="8" s="1"/>
  <c r="P21" i="8"/>
  <c r="P27" i="8"/>
  <c r="P26" i="8"/>
  <c r="P28" i="8"/>
  <c r="Y50" i="7"/>
  <c r="Y44" i="7" s="1"/>
  <c r="Y45" i="7" s="1"/>
  <c r="Y66" i="7" s="1"/>
  <c r="Y35" i="7" s="1"/>
  <c r="R20" i="8"/>
  <c r="R13" i="8"/>
  <c r="Q26" i="8" l="1"/>
  <c r="Q27" i="8"/>
  <c r="Q21" i="8"/>
  <c r="Y36" i="7"/>
  <c r="Y37" i="7" s="1"/>
  <c r="Y52" i="7"/>
  <c r="Y53" i="7" s="1"/>
  <c r="Z49" i="7" s="1"/>
  <c r="R21" i="8"/>
  <c r="R26" i="8"/>
  <c r="R28" i="8"/>
  <c r="R27" i="8"/>
  <c r="Z50" i="7" l="1"/>
  <c r="Z44" i="7" s="1"/>
  <c r="Z45" i="7" s="1"/>
  <c r="Z66" i="7" s="1"/>
  <c r="Z35" i="7" s="1"/>
  <c r="S20" i="8"/>
  <c r="S13" i="8"/>
  <c r="S27" i="8" l="1"/>
  <c r="S21" i="8"/>
  <c r="S26" i="8"/>
  <c r="S28" i="8"/>
  <c r="Z36" i="7"/>
  <c r="Z37" i="7" s="1"/>
  <c r="Z52" i="7"/>
  <c r="Z53" i="7" s="1"/>
  <c r="AA49" i="7" s="1"/>
  <c r="AA50" i="7" l="1"/>
  <c r="AA44" i="7" s="1"/>
  <c r="AA45" i="7" s="1"/>
  <c r="AA66" i="7" s="1"/>
  <c r="AA35" i="7" s="1"/>
  <c r="T13" i="8"/>
  <c r="T20" i="8"/>
  <c r="AA52" i="7" l="1"/>
  <c r="AA53" i="7" s="1"/>
  <c r="AB49" i="7" s="1"/>
  <c r="AB50" i="7" s="1"/>
  <c r="AB44" i="7" s="1"/>
  <c r="AB45" i="7" s="1"/>
  <c r="AB66" i="7" s="1"/>
  <c r="AB35" i="7" s="1"/>
  <c r="T26" i="8"/>
  <c r="T27" i="8"/>
  <c r="T21" i="8"/>
  <c r="T28" i="8"/>
  <c r="AA36" i="7"/>
  <c r="AA37" i="7" s="1"/>
  <c r="AB52" i="7" l="1"/>
  <c r="AB53" i="7" s="1"/>
  <c r="AC49" i="7" s="1"/>
  <c r="U13" i="8"/>
  <c r="U20" i="8"/>
  <c r="AB36" i="7"/>
  <c r="AB37" i="7" s="1"/>
  <c r="AC50" i="7" l="1"/>
  <c r="AC44" i="7" s="1"/>
  <c r="AC45" i="7" s="1"/>
  <c r="AC66" i="7" s="1"/>
  <c r="AC35" i="7" s="1"/>
  <c r="U27" i="8"/>
  <c r="U28" i="8"/>
  <c r="U21" i="8"/>
  <c r="U26" i="8"/>
  <c r="V13" i="8"/>
  <c r="V20" i="8"/>
  <c r="AC36" i="7" l="1"/>
  <c r="AC37" i="7" s="1"/>
  <c r="AC52" i="7"/>
  <c r="AC53" i="7" s="1"/>
  <c r="AD49" i="7" s="1"/>
  <c r="V21" i="8"/>
  <c r="V27" i="8"/>
  <c r="V28" i="8"/>
  <c r="V26" i="8"/>
  <c r="W20" i="8" l="1"/>
  <c r="W13" i="8"/>
  <c r="AD50" i="7"/>
  <c r="AD44" i="7" s="1"/>
  <c r="AD45" i="7" s="1"/>
  <c r="AD66" i="7" s="1"/>
  <c r="AD35" i="7" s="1"/>
  <c r="Y13" i="8" l="1"/>
  <c r="Y20" i="8"/>
  <c r="AD36" i="7"/>
  <c r="AD37" i="7" s="1"/>
  <c r="W27" i="8"/>
  <c r="W28" i="8"/>
  <c r="W26" i="8"/>
  <c r="W21" i="8"/>
  <c r="AD52" i="7"/>
  <c r="AD53" i="7" s="1"/>
  <c r="Y28" i="8" l="1"/>
  <c r="Y27" i="8"/>
  <c r="Y26" i="8"/>
  <c r="X13" i="8"/>
  <c r="X20" i="8"/>
  <c r="Y21" i="8" s="1"/>
  <c r="X28" i="8" l="1"/>
  <c r="C51" i="8" s="1"/>
  <c r="X26" i="8"/>
  <c r="C49" i="8" s="1"/>
  <c r="X21" i="8"/>
  <c r="X27" i="8"/>
  <c r="C50" i="8" s="1"/>
  <c r="A54" i="8" l="1"/>
  <c r="A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Vipin Dagar</author>
  </authors>
  <commentList>
    <comment ref="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Vipin Dagur:</t>
        </r>
        <r>
          <rPr>
            <sz val="9"/>
            <color indexed="81"/>
            <rFont val="Tahoma"/>
            <family val="2"/>
          </rPr>
          <t xml:space="preserve">
Long Term Beta - Calculated on Mthly period calculated over 4 Yr, updated daily</t>
        </r>
      </text>
    </comment>
  </commentList>
</comments>
</file>

<file path=xl/sharedStrings.xml><?xml version="1.0" encoding="utf-8"?>
<sst xmlns="http://schemas.openxmlformats.org/spreadsheetml/2006/main" count="413" uniqueCount="279">
  <si>
    <t>No. of Days</t>
  </si>
  <si>
    <t>Year End</t>
  </si>
  <si>
    <t>Computers</t>
  </si>
  <si>
    <t>Previous Data</t>
  </si>
  <si>
    <t>Description of Asset</t>
  </si>
  <si>
    <t>Land-Freehold</t>
  </si>
  <si>
    <t>Buildings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</si>
  <si>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</si>
  <si>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</si>
  <si>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</si>
  <si>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</si>
  <si>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</si>
  <si>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</si>
  <si>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</si>
  <si>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</si>
  <si>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</si>
  <si>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</si>
  <si>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</si>
  <si>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</si>
  <si>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</si>
  <si>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</si>
  <si>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</si>
  <si>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</si>
  <si>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</si>
  <si>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</si>
  <si>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</si>
  <si>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</si>
  <si>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</si>
  <si>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</si>
  <si>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</si>
  <si>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</si>
  <si>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</si>
  <si>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</si>
  <si>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</si>
  <si>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</si>
  <si>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</si>
  <si>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</si>
  <si>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</si>
  <si>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</si>
  <si>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</si>
  <si>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</si>
  <si>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</si>
  <si>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</si>
  <si>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</si>
  <si>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</si>
  <si>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</si>
  <si>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</si>
  <si>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</si>
  <si>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</si>
  <si>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</si>
  <si>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</si>
  <si>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</si>
  <si>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</si>
  <si>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</si>
  <si>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</si>
  <si>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</si>
  <si>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</si>
  <si>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</si>
  <si>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</si>
  <si>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</si>
  <si>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</si>
  <si>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</si>
  <si>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</si>
  <si>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</si>
  <si>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</si>
  <si>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</si>
  <si>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</si>
  <si>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</si>
  <si>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</si>
  <si>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</si>
  <si>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</si>
  <si>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</si>
  <si>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</si>
  <si>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</si>
  <si>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</si>
  <si>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</si>
  <si>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</si>
  <si>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</si>
  <si>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</si>
  <si>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</si>
  <si>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</si>
  <si>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</si>
  <si>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</si>
  <si>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</si>
  <si>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</si>
  <si>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</si>
  <si>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</si>
  <si>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</si>
  <si>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</si>
  <si>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</si>
  <si>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</si>
  <si>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</si>
  <si>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Revenue from OperationsFY19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</si>
  <si>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</si>
  <si>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</si>
  <si>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</si>
  <si>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</si>
  <si>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</si>
  <si>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</si>
  <si>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</si>
  <si>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</si>
  <si>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</si>
  <si>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</si>
  <si>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</si>
  <si>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</si>
  <si>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</si>
  <si>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Portion of Outstanding Loan on 31-3-19 paid till 31-3-26</t>
  </si>
  <si>
    <t>Debt Related Asumptions</t>
  </si>
  <si>
    <t>Total Interest payment</t>
  </si>
  <si>
    <t>₹/ Kwh</t>
  </si>
  <si>
    <t>Auxiliary Consumption</t>
  </si>
  <si>
    <t>Cumulative Growth Rate</t>
  </si>
  <si>
    <t>Tariff Escalation Rate for PPA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</si>
  <si>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</si>
  <si>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</si>
  <si>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</si>
  <si>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</si>
  <si>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</si>
  <si>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</si>
  <si>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</si>
  <si>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</si>
  <si>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</si>
  <si>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</si>
  <si>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</si>
  <si>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</si>
  <si>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</si>
  <si>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</si>
  <si>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</si>
  <si>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</si>
  <si>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</si>
  <si>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Important Dates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</si>
  <si>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</si>
  <si>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</si>
  <si>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</si>
  <si>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</si>
  <si>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</si>
  <si>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</si>
  <si>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</si>
  <si>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D_S_O</t>
  </si>
  <si>
    <t>D_P_O</t>
  </si>
  <si>
    <t>Days</t>
  </si>
  <si>
    <t>Other Income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</si>
  <si>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</si>
  <si>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</si>
  <si>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</si>
  <si>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</si>
  <si>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</si>
  <si>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</si>
  <si>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</si>
  <si>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</si>
  <si>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Profit on Sale of Land</t>
  </si>
  <si>
    <t>Total Income</t>
  </si>
  <si>
    <t>Expenses:</t>
  </si>
  <si>
    <t>Operation and Maintenance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</si>
  <si>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</si>
  <si>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</si>
  <si>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</si>
  <si>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</si>
  <si>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</si>
  <si>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</si>
  <si>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</si>
  <si>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</si>
  <si>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</si>
  <si>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Carry Forward Losses</t>
  </si>
  <si>
    <t>Carry Forward Losses (CFL)</t>
  </si>
  <si>
    <t>Taxable Income Pre CFL</t>
  </si>
  <si>
    <t>CFL Used</t>
  </si>
  <si>
    <t>Taxable Income Post CFL</t>
  </si>
  <si>
    <t>Carry Forward Loss Balance</t>
  </si>
  <si>
    <t>Opening CFL Balance</t>
  </si>
  <si>
    <t>Less: Losses Used</t>
  </si>
  <si>
    <t>Plus: Losses Added</t>
  </si>
  <si>
    <t>Less: Losses Expired</t>
  </si>
  <si>
    <t>Closing CFL Balance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</si>
  <si>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</si>
  <si>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</si>
  <si>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</si>
  <si>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</si>
  <si>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</si>
  <si>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</si>
  <si>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</si>
  <si>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</si>
  <si>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>Normal Tax</t>
  </si>
  <si>
    <t xml:space="preserve">Operating Summary </t>
  </si>
  <si>
    <t>Proj</t>
  </si>
  <si>
    <t>Total Revenue</t>
  </si>
  <si>
    <t>% Growth</t>
  </si>
  <si>
    <t>EBITDA</t>
  </si>
  <si>
    <t>% Sales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</si>
  <si>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</si>
  <si>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</si>
  <si>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</si>
  <si>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</si>
  <si>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</si>
  <si>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</si>
  <si>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</si>
  <si>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</si>
  <si>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PV of Cash Flows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</si>
  <si>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</si>
  <si>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</si>
  <si>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</si>
  <si>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</si>
  <si>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</si>
  <si>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</si>
  <si>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</si>
  <si>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</si>
  <si>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</si>
  <si>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</si>
  <si>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</si>
  <si>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</si>
  <si>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</si>
  <si>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</si>
  <si>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</si>
  <si>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</si>
  <si>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</si>
  <si>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</si>
  <si>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</si>
  <si>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</si>
  <si>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</si>
  <si>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</si>
  <si>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</si>
  <si>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Estimated Tariff for future Years</t>
  </si>
  <si>
    <t>O&amp;M Cost as per MERC Order</t>
  </si>
  <si>
    <t>O&amp;M Cost per MW</t>
  </si>
  <si>
    <t>Average O&amp;M Cost between FY 2018 To FY 2019</t>
  </si>
  <si>
    <t>Interest</t>
  </si>
  <si>
    <t>O/S Amount</t>
  </si>
  <si>
    <t>Long-term Debt</t>
  </si>
  <si>
    <t>Interest Due</t>
  </si>
  <si>
    <t>From Sale of Power</t>
  </si>
  <si>
    <t>From GBI</t>
  </si>
  <si>
    <t>Revenue from Operation:</t>
  </si>
  <si>
    <t>Other Income:</t>
  </si>
  <si>
    <t>Incentive Receivables</t>
  </si>
  <si>
    <t>Total O&amp;M Cost</t>
  </si>
  <si>
    <t>Escalation Rate for Employee Benefit &amp; Other Expenses</t>
  </si>
  <si>
    <t>Capital Creditors</t>
  </si>
  <si>
    <t>On Term Loan from Financial Institutions</t>
  </si>
  <si>
    <t>2012-13</t>
  </si>
  <si>
    <t>2013-14</t>
  </si>
  <si>
    <t>2014-15</t>
  </si>
  <si>
    <t>2015-16</t>
  </si>
  <si>
    <t>2016-17</t>
  </si>
  <si>
    <t>2017-18</t>
  </si>
  <si>
    <t>2018-19</t>
  </si>
  <si>
    <t>Plant and Machinery</t>
  </si>
  <si>
    <t>For Term Loan from Fis</t>
  </si>
  <si>
    <t>Generation Based Incentive based on Net Generation upto 31.03.2025</t>
  </si>
  <si>
    <t>On ICDs</t>
  </si>
  <si>
    <t xml:space="preserve">Average Other expenses from FY </t>
  </si>
  <si>
    <t>Loans &amp; Advances Receivable</t>
  </si>
  <si>
    <t>Unbiled Revenue</t>
  </si>
  <si>
    <t>Cash &amp; Cash Equivalents</t>
  </si>
  <si>
    <t>On page no 13 of PPA</t>
  </si>
  <si>
    <t>page no 17 of PPA</t>
  </si>
  <si>
    <t>On page no. 25 of PPA</t>
  </si>
  <si>
    <t>on page no 6 of MERC order</t>
  </si>
  <si>
    <t>on page no 6 of PPA</t>
  </si>
  <si>
    <t>2019-20</t>
  </si>
  <si>
    <t>2020-21</t>
  </si>
  <si>
    <t>2021-22</t>
  </si>
  <si>
    <t>2022-23</t>
  </si>
  <si>
    <t>For Holding Co.s (ICD)</t>
  </si>
  <si>
    <t>https://in.investing.com/rates-bonds/india-10-year-bond-yield-historical-data</t>
  </si>
  <si>
    <t>Risk Free Rate (Rf)</t>
  </si>
  <si>
    <t>https://kunaldesai.blog/nifty-returns/</t>
  </si>
  <si>
    <t>Expected Market Return (Rm) Nifty Fifty 5-year return 2022</t>
  </si>
  <si>
    <t>Beta (B)</t>
  </si>
  <si>
    <t>Cost of Equity (Ke)</t>
  </si>
  <si>
    <t>1 - Taxes</t>
  </si>
  <si>
    <t>Expected Market Return (Rm) Nifty Fifty 20-year return 2022</t>
  </si>
  <si>
    <t xml:space="preserve"> (₹ in Crores)</t>
  </si>
  <si>
    <t>Total Expense</t>
  </si>
  <si>
    <t>Depreciation and amortization expense</t>
  </si>
  <si>
    <t>Finance costs</t>
  </si>
  <si>
    <t>Tax expense</t>
  </si>
  <si>
    <t>Wind Power tariff Rate upto 31-03-2028 as per PPA</t>
  </si>
  <si>
    <t>Wind Power tariff Rate after 31-03-2028</t>
  </si>
  <si>
    <t>Company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</si>
</sst>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_(* #,##0.00_);_(* \(#,##0.00\);_(* &quot;-&quot;_);_(@_)"/>
    <numFmt numFmtId="167" formatCode="0.000000%"/>
    <numFmt numFmtId="168" formatCode="0.0%"/>
    <numFmt numFmtId="169" formatCode="0.0"/>
    <numFmt numFmtId="170" formatCode="0.00000"/>
    <numFmt numFmtId="171" formatCode="0.0000"/>
    <numFmt numFmtId="172" formatCode="_(* #,##0.000000000_);_(* \(#,##0.000000000\);_(* &quot;-&quot;??_);_(@_)"/>
    <numFmt numFmtId="173" formatCode="&quot;Less than &quot;0"/>
    <numFmt numFmtId="174" formatCode="&quot;Less than 1 and more than &quot;0"/>
    <numFmt numFmtId="175" formatCode="&quot;More than &quot;0"/>
    <numFmt numFmtId="176" formatCode="_(* #,##0.0_);_(* \(#,##0.0\);_(* &quot;-&quot;??_);_(@_)"/>
    <numFmt numFmtId="177" formatCode="mmm\ yyyy"/>
    <numFmt numFmtId="178" formatCode="[$-409]mmm\-yy;@"/>
    <numFmt numFmtId="179" formatCode="[$-409]d\-mmm\-yy;@"/>
    <numFmt numFmtId="180" formatCode="&quot;₹&quot;\ 0.00&quot; Crores&quot;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5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6" fillId="0" borderId="0" xfId="0" applyFont="1"/>
    <xf numFmtId="0" fontId="7" fillId="3" borderId="0" xfId="0" applyFont="1" applyFill="1"/>
    <xf numFmtId="0" fontId="8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165" fontId="9" fillId="0" borderId="0" xfId="2" applyFont="1"/>
    <xf numFmtId="0" fontId="6" fillId="0" borderId="1" xfId="0" applyFont="1" applyBorder="1" applyAlignment="1">
      <alignment horizontal="right"/>
    </xf>
    <xf numFmtId="10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10" fontId="6" fillId="0" borderId="5" xfId="1" applyNumberFormat="1" applyFont="1" applyBorder="1"/>
    <xf numFmtId="10" fontId="6" fillId="0" borderId="0" xfId="0" applyNumberFormat="1" applyFont="1"/>
    <xf numFmtId="167" fontId="6" fillId="0" borderId="0" xfId="0" applyNumberFormat="1" applyFont="1"/>
    <xf numFmtId="4" fontId="8" fillId="0" borderId="0" xfId="0" applyNumberFormat="1" applyFont="1"/>
    <xf numFmtId="4" fontId="6" fillId="0" borderId="0" xfId="0" applyNumberFormat="1" applyFont="1"/>
    <xf numFmtId="4" fontId="8" fillId="4" borderId="6" xfId="2" applyNumberFormat="1" applyFont="1" applyFill="1" applyBorder="1"/>
    <xf numFmtId="0" fontId="10" fillId="0" borderId="0" xfId="0" applyFont="1"/>
    <xf numFmtId="15" fontId="7" fillId="2" borderId="1" xfId="0" applyNumberFormat="1" applyFont="1" applyFill="1" applyBorder="1"/>
    <xf numFmtId="2" fontId="8" fillId="0" borderId="0" xfId="0" applyNumberFormat="1" applyFont="1"/>
    <xf numFmtId="2" fontId="6" fillId="0" borderId="5" xfId="0" applyNumberFormat="1" applyFont="1" applyBorder="1"/>
    <xf numFmtId="2" fontId="8" fillId="4" borderId="6" xfId="2" applyNumberFormat="1" applyFont="1" applyFill="1" applyBorder="1"/>
    <xf numFmtId="0" fontId="7" fillId="2" borderId="0" xfId="0" applyFont="1" applyFill="1"/>
    <xf numFmtId="0" fontId="8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6" fillId="5" borderId="1" xfId="0" applyFont="1" applyFill="1" applyBorder="1"/>
    <xf numFmtId="4" fontId="6" fillId="5" borderId="1" xfId="0" applyNumberFormat="1" applyFont="1" applyFill="1" applyBorder="1"/>
    <xf numFmtId="165" fontId="9" fillId="5" borderId="0" xfId="2" applyFont="1" applyFill="1"/>
    <xf numFmtId="10" fontId="6" fillId="5" borderId="0" xfId="1" applyNumberFormat="1" applyFont="1" applyFill="1"/>
    <xf numFmtId="2" fontId="6" fillId="5" borderId="0" xfId="0" applyNumberFormat="1" applyFont="1" applyFill="1"/>
    <xf numFmtId="2" fontId="8" fillId="5" borderId="0" xfId="0" applyNumberFormat="1" applyFont="1" applyFill="1"/>
    <xf numFmtId="2" fontId="6" fillId="5" borderId="5" xfId="0" applyNumberFormat="1" applyFont="1" applyFill="1" applyBorder="1"/>
    <xf numFmtId="2" fontId="8" fillId="5" borderId="6" xfId="2" applyNumberFormat="1" applyFont="1" applyFill="1" applyBorder="1"/>
    <xf numFmtId="10" fontId="6" fillId="5" borderId="5" xfId="1" applyNumberFormat="1" applyFont="1" applyFill="1" applyBorder="1"/>
    <xf numFmtId="4" fontId="8" fillId="5" borderId="0" xfId="0" applyNumberFormat="1" applyFont="1" applyFill="1"/>
    <xf numFmtId="4" fontId="6" fillId="5" borderId="0" xfId="0" applyNumberFormat="1" applyFont="1" applyFill="1"/>
    <xf numFmtId="4" fontId="8" fillId="5" borderId="6" xfId="2" applyNumberFormat="1" applyFont="1" applyFill="1" applyBorder="1"/>
    <xf numFmtId="166" fontId="6" fillId="5" borderId="1" xfId="0" applyNumberFormat="1" applyFont="1" applyFill="1" applyBorder="1"/>
    <xf numFmtId="15" fontId="11" fillId="5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168" fontId="8" fillId="4" borderId="1" xfId="0" applyNumberFormat="1" applyFont="1" applyFill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3" fillId="0" borderId="1" xfId="0" applyFont="1" applyBorder="1"/>
    <xf numFmtId="49" fontId="11" fillId="4" borderId="1" xfId="3" applyNumberFormat="1" applyFont="1" applyFill="1" applyBorder="1"/>
    <xf numFmtId="169" fontId="11" fillId="4" borderId="1" xfId="3" applyNumberFormat="1" applyFont="1" applyFill="1" applyBorder="1"/>
    <xf numFmtId="49" fontId="9" fillId="0" borderId="1" xfId="3" applyNumberFormat="1" applyFont="1" applyBorder="1"/>
    <xf numFmtId="170" fontId="9" fillId="0" borderId="1" xfId="3" applyNumberFormat="1" applyFont="1" applyBorder="1"/>
    <xf numFmtId="169" fontId="9" fillId="0" borderId="1" xfId="3" applyNumberFormat="1" applyFont="1" applyBorder="1"/>
    <xf numFmtId="10" fontId="6" fillId="0" borderId="1" xfId="4" applyNumberFormat="1" applyFont="1" applyBorder="1"/>
    <xf numFmtId="0" fontId="6" fillId="4" borderId="1" xfId="0" applyFont="1" applyFill="1" applyBorder="1"/>
    <xf numFmtId="10" fontId="6" fillId="4" borderId="1" xfId="4" applyNumberFormat="1" applyFont="1" applyFill="1" applyBorder="1" applyAlignment="1"/>
    <xf numFmtId="170" fontId="9" fillId="4" borderId="1" xfId="3" applyNumberFormat="1" applyFont="1" applyFill="1" applyBorder="1"/>
    <xf numFmtId="169" fontId="9" fillId="4" borderId="1" xfId="3" applyNumberFormat="1" applyFont="1" applyFill="1" applyBorder="1"/>
    <xf numFmtId="10" fontId="8" fillId="4" borderId="1" xfId="4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171" fontId="6" fillId="4" borderId="1" xfId="0" applyNumberFormat="1" applyFont="1" applyFill="1" applyBorder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vertical="center"/>
    </xf>
    <xf numFmtId="165" fontId="13" fillId="0" borderId="1" xfId="6" applyFont="1" applyBorder="1" applyAlignment="1">
      <alignment vertical="center"/>
    </xf>
    <xf numFmtId="10" fontId="13" fillId="0" borderId="1" xfId="6" applyNumberFormat="1" applyFont="1" applyBorder="1" applyAlignment="1">
      <alignment vertical="center"/>
    </xf>
    <xf numFmtId="17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6" fillId="4" borderId="1" xfId="0" applyFont="1" applyFill="1" applyBorder="1"/>
    <xf numFmtId="10" fontId="16" fillId="4" borderId="1" xfId="0" applyNumberFormat="1" applyFont="1" applyFill="1" applyBorder="1"/>
    <xf numFmtId="165" fontId="16" fillId="4" borderId="1" xfId="0" applyNumberFormat="1" applyFont="1" applyFill="1" applyBorder="1"/>
    <xf numFmtId="165" fontId="13" fillId="0" borderId="0" xfId="0" applyNumberFormat="1" applyFont="1"/>
    <xf numFmtId="10" fontId="13" fillId="0" borderId="0" xfId="0" applyNumberFormat="1" applyFont="1"/>
    <xf numFmtId="0" fontId="17" fillId="4" borderId="0" xfId="0" applyFont="1" applyFill="1"/>
    <xf numFmtId="0" fontId="18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1" fontId="18" fillId="0" borderId="0" xfId="0" applyNumberFormat="1" applyFont="1"/>
    <xf numFmtId="0" fontId="20" fillId="2" borderId="0" xfId="0" applyFont="1" applyFill="1"/>
    <xf numFmtId="10" fontId="20" fillId="2" borderId="0" xfId="0" applyNumberFormat="1" applyFont="1" applyFill="1"/>
    <xf numFmtId="2" fontId="13" fillId="0" borderId="1" xfId="6" applyNumberFormat="1" applyFont="1" applyBorder="1" applyAlignment="1">
      <alignment vertical="center"/>
    </xf>
    <xf numFmtId="2" fontId="16" fillId="4" borderId="1" xfId="0" applyNumberFormat="1" applyFont="1" applyFill="1" applyBorder="1"/>
    <xf numFmtId="0" fontId="15" fillId="0" borderId="0" xfId="0" applyFont="1"/>
    <xf numFmtId="9" fontId="13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7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/>
    <xf numFmtId="0" fontId="0" fillId="0" borderId="4" xfId="0" applyBorder="1" applyAlignment="1">
      <alignment horizontal="center"/>
    </xf>
    <xf numFmtId="10" fontId="0" fillId="0" borderId="4" xfId="0" applyNumberFormat="1" applyBorder="1"/>
    <xf numFmtId="10" fontId="8" fillId="4" borderId="1" xfId="0" applyNumberFormat="1" applyFont="1" applyFill="1" applyBorder="1"/>
    <xf numFmtId="0" fontId="13" fillId="0" borderId="1" xfId="0" applyFont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6" borderId="0" xfId="0" applyFill="1"/>
    <xf numFmtId="43" fontId="13" fillId="0" borderId="0" xfId="0" applyNumberFormat="1" applyFont="1"/>
    <xf numFmtId="9" fontId="0" fillId="0" borderId="0" xfId="1" applyFo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6" fontId="9" fillId="0" borderId="1" xfId="0" applyNumberFormat="1" applyFont="1" applyBorder="1" applyAlignment="1">
      <alignment vertical="center"/>
    </xf>
    <xf numFmtId="9" fontId="6" fillId="0" borderId="1" xfId="0" applyNumberFormat="1" applyFont="1" applyBorder="1"/>
    <xf numFmtId="173" fontId="6" fillId="0" borderId="1" xfId="0" applyNumberFormat="1" applyFont="1" applyBorder="1"/>
    <xf numFmtId="9" fontId="6" fillId="0" borderId="0" xfId="0" applyNumberFormat="1" applyFont="1"/>
    <xf numFmtId="10" fontId="6" fillId="0" borderId="1" xfId="1" applyNumberFormat="1" applyFont="1" applyBorder="1"/>
    <xf numFmtId="174" fontId="6" fillId="0" borderId="1" xfId="0" applyNumberFormat="1" applyFont="1" applyBorder="1"/>
    <xf numFmtId="175" fontId="6" fillId="0" borderId="1" xfId="0" applyNumberFormat="1" applyFont="1" applyBorder="1"/>
    <xf numFmtId="176" fontId="6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21" fillId="0" borderId="1" xfId="0" applyFont="1" applyBorder="1" applyAlignment="1">
      <alignment horizontal="right"/>
    </xf>
    <xf numFmtId="10" fontId="21" fillId="0" borderId="1" xfId="0" applyNumberFormat="1" applyFont="1" applyBorder="1"/>
    <xf numFmtId="43" fontId="3" fillId="4" borderId="1" xfId="0" applyNumberFormat="1" applyFont="1" applyFill="1" applyBorder="1"/>
    <xf numFmtId="4" fontId="8" fillId="0" borderId="1" xfId="0" applyNumberFormat="1" applyFont="1" applyBorder="1"/>
    <xf numFmtId="9" fontId="10" fillId="0" borderId="1" xfId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left"/>
    </xf>
    <xf numFmtId="15" fontId="8" fillId="4" borderId="1" xfId="0" applyNumberFormat="1" applyFont="1" applyFill="1" applyBorder="1" applyAlignment="1">
      <alignment horizontal="center" vertical="center" wrapText="1"/>
    </xf>
    <xf numFmtId="15" fontId="8" fillId="4" borderId="8" xfId="0" applyNumberFormat="1" applyFont="1" applyFill="1" applyBorder="1" applyAlignment="1">
      <alignment vertical="center"/>
    </xf>
    <xf numFmtId="15" fontId="8" fillId="4" borderId="6" xfId="0" applyNumberFormat="1" applyFont="1" applyFill="1" applyBorder="1" applyAlignment="1">
      <alignment vertical="center" wrapText="1"/>
    </xf>
    <xf numFmtId="15" fontId="8" fillId="4" borderId="7" xfId="0" applyNumberFormat="1" applyFont="1" applyFill="1" applyBorder="1" applyAlignment="1">
      <alignment vertical="center" wrapText="1"/>
    </xf>
    <xf numFmtId="10" fontId="6" fillId="0" borderId="1" xfId="0" applyNumberFormat="1" applyFont="1" applyBorder="1"/>
    <xf numFmtId="179" fontId="8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5" fontId="6" fillId="0" borderId="0" xfId="0" applyNumberFormat="1" applyFont="1"/>
    <xf numFmtId="9" fontId="11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65" fontId="8" fillId="0" borderId="1" xfId="2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165" fontId="8" fillId="4" borderId="1" xfId="2" applyFont="1" applyFill="1" applyBorder="1"/>
    <xf numFmtId="9" fontId="8" fillId="4" borderId="1" xfId="1" applyFont="1" applyFill="1" applyBorder="1"/>
    <xf numFmtId="10" fontId="8" fillId="4" borderId="1" xfId="1" applyNumberFormat="1" applyFont="1" applyFill="1" applyBorder="1"/>
    <xf numFmtId="178" fontId="7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165" fontId="6" fillId="0" borderId="1" xfId="2" applyFont="1" applyBorder="1"/>
    <xf numFmtId="180" fontId="8" fillId="0" borderId="1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9" fillId="0" borderId="1" xfId="0" applyFont="1" applyBorder="1"/>
    <xf numFmtId="176" fontId="6" fillId="0" borderId="1" xfId="0" applyNumberFormat="1" applyFont="1" applyBorder="1"/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/>
    <xf numFmtId="4" fontId="8" fillId="4" borderId="1" xfId="0" applyNumberFormat="1" applyFont="1" applyFill="1" applyBorder="1"/>
    <xf numFmtId="9" fontId="10" fillId="0" borderId="0" xfId="1" applyFont="1" applyFill="1" applyBorder="1" applyAlignment="1">
      <alignment horizontal="right"/>
    </xf>
    <xf numFmtId="178" fontId="7" fillId="2" borderId="1" xfId="0" applyNumberFormat="1" applyFont="1" applyFill="1" applyBorder="1" applyAlignment="1">
      <alignment horizontal="center"/>
    </xf>
    <xf numFmtId="0" fontId="19" fillId="4" borderId="0" xfId="0" applyFont="1" applyFill="1"/>
    <xf numFmtId="0" fontId="1" fillId="2" borderId="0" xfId="0" applyFont="1" applyFill="1" applyAlignment="1">
      <alignment horizontal="center"/>
    </xf>
    <xf numFmtId="2" fontId="13" fillId="0" borderId="1" xfId="0" applyNumberFormat="1" applyFont="1" applyBorder="1"/>
    <xf numFmtId="0" fontId="0" fillId="0" borderId="1" xfId="0" applyBorder="1" applyAlignment="1">
      <alignment horizontal="left"/>
    </xf>
    <xf numFmtId="2" fontId="0" fillId="0" borderId="9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0" fontId="6" fillId="4" borderId="1" xfId="0" applyFont="1" applyFill="1" applyBorder="1" applyAlignment="1">
      <alignment horizontal="center"/>
    </xf>
    <xf numFmtId="2" fontId="8" fillId="0" borderId="1" xfId="0" applyNumberFormat="1" applyFont="1" applyBorder="1"/>
    <xf numFmtId="4" fontId="0" fillId="0" borderId="0" xfId="0" applyNumberFormat="1"/>
    <xf numFmtId="4" fontId="0" fillId="0" borderId="1" xfId="0" applyNumberFormat="1" applyBorder="1"/>
    <xf numFmtId="0" fontId="6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2" fontId="3" fillId="4" borderId="4" xfId="0" applyNumberFormat="1" applyFont="1" applyFill="1" applyBorder="1"/>
    <xf numFmtId="2" fontId="3" fillId="0" borderId="0" xfId="0" applyNumberFormat="1" applyFont="1"/>
    <xf numFmtId="43" fontId="3" fillId="0" borderId="1" xfId="5" applyFont="1" applyFill="1" applyBorder="1"/>
    <xf numFmtId="14" fontId="3" fillId="4" borderId="1" xfId="0" applyNumberFormat="1" applyFont="1" applyFill="1" applyBorder="1" applyAlignment="1">
      <alignment horizontal="center"/>
    </xf>
    <xf numFmtId="10" fontId="3" fillId="4" borderId="4" xfId="0" applyNumberFormat="1" applyFont="1" applyFill="1" applyBorder="1"/>
    <xf numFmtId="4" fontId="0" fillId="0" borderId="6" xfId="0" applyNumberFormat="1" applyBorder="1"/>
    <xf numFmtId="2" fontId="3" fillId="8" borderId="1" xfId="0" applyNumberFormat="1" applyFont="1" applyFill="1" applyBorder="1"/>
    <xf numFmtId="169" fontId="9" fillId="0" borderId="3" xfId="3" applyNumberFormat="1" applyFont="1" applyBorder="1"/>
    <xf numFmtId="2" fontId="0" fillId="0" borderId="3" xfId="0" applyNumberFormat="1" applyBorder="1"/>
    <xf numFmtId="4" fontId="0" fillId="0" borderId="3" xfId="0" applyNumberFormat="1" applyBorder="1"/>
    <xf numFmtId="2" fontId="0" fillId="0" borderId="10" xfId="0" applyNumberFormat="1" applyBorder="1"/>
    <xf numFmtId="0" fontId="23" fillId="0" borderId="0" xfId="7"/>
    <xf numFmtId="0" fontId="24" fillId="0" borderId="1" xfId="0" applyFont="1" applyBorder="1"/>
    <xf numFmtId="10" fontId="25" fillId="0" borderId="1" xfId="0" applyNumberFormat="1" applyFont="1" applyBorder="1"/>
    <xf numFmtId="0" fontId="23" fillId="0" borderId="0" xfId="7" applyAlignment="1">
      <alignment vertical="center"/>
    </xf>
    <xf numFmtId="0" fontId="24" fillId="0" borderId="1" xfId="0" applyFont="1" applyBorder="1" applyAlignment="1">
      <alignment vertical="center" wrapText="1"/>
    </xf>
    <xf numFmtId="168" fontId="25" fillId="0" borderId="1" xfId="0" applyNumberFormat="1" applyFont="1" applyBorder="1" applyAlignment="1">
      <alignment vertical="center"/>
    </xf>
    <xf numFmtId="2" fontId="25" fillId="0" borderId="1" xfId="0" applyNumberFormat="1" applyFont="1" applyBorder="1"/>
    <xf numFmtId="2" fontId="3" fillId="4" borderId="7" xfId="0" applyNumberFormat="1" applyFont="1" applyFill="1" applyBorder="1"/>
    <xf numFmtId="0" fontId="26" fillId="0" borderId="0" xfId="0" applyFont="1" applyAlignment="1">
      <alignment horizontal="justify" vertical="center"/>
    </xf>
    <xf numFmtId="0" fontId="27" fillId="2" borderId="11" xfId="0" applyFont="1" applyFill="1" applyBorder="1" applyAlignment="1">
      <alignment horizontal="center" vertical="center" wrapText="1"/>
    </xf>
    <xf numFmtId="17" fontId="27" fillId="2" borderId="12" xfId="0" applyNumberFormat="1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vertical="center"/>
    </xf>
    <xf numFmtId="0" fontId="28" fillId="0" borderId="14" xfId="0" applyFont="1" applyBorder="1" applyAlignment="1">
      <alignment horizontal="right" vertical="center"/>
    </xf>
    <xf numFmtId="0" fontId="29" fillId="0" borderId="13" xfId="0" applyFont="1" applyBorder="1" applyAlignment="1">
      <alignment vertical="center"/>
    </xf>
    <xf numFmtId="0" fontId="29" fillId="9" borderId="14" xfId="0" applyFont="1" applyFill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10" fontId="30" fillId="0" borderId="14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9" fontId="21" fillId="0" borderId="1" xfId="1" applyFont="1" applyFill="1" applyBorder="1" applyAlignment="1">
      <alignment horizontal="right"/>
    </xf>
    <xf numFmtId="10" fontId="21" fillId="0" borderId="1" xfId="1" applyNumberFormat="1" applyFont="1" applyFill="1" applyBorder="1" applyAlignment="1">
      <alignment horizontal="right"/>
    </xf>
    <xf numFmtId="4" fontId="31" fillId="0" borderId="1" xfId="0" applyNumberFormat="1" applyFont="1" applyBorder="1"/>
    <xf numFmtId="4" fontId="3" fillId="0" borderId="1" xfId="0" applyNumberFormat="1" applyFont="1" applyBorder="1"/>
    <xf numFmtId="4" fontId="3" fillId="4" borderId="1" xfId="0" applyNumberFormat="1" applyFont="1" applyFill="1" applyBorder="1"/>
    <xf numFmtId="0" fontId="8" fillId="4" borderId="0" xfId="0" applyFont="1" applyFill="1"/>
    <xf numFmtId="165" fontId="8" fillId="4" borderId="0" xfId="2" applyFont="1" applyFill="1" applyBorder="1"/>
    <xf numFmtId="9" fontId="8" fillId="4" borderId="0" xfId="1" applyFont="1" applyFill="1" applyBorder="1"/>
    <xf numFmtId="10" fontId="8" fillId="4" borderId="0" xfId="1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</cellXfs>
  <cellStyles count="8">
    <cellStyle name="Comma" xfId="5" builtinId="3"/>
    <cellStyle name="Comma 2" xfId="2" xr:uid="{00000000-0005-0000-0000-000001000000}"/>
    <cellStyle name="Comma 3 76" xfId="6" xr:uid="{00000000-0005-0000-0000-000002000000}"/>
    <cellStyle name="Hyperlink" xfId="7" builtinId="8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externalLink" Target="externalLinks/externalLink9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sharedStrings" Target="sharedString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theme" Target="theme/theme1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kunaldesai.blog/nifty-returns/" TargetMode="External"/><Relationship Id="rId2" Type="http://schemas.openxmlformats.org/officeDocument/2006/relationships/hyperlink" Target="https://kunaldesai.blog/nifty-returns/" TargetMode="External"/><Relationship Id="rId1" Type="http://schemas.openxmlformats.org/officeDocument/2006/relationships/hyperlink" Target="https://in.investing.com/rates-bonds/india-10-year-bond-yield-historical-data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2"/>
  <sheetViews>
    <sheetView workbookViewId="0">
      <pane ySplit="4" topLeftCell="A20" activePane="bottomLeft" state="frozen"/>
      <selection pane="bottomLeft" activeCell="C37" sqref="C37"/>
    </sheetView>
  </sheetViews>
  <sheetFormatPr defaultColWidth="13.28515625" defaultRowHeight="15" x14ac:dyDescent="0.25"/>
  <cols>
    <col min="1" max="1" width="66.28515625" bestFit="1" customWidth="1"/>
    <col min="2" max="2" width="23.85546875" bestFit="1" customWidth="1"/>
    <col min="3" max="4" width="13.7109375" bestFit="1" customWidth="1"/>
    <col min="5" max="5" width="7.7109375" bestFit="1" customWidth="1"/>
    <col min="6" max="30" width="13.42578125" bestFit="1" customWidth="1"/>
  </cols>
  <sheetData>
    <row r="1" spans="1:39" x14ac:dyDescent="0.25">
      <c r="A1" s="55" t="s">
        <v>51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  <c r="AC1" s="3">
        <f t="shared" ref="AC1:AC2" si="1">AB1+1</f>
        <v>24</v>
      </c>
      <c r="AD1" s="3">
        <f t="shared" ref="AD1:AD2" si="2">AC1+1</f>
        <v>25</v>
      </c>
    </row>
    <row r="2" spans="1:39" x14ac:dyDescent="0.25">
      <c r="A2" s="55" t="s">
        <v>52</v>
      </c>
      <c r="B2" s="2"/>
      <c r="C2" s="2"/>
      <c r="D2" s="2"/>
      <c r="E2" s="2"/>
      <c r="F2" s="2"/>
      <c r="G2" s="2"/>
      <c r="H2" s="3"/>
      <c r="I2" s="3"/>
      <c r="J2" s="3">
        <f>I2+1</f>
        <v>1</v>
      </c>
      <c r="K2" s="3">
        <f t="shared" si="0"/>
        <v>2</v>
      </c>
      <c r="L2" s="3">
        <f t="shared" si="0"/>
        <v>3</v>
      </c>
      <c r="M2" s="3">
        <f t="shared" si="0"/>
        <v>4</v>
      </c>
      <c r="N2" s="3">
        <f t="shared" si="0"/>
        <v>5</v>
      </c>
      <c r="O2" s="3">
        <f t="shared" si="0"/>
        <v>6</v>
      </c>
      <c r="P2" s="3">
        <f t="shared" si="0"/>
        <v>7</v>
      </c>
      <c r="Q2" s="3">
        <f t="shared" si="0"/>
        <v>8</v>
      </c>
      <c r="R2" s="3">
        <f t="shared" si="0"/>
        <v>9</v>
      </c>
      <c r="S2" s="3">
        <f t="shared" si="0"/>
        <v>10</v>
      </c>
      <c r="T2" s="3">
        <f t="shared" si="0"/>
        <v>11</v>
      </c>
      <c r="U2" s="3">
        <f t="shared" si="0"/>
        <v>12</v>
      </c>
      <c r="V2" s="3">
        <f t="shared" si="0"/>
        <v>13</v>
      </c>
      <c r="W2" s="3">
        <f t="shared" si="0"/>
        <v>14</v>
      </c>
      <c r="X2" s="3">
        <f t="shared" si="0"/>
        <v>15</v>
      </c>
      <c r="Y2" s="3">
        <f t="shared" si="0"/>
        <v>16</v>
      </c>
      <c r="Z2" s="3">
        <f t="shared" si="0"/>
        <v>17</v>
      </c>
      <c r="AA2" s="3">
        <f t="shared" si="0"/>
        <v>18</v>
      </c>
      <c r="AB2" s="3">
        <f t="shared" si="0"/>
        <v>19</v>
      </c>
      <c r="AC2" s="3">
        <f t="shared" si="1"/>
        <v>20</v>
      </c>
      <c r="AD2" s="3">
        <f t="shared" si="2"/>
        <v>21</v>
      </c>
    </row>
    <row r="3" spans="1:39" x14ac:dyDescent="0.25">
      <c r="A3" s="55" t="s">
        <v>0</v>
      </c>
      <c r="B3" s="2"/>
      <c r="C3" s="2"/>
      <c r="D3" s="2"/>
      <c r="E3" s="2"/>
      <c r="F3" s="3">
        <f>F4-C7+1</f>
        <v>366</v>
      </c>
      <c r="G3" s="3">
        <f t="shared" ref="G3:J3" si="3">G4-F4</f>
        <v>365</v>
      </c>
      <c r="H3" s="3">
        <f t="shared" si="3"/>
        <v>365</v>
      </c>
      <c r="I3" s="3">
        <f t="shared" si="3"/>
        <v>365</v>
      </c>
      <c r="J3" s="3">
        <f t="shared" si="3"/>
        <v>366</v>
      </c>
      <c r="K3" s="3">
        <f>K4-J4</f>
        <v>365</v>
      </c>
      <c r="L3" s="3">
        <f t="shared" ref="L3:W3" si="4">L4-K4</f>
        <v>365</v>
      </c>
      <c r="M3" s="3">
        <f t="shared" si="4"/>
        <v>365</v>
      </c>
      <c r="N3" s="3">
        <f t="shared" si="4"/>
        <v>366</v>
      </c>
      <c r="O3" s="3">
        <f t="shared" si="4"/>
        <v>365</v>
      </c>
      <c r="P3" s="3">
        <f t="shared" si="4"/>
        <v>365</v>
      </c>
      <c r="Q3" s="3">
        <f t="shared" si="4"/>
        <v>365</v>
      </c>
      <c r="R3" s="3">
        <f t="shared" si="4"/>
        <v>366</v>
      </c>
      <c r="S3" s="3">
        <f t="shared" si="4"/>
        <v>365</v>
      </c>
      <c r="T3" s="3">
        <f t="shared" si="4"/>
        <v>365</v>
      </c>
      <c r="U3" s="3">
        <f t="shared" si="4"/>
        <v>365</v>
      </c>
      <c r="V3" s="3">
        <f t="shared" si="4"/>
        <v>366</v>
      </c>
      <c r="W3" s="3">
        <f t="shared" si="4"/>
        <v>365</v>
      </c>
      <c r="X3" s="3">
        <f t="shared" ref="X3" si="5">X4-W4</f>
        <v>365</v>
      </c>
      <c r="Y3" s="3">
        <f t="shared" ref="Y3" si="6">Y4-X4</f>
        <v>365</v>
      </c>
      <c r="Z3" s="3">
        <f t="shared" ref="Z3" si="7">Z4-Y4</f>
        <v>366</v>
      </c>
      <c r="AA3" s="3">
        <f t="shared" ref="AA3" si="8">AA4-Z4</f>
        <v>365</v>
      </c>
      <c r="AB3" s="3">
        <f t="shared" ref="AB3" si="9">AB4-AA4</f>
        <v>365</v>
      </c>
      <c r="AC3" s="3">
        <f t="shared" ref="AC3" si="10">AC4-AB4</f>
        <v>365</v>
      </c>
      <c r="AD3" s="3">
        <f t="shared" ref="AD3" si="11">AD4-AC4</f>
        <v>366</v>
      </c>
    </row>
    <row r="4" spans="1:39" x14ac:dyDescent="0.25">
      <c r="A4" s="55" t="s">
        <v>1</v>
      </c>
      <c r="B4" s="2"/>
      <c r="C4" s="2"/>
      <c r="D4" s="2"/>
      <c r="E4" s="2"/>
      <c r="F4" s="4">
        <f>EDATE(C7,12)-1</f>
        <v>42460</v>
      </c>
      <c r="G4" s="4">
        <f t="shared" ref="G4" si="12">EDATE(F4,12)</f>
        <v>42825</v>
      </c>
      <c r="H4" s="4">
        <f>EDATE(G4,12)</f>
        <v>43190</v>
      </c>
      <c r="I4" s="4">
        <f t="shared" ref="I4:AB4" si="13">EDATE(H4,12)</f>
        <v>43555</v>
      </c>
      <c r="J4" s="4">
        <f t="shared" si="13"/>
        <v>43921</v>
      </c>
      <c r="K4" s="4">
        <f t="shared" si="13"/>
        <v>44286</v>
      </c>
      <c r="L4" s="4">
        <f t="shared" si="13"/>
        <v>44651</v>
      </c>
      <c r="M4" s="4">
        <f t="shared" si="13"/>
        <v>45016</v>
      </c>
      <c r="N4" s="4">
        <f t="shared" si="13"/>
        <v>45382</v>
      </c>
      <c r="O4" s="4">
        <f t="shared" si="13"/>
        <v>45747</v>
      </c>
      <c r="P4" s="4">
        <f t="shared" si="13"/>
        <v>46112</v>
      </c>
      <c r="Q4" s="4">
        <f t="shared" si="13"/>
        <v>46477</v>
      </c>
      <c r="R4" s="4">
        <f t="shared" si="13"/>
        <v>46843</v>
      </c>
      <c r="S4" s="4">
        <f t="shared" si="13"/>
        <v>47208</v>
      </c>
      <c r="T4" s="4">
        <f t="shared" si="13"/>
        <v>47573</v>
      </c>
      <c r="U4" s="4">
        <f t="shared" si="13"/>
        <v>47938</v>
      </c>
      <c r="V4" s="4">
        <f t="shared" si="13"/>
        <v>48304</v>
      </c>
      <c r="W4" s="4">
        <f t="shared" si="13"/>
        <v>48669</v>
      </c>
      <c r="X4" s="4">
        <f t="shared" si="13"/>
        <v>49034</v>
      </c>
      <c r="Y4" s="4">
        <f t="shared" si="13"/>
        <v>49399</v>
      </c>
      <c r="Z4" s="4">
        <f t="shared" si="13"/>
        <v>49765</v>
      </c>
      <c r="AA4" s="4">
        <f t="shared" si="13"/>
        <v>50130</v>
      </c>
      <c r="AB4" s="4">
        <f t="shared" si="13"/>
        <v>50495</v>
      </c>
      <c r="AC4" s="4">
        <f t="shared" ref="AC4" si="14">EDATE(AB4,12)</f>
        <v>50860</v>
      </c>
      <c r="AD4" s="4">
        <f t="shared" ref="AD4" si="15">EDATE(AC4,12)</f>
        <v>51226</v>
      </c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24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14" t="s">
        <v>130</v>
      </c>
    </row>
    <row r="7" spans="1:39" x14ac:dyDescent="0.25">
      <c r="A7" s="2" t="s">
        <v>113</v>
      </c>
      <c r="B7" s="2"/>
      <c r="C7" s="102">
        <v>42095</v>
      </c>
      <c r="D7" t="s">
        <v>257</v>
      </c>
    </row>
    <row r="8" spans="1:39" x14ac:dyDescent="0.25">
      <c r="A8" s="2" t="s">
        <v>114</v>
      </c>
      <c r="B8" s="3" t="s">
        <v>115</v>
      </c>
      <c r="C8" s="2">
        <v>25</v>
      </c>
      <c r="D8" t="s">
        <v>256</v>
      </c>
    </row>
    <row r="9" spans="1:39" x14ac:dyDescent="0.25">
      <c r="A9" s="2" t="s">
        <v>116</v>
      </c>
      <c r="B9" s="2"/>
      <c r="C9" s="102">
        <f>EDATE(C7,(12*C8))-1</f>
        <v>51226</v>
      </c>
    </row>
    <row r="10" spans="1:39" x14ac:dyDescent="0.25">
      <c r="A10" s="2" t="s">
        <v>122</v>
      </c>
      <c r="B10" s="2"/>
      <c r="C10" s="102">
        <f>DATE(IF(MONTH(C9)&gt;3,YEAR(C9+1),YEAR(C9)),3,31)</f>
        <v>51226</v>
      </c>
    </row>
    <row r="11" spans="1:39" x14ac:dyDescent="0.25">
      <c r="A11" s="2" t="s">
        <v>117</v>
      </c>
      <c r="B11" s="2"/>
      <c r="C11" s="102">
        <f>C7</f>
        <v>42095</v>
      </c>
    </row>
    <row r="12" spans="1:39" x14ac:dyDescent="0.25">
      <c r="A12" s="2" t="s">
        <v>118</v>
      </c>
      <c r="B12" s="3" t="s">
        <v>115</v>
      </c>
      <c r="C12" s="2">
        <v>13</v>
      </c>
      <c r="D12" t="s">
        <v>253</v>
      </c>
    </row>
    <row r="13" spans="1:39" x14ac:dyDescent="0.25">
      <c r="A13" s="2" t="s">
        <v>119</v>
      </c>
      <c r="B13" s="3"/>
      <c r="C13" s="102">
        <f>EDATE(C11,(12*C12))-1</f>
        <v>46843</v>
      </c>
    </row>
    <row r="14" spans="1:39" x14ac:dyDescent="0.25">
      <c r="A14" s="2" t="s">
        <v>120</v>
      </c>
      <c r="B14" s="3"/>
      <c r="C14" s="102">
        <f>EDATE(C13,0)+1</f>
        <v>46844</v>
      </c>
    </row>
    <row r="15" spans="1:39" x14ac:dyDescent="0.25">
      <c r="A15" s="2" t="s">
        <v>121</v>
      </c>
      <c r="B15" s="3"/>
      <c r="C15" s="102">
        <f>C10</f>
        <v>51226</v>
      </c>
    </row>
    <row r="16" spans="1:39" x14ac:dyDescent="0.25">
      <c r="B16" s="105"/>
      <c r="C16" s="126"/>
    </row>
    <row r="17" spans="1:30" x14ac:dyDescent="0.25">
      <c r="B17" s="105"/>
      <c r="C17" s="126"/>
    </row>
    <row r="18" spans="1:30" x14ac:dyDescent="0.25">
      <c r="A18" s="2" t="s">
        <v>131</v>
      </c>
      <c r="B18" s="3" t="s">
        <v>132</v>
      </c>
      <c r="C18" s="2">
        <v>6</v>
      </c>
    </row>
    <row r="19" spans="1:30" x14ac:dyDescent="0.25">
      <c r="A19" s="2" t="s">
        <v>148</v>
      </c>
      <c r="B19" s="3" t="s">
        <v>56</v>
      </c>
      <c r="C19" s="106">
        <v>0.22</v>
      </c>
      <c r="D19" t="s">
        <v>254</v>
      </c>
    </row>
    <row r="20" spans="1:30" x14ac:dyDescent="0.25">
      <c r="A20" s="2" t="s">
        <v>149</v>
      </c>
      <c r="B20" s="3"/>
      <c r="C20" s="106">
        <v>0.15</v>
      </c>
    </row>
    <row r="21" spans="1:30" x14ac:dyDescent="0.25">
      <c r="A21" s="2" t="s">
        <v>110</v>
      </c>
      <c r="B21" s="3" t="s">
        <v>56</v>
      </c>
      <c r="C21" s="101">
        <v>5.0000000000000001E-4</v>
      </c>
    </row>
    <row r="23" spans="1:30" x14ac:dyDescent="0.25">
      <c r="A23" s="103" t="s">
        <v>112</v>
      </c>
    </row>
    <row r="24" spans="1:30" x14ac:dyDescent="0.25">
      <c r="A24" s="2" t="s">
        <v>276</v>
      </c>
      <c r="B24" s="104" t="s">
        <v>109</v>
      </c>
      <c r="C24" s="97">
        <v>5.7</v>
      </c>
      <c r="D24" s="2" t="s">
        <v>255</v>
      </c>
      <c r="E24" s="2"/>
      <c r="F24" s="2"/>
      <c r="G24" s="2"/>
      <c r="H24" s="2"/>
      <c r="I24" s="2"/>
      <c r="J24" s="2">
        <v>2.52</v>
      </c>
      <c r="K24" s="97">
        <v>2.59</v>
      </c>
      <c r="L24" s="97">
        <f>K24*(1+$C$25)</f>
        <v>2.2709308780190036</v>
      </c>
      <c r="M24" s="97">
        <f t="shared" ref="M24:AD24" si="16">L24*(1+$C$25)</f>
        <v>1.9911687462317231</v>
      </c>
      <c r="N24" s="97">
        <f t="shared" si="16"/>
        <v>1.7458712699474925</v>
      </c>
      <c r="O24" s="97">
        <f t="shared" si="16"/>
        <v>1.5307926548146766</v>
      </c>
      <c r="P24" s="97">
        <f t="shared" si="16"/>
        <v>1.3422101573989711</v>
      </c>
      <c r="Q24" s="97">
        <f t="shared" si="16"/>
        <v>1.1768596491228072</v>
      </c>
      <c r="R24" s="97">
        <f t="shared" si="16"/>
        <v>1.031879118257758</v>
      </c>
      <c r="S24" s="97">
        <f t="shared" si="16"/>
        <v>0.90475913205967795</v>
      </c>
      <c r="T24" s="97">
        <f t="shared" si="16"/>
        <v>0.7932994016077205</v>
      </c>
      <c r="U24" s="97">
        <f t="shared" si="16"/>
        <v>0.69557069753859879</v>
      </c>
      <c r="V24" s="97">
        <f t="shared" si="16"/>
        <v>0.60988145748479572</v>
      </c>
      <c r="W24" s="97">
        <f t="shared" si="16"/>
        <v>0.53474850723299494</v>
      </c>
      <c r="X24" s="97">
        <f t="shared" si="16"/>
        <v>0.46887138882238483</v>
      </c>
      <c r="Y24" s="97">
        <f t="shared" si="16"/>
        <v>0.4111098512341344</v>
      </c>
      <c r="Z24" s="97">
        <f t="shared" si="16"/>
        <v>0.36046411406385903</v>
      </c>
      <c r="AA24" s="97">
        <f t="shared" si="16"/>
        <v>0.31605756256578443</v>
      </c>
      <c r="AB24" s="97">
        <f t="shared" si="16"/>
        <v>0.27712157454133707</v>
      </c>
      <c r="AC24" s="97">
        <f t="shared" si="16"/>
        <v>0.24298221644446616</v>
      </c>
      <c r="AD24" s="97">
        <f t="shared" si="16"/>
        <v>0.2130485784298205</v>
      </c>
    </row>
    <row r="25" spans="1:30" x14ac:dyDescent="0.25">
      <c r="A25" s="2" t="s">
        <v>111</v>
      </c>
      <c r="B25" s="107" t="s">
        <v>56</v>
      </c>
      <c r="C25" s="108">
        <f>(K24/C24)^(1/COUNT(C4:K4))-1</f>
        <v>-0.12319271118957387</v>
      </c>
    </row>
    <row r="26" spans="1:30" x14ac:dyDescent="0.25">
      <c r="A26" s="2" t="s">
        <v>277</v>
      </c>
      <c r="B26" s="104" t="s">
        <v>109</v>
      </c>
      <c r="C26" s="2">
        <v>2.75</v>
      </c>
    </row>
    <row r="28" spans="1:30" x14ac:dyDescent="0.25">
      <c r="A28" s="2" t="s">
        <v>221</v>
      </c>
      <c r="B28" s="104" t="s">
        <v>109</v>
      </c>
      <c r="C28" s="2"/>
      <c r="D28" s="2"/>
      <c r="E28" s="2"/>
      <c r="F28" s="2"/>
      <c r="G28" s="2"/>
      <c r="H28" s="2"/>
      <c r="I28" s="2"/>
      <c r="J28" s="129">
        <f>$C$24</f>
        <v>5.7</v>
      </c>
      <c r="K28" s="129">
        <f>$C$24</f>
        <v>5.7</v>
      </c>
      <c r="L28" s="129">
        <f t="shared" ref="L28:R28" si="17">$C$24</f>
        <v>5.7</v>
      </c>
      <c r="M28" s="129">
        <f t="shared" si="17"/>
        <v>5.7</v>
      </c>
      <c r="N28" s="129">
        <f t="shared" si="17"/>
        <v>5.7</v>
      </c>
      <c r="O28" s="129">
        <f t="shared" si="17"/>
        <v>5.7</v>
      </c>
      <c r="P28" s="129">
        <f t="shared" si="17"/>
        <v>5.7</v>
      </c>
      <c r="Q28" s="129">
        <f t="shared" si="17"/>
        <v>5.7</v>
      </c>
      <c r="R28" s="129">
        <f t="shared" si="17"/>
        <v>5.7</v>
      </c>
      <c r="S28" s="129">
        <f t="shared" ref="S28:U28" si="18">$C$26</f>
        <v>2.75</v>
      </c>
      <c r="T28" s="129">
        <f t="shared" si="18"/>
        <v>2.75</v>
      </c>
      <c r="U28" s="129">
        <f t="shared" si="18"/>
        <v>2.75</v>
      </c>
      <c r="V28" s="129">
        <f>$C$26</f>
        <v>2.75</v>
      </c>
      <c r="W28" s="129">
        <f t="shared" ref="W28:AD28" si="19">$C$26</f>
        <v>2.75</v>
      </c>
      <c r="X28" s="129">
        <f t="shared" si="19"/>
        <v>2.75</v>
      </c>
      <c r="Y28" s="129">
        <f t="shared" si="19"/>
        <v>2.75</v>
      </c>
      <c r="Z28" s="129">
        <f t="shared" si="19"/>
        <v>2.75</v>
      </c>
      <c r="AA28" s="129">
        <f t="shared" si="19"/>
        <v>2.75</v>
      </c>
      <c r="AB28" s="129">
        <f t="shared" si="19"/>
        <v>2.75</v>
      </c>
      <c r="AC28" s="129">
        <f t="shared" si="19"/>
        <v>2.75</v>
      </c>
      <c r="AD28" s="129">
        <f t="shared" si="19"/>
        <v>2.75</v>
      </c>
    </row>
    <row r="29" spans="1:30" x14ac:dyDescent="0.25">
      <c r="B29" s="203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</row>
    <row r="30" spans="1:30" x14ac:dyDescent="0.25">
      <c r="A30" s="128" t="s">
        <v>247</v>
      </c>
      <c r="B30" s="104" t="s">
        <v>109</v>
      </c>
      <c r="C30" s="204">
        <v>0.5</v>
      </c>
    </row>
    <row r="32" spans="1:30" x14ac:dyDescent="0.25">
      <c r="A32" s="114" t="s">
        <v>141</v>
      </c>
      <c r="B32" s="2"/>
      <c r="C32" s="2" t="s">
        <v>125</v>
      </c>
    </row>
    <row r="34" spans="1:13" x14ac:dyDescent="0.25">
      <c r="A34" s="114" t="s">
        <v>107</v>
      </c>
      <c r="C34" s="192" t="s">
        <v>225</v>
      </c>
      <c r="D34" s="192" t="s">
        <v>226</v>
      </c>
    </row>
    <row r="35" spans="1:13" x14ac:dyDescent="0.25">
      <c r="A35" s="2" t="s">
        <v>237</v>
      </c>
      <c r="B35" s="3" t="s">
        <v>56</v>
      </c>
      <c r="C35" s="101">
        <v>0.14349999999999999</v>
      </c>
      <c r="D35" s="97">
        <v>17.875</v>
      </c>
    </row>
    <row r="36" spans="1:13" x14ac:dyDescent="0.25">
      <c r="A36" s="2" t="s">
        <v>248</v>
      </c>
      <c r="B36" s="3" t="s">
        <v>56</v>
      </c>
      <c r="C36" s="101">
        <v>0.125</v>
      </c>
      <c r="D36" s="97">
        <f>34.3142+19.32</f>
        <v>53.6342</v>
      </c>
    </row>
    <row r="37" spans="1:13" x14ac:dyDescent="0.25">
      <c r="A37" s="2" t="s">
        <v>106</v>
      </c>
      <c r="B37" s="3" t="s">
        <v>56</v>
      </c>
      <c r="C37" s="121">
        <f>SUMPRODUCT(C35:C36,D35:D36)/SUM(D35:D36)</f>
        <v>0.12962440497166797</v>
      </c>
      <c r="G37" s="118"/>
    </row>
    <row r="40" spans="1:13" x14ac:dyDescent="0.25">
      <c r="A40" s="54" t="s">
        <v>61</v>
      </c>
    </row>
    <row r="41" spans="1:13" x14ac:dyDescent="0.25">
      <c r="A41" s="56" t="s">
        <v>62</v>
      </c>
      <c r="B41" s="57" t="s">
        <v>63</v>
      </c>
      <c r="C41" s="207" t="s">
        <v>238</v>
      </c>
      <c r="D41" s="207" t="s">
        <v>239</v>
      </c>
      <c r="E41" s="207" t="s">
        <v>240</v>
      </c>
      <c r="F41" s="207" t="s">
        <v>241</v>
      </c>
      <c r="G41" s="207" t="s">
        <v>242</v>
      </c>
      <c r="H41" s="207" t="s">
        <v>243</v>
      </c>
      <c r="I41" s="207" t="s">
        <v>244</v>
      </c>
      <c r="J41" s="207" t="s">
        <v>258</v>
      </c>
      <c r="K41" s="207" t="s">
        <v>259</v>
      </c>
      <c r="L41" s="207" t="s">
        <v>260</v>
      </c>
      <c r="M41" s="207" t="s">
        <v>261</v>
      </c>
    </row>
    <row r="42" spans="1:13" x14ac:dyDescent="0.25">
      <c r="A42" s="58" t="s">
        <v>64</v>
      </c>
      <c r="B42" s="59">
        <v>100</v>
      </c>
      <c r="C42" s="60">
        <v>106.9</v>
      </c>
      <c r="D42" s="60">
        <v>112.5</v>
      </c>
      <c r="E42" s="60">
        <v>113.9</v>
      </c>
      <c r="F42" s="60">
        <v>109.7</v>
      </c>
      <c r="G42" s="60">
        <v>111.6</v>
      </c>
      <c r="H42" s="60">
        <v>114.9</v>
      </c>
      <c r="I42" s="60">
        <v>119.8</v>
      </c>
      <c r="J42" s="60">
        <v>121.8</v>
      </c>
      <c r="K42" s="60">
        <v>123.4</v>
      </c>
      <c r="L42" s="60">
        <v>139.4</v>
      </c>
      <c r="M42" s="211">
        <v>152.5</v>
      </c>
    </row>
    <row r="43" spans="1:13" x14ac:dyDescent="0.25">
      <c r="A43" s="58"/>
      <c r="B43" s="59"/>
      <c r="C43" s="61">
        <f>+C42/B42-1</f>
        <v>6.899999999999995E-2</v>
      </c>
      <c r="D43" s="61">
        <f t="shared" ref="D43:M43" si="20">+D42/C42-1</f>
        <v>5.2385406922357269E-2</v>
      </c>
      <c r="E43" s="61">
        <f t="shared" si="20"/>
        <v>1.244444444444448E-2</v>
      </c>
      <c r="F43" s="61">
        <f t="shared" si="20"/>
        <v>-3.687445127304656E-2</v>
      </c>
      <c r="G43" s="61">
        <f t="shared" si="20"/>
        <v>1.7319963536918781E-2</v>
      </c>
      <c r="H43" s="61">
        <f t="shared" si="20"/>
        <v>2.9569892473118475E-2</v>
      </c>
      <c r="I43" s="61">
        <f t="shared" si="20"/>
        <v>4.2645778938207091E-2</v>
      </c>
      <c r="J43" s="61">
        <f t="shared" si="20"/>
        <v>1.6694490818029983E-2</v>
      </c>
      <c r="K43" s="61">
        <f t="shared" si="20"/>
        <v>1.3136288998357948E-2</v>
      </c>
      <c r="L43" s="61">
        <f t="shared" si="20"/>
        <v>0.12965964343598047</v>
      </c>
      <c r="M43" s="61">
        <f t="shared" si="20"/>
        <v>9.3974175035868024E-2</v>
      </c>
    </row>
    <row r="44" spans="1:13" x14ac:dyDescent="0.25">
      <c r="A44" s="62" t="s">
        <v>65</v>
      </c>
      <c r="B44" s="63">
        <f>(M42/B42)^(1/COUNT(C42:M42))-1</f>
        <v>3.9108493961018453E-2</v>
      </c>
      <c r="C44" s="64"/>
      <c r="D44" s="65"/>
      <c r="E44" s="65"/>
      <c r="F44" s="65"/>
      <c r="G44" s="65"/>
      <c r="H44" s="65"/>
      <c r="I44" s="65"/>
    </row>
    <row r="45" spans="1:13" x14ac:dyDescent="0.25">
      <c r="A45" s="32" t="s">
        <v>66</v>
      </c>
      <c r="B45" s="66">
        <f>(M42/B42)^(1/COUNT(C42:M42))-1</f>
        <v>3.9108493961018453E-2</v>
      </c>
      <c r="C45" s="64"/>
      <c r="D45" s="65"/>
      <c r="E45" s="65"/>
      <c r="F45" s="65"/>
      <c r="G45" s="65"/>
      <c r="H45" s="65"/>
      <c r="I45" s="65"/>
    </row>
    <row r="47" spans="1:13" x14ac:dyDescent="0.25">
      <c r="A47" s="54" t="s">
        <v>67</v>
      </c>
      <c r="B47" s="67" t="s">
        <v>56</v>
      </c>
      <c r="C47" s="109">
        <f>B45</f>
        <v>3.9108493961018453E-2</v>
      </c>
    </row>
    <row r="48" spans="1:13" x14ac:dyDescent="0.25">
      <c r="B48" s="123"/>
    </row>
    <row r="49" spans="1:12" x14ac:dyDescent="0.25">
      <c r="A49" s="113" t="s">
        <v>129</v>
      </c>
      <c r="B49" s="123"/>
    </row>
    <row r="51" spans="1:12" x14ac:dyDescent="0.25">
      <c r="A51" s="115" t="s">
        <v>222</v>
      </c>
      <c r="B51" s="105"/>
    </row>
    <row r="52" spans="1:12" x14ac:dyDescent="0.25">
      <c r="A52" s="2" t="s">
        <v>223</v>
      </c>
      <c r="B52" s="3" t="s">
        <v>56</v>
      </c>
      <c r="C52" s="129">
        <v>7.7200000000000005E-2</v>
      </c>
    </row>
    <row r="53" spans="1:12" x14ac:dyDescent="0.25">
      <c r="A53" s="2" t="s">
        <v>234</v>
      </c>
      <c r="B53" s="3"/>
      <c r="C53" s="129">
        <f>C52*C18</f>
        <v>0.46320000000000006</v>
      </c>
    </row>
    <row r="54" spans="1:12" x14ac:dyDescent="0.25">
      <c r="A54" s="2" t="s">
        <v>123</v>
      </c>
      <c r="B54" s="3" t="s">
        <v>56</v>
      </c>
      <c r="C54" s="121">
        <v>0.05</v>
      </c>
      <c r="D54" s="116" t="s">
        <v>125</v>
      </c>
    </row>
    <row r="55" spans="1:12" x14ac:dyDescent="0.25">
      <c r="B55" s="105"/>
      <c r="C55" s="122"/>
    </row>
    <row r="56" spans="1:12" x14ac:dyDescent="0.25">
      <c r="A56" s="2" t="s">
        <v>224</v>
      </c>
      <c r="B56" s="50" t="s">
        <v>58</v>
      </c>
      <c r="C56" s="97">
        <f>AVERAGE(H56:L56)</f>
        <v>0.83146000000000009</v>
      </c>
      <c r="D56" s="2"/>
      <c r="E56" s="2"/>
      <c r="F56" s="2"/>
      <c r="G56" s="97">
        <v>2.2400000000000003E-2</v>
      </c>
      <c r="H56" s="97">
        <v>0.72030000000000005</v>
      </c>
      <c r="I56" s="97">
        <v>0.85129999999999995</v>
      </c>
      <c r="J56" s="212">
        <v>0.89319999999999999</v>
      </c>
      <c r="K56" s="212">
        <v>0.81850000000000001</v>
      </c>
      <c r="L56" s="212">
        <v>0.874</v>
      </c>
    </row>
    <row r="57" spans="1:12" x14ac:dyDescent="0.25">
      <c r="A57" s="2" t="s">
        <v>123</v>
      </c>
      <c r="B57" s="3" t="s">
        <v>56</v>
      </c>
      <c r="C57" s="208">
        <v>0.05</v>
      </c>
    </row>
    <row r="58" spans="1:12" x14ac:dyDescent="0.25">
      <c r="B58" s="105"/>
      <c r="C58" s="122"/>
      <c r="E58">
        <v>100</v>
      </c>
    </row>
    <row r="59" spans="1:12" x14ac:dyDescent="0.25">
      <c r="A59" s="2" t="s">
        <v>249</v>
      </c>
      <c r="B59" s="50" t="s">
        <v>58</v>
      </c>
      <c r="C59" s="129">
        <v>0.6</v>
      </c>
      <c r="D59" s="2"/>
      <c r="E59" s="2"/>
      <c r="F59" s="201">
        <v>0.50060000000000004</v>
      </c>
      <c r="G59" s="201">
        <v>0.65439999999999998</v>
      </c>
      <c r="H59" s="201">
        <v>0.57909999999999995</v>
      </c>
      <c r="I59" s="201">
        <v>7.4499999999999997E-2</v>
      </c>
      <c r="J59" s="213">
        <v>0.64700000000000002</v>
      </c>
      <c r="K59" s="213">
        <v>4.2542</v>
      </c>
      <c r="L59" s="213">
        <v>0.28889999999999999</v>
      </c>
    </row>
    <row r="60" spans="1:12" x14ac:dyDescent="0.25">
      <c r="A60" s="2" t="s">
        <v>235</v>
      </c>
      <c r="B60" s="3" t="s">
        <v>56</v>
      </c>
      <c r="C60" s="121">
        <v>0.05</v>
      </c>
      <c r="G60" s="200"/>
      <c r="H60" s="200"/>
      <c r="I60" s="200"/>
      <c r="J60" s="200"/>
    </row>
    <row r="61" spans="1:12" x14ac:dyDescent="0.25">
      <c r="B61" s="202"/>
      <c r="C61" s="122"/>
      <c r="G61" s="200"/>
      <c r="H61" s="200"/>
      <c r="I61" s="200"/>
      <c r="J61" s="200"/>
    </row>
    <row r="62" spans="1:12" x14ac:dyDescent="0.25">
      <c r="A62" s="54" t="s">
        <v>55</v>
      </c>
      <c r="B62" s="50" t="s">
        <v>56</v>
      </c>
      <c r="C62" s="52">
        <v>0.03</v>
      </c>
    </row>
    <row r="63" spans="1:12" x14ac:dyDescent="0.25">
      <c r="A63" s="49" t="s">
        <v>57</v>
      </c>
      <c r="B63" s="50" t="s">
        <v>58</v>
      </c>
      <c r="C63" s="51">
        <f>'Depreciation Schedule'!D55/10^2</f>
        <v>2.5827</v>
      </c>
    </row>
    <row r="64" spans="1:12" x14ac:dyDescent="0.25">
      <c r="A64" s="49" t="s">
        <v>59</v>
      </c>
      <c r="B64" s="50" t="s">
        <v>58</v>
      </c>
      <c r="C64" s="53">
        <f>+C63*(1+C62)^(C8)</f>
        <v>5.4076002589179382</v>
      </c>
    </row>
    <row r="65" spans="1:13" x14ac:dyDescent="0.25">
      <c r="A65" s="49" t="s">
        <v>60</v>
      </c>
      <c r="B65" s="50" t="s">
        <v>58</v>
      </c>
      <c r="C65" s="53">
        <f>+C64-C63</f>
        <v>2.8249002589179382</v>
      </c>
    </row>
    <row r="67" spans="1:13" x14ac:dyDescent="0.25">
      <c r="A67" s="119" t="s">
        <v>126</v>
      </c>
    </row>
    <row r="68" spans="1:13" x14ac:dyDescent="0.25">
      <c r="A68" s="49" t="s">
        <v>127</v>
      </c>
      <c r="B68" s="50" t="s">
        <v>56</v>
      </c>
      <c r="C68" s="101">
        <v>0.25169999999999998</v>
      </c>
    </row>
    <row r="70" spans="1:13" x14ac:dyDescent="0.25">
      <c r="A70" s="120" t="s">
        <v>133</v>
      </c>
      <c r="H70">
        <v>100</v>
      </c>
    </row>
    <row r="72" spans="1:13" x14ac:dyDescent="0.25">
      <c r="A72" s="2" t="s">
        <v>134</v>
      </c>
      <c r="B72" s="2"/>
      <c r="C72" s="2"/>
      <c r="D72" s="2"/>
      <c r="E72" s="2"/>
      <c r="F72" s="97"/>
      <c r="G72" s="97"/>
      <c r="H72" s="97">
        <v>15.850299999999999</v>
      </c>
      <c r="I72" s="97">
        <v>10.165800000000001</v>
      </c>
      <c r="J72" s="122">
        <v>1.0582</v>
      </c>
      <c r="K72" s="214">
        <v>7.6470000000000002</v>
      </c>
      <c r="L72" s="214">
        <v>9.9573</v>
      </c>
    </row>
    <row r="73" spans="1:13" x14ac:dyDescent="0.25">
      <c r="A73" s="2" t="s">
        <v>135</v>
      </c>
      <c r="B73" s="2"/>
      <c r="C73" s="2"/>
      <c r="D73" s="2"/>
      <c r="E73" s="2"/>
      <c r="F73" s="130"/>
      <c r="G73" s="130"/>
      <c r="H73" s="97">
        <v>6.7352999999999996</v>
      </c>
      <c r="I73" s="209">
        <v>9.4050999999999991</v>
      </c>
      <c r="J73" s="122">
        <v>8.5821000000000005</v>
      </c>
      <c r="K73" s="122">
        <v>8.4113000000000007</v>
      </c>
      <c r="L73" s="122">
        <v>9.8575999999999997</v>
      </c>
    </row>
    <row r="74" spans="1:13" x14ac:dyDescent="0.25">
      <c r="A74" s="2" t="s">
        <v>138</v>
      </c>
      <c r="B74" s="3" t="s">
        <v>140</v>
      </c>
      <c r="C74" s="2"/>
      <c r="D74" s="2"/>
      <c r="E74" s="2"/>
      <c r="F74" s="97"/>
      <c r="G74" s="97"/>
      <c r="H74" s="97">
        <f>(H72/H73)*H3</f>
        <v>858.96092230487136</v>
      </c>
      <c r="I74" s="97">
        <f>(I72/I73)*I3</f>
        <v>394.52180200104203</v>
      </c>
      <c r="J74" s="97">
        <f>(J72/J73)*J3</f>
        <v>45.128954451707621</v>
      </c>
      <c r="K74" s="97">
        <f>(K72/K73)*K3</f>
        <v>331.83396145661192</v>
      </c>
      <c r="L74" s="97">
        <f>(L72/L73)*L3</f>
        <v>368.69161864956988</v>
      </c>
      <c r="M74" s="129">
        <f>AVERAGE(I74:L74)</f>
        <v>285.04408413973283</v>
      </c>
    </row>
    <row r="77" spans="1:13" x14ac:dyDescent="0.25">
      <c r="A77" s="2" t="s">
        <v>136</v>
      </c>
      <c r="B77" s="2"/>
      <c r="C77" s="2"/>
      <c r="D77" s="2"/>
      <c r="E77" s="2"/>
      <c r="F77" s="97"/>
      <c r="G77" s="97"/>
      <c r="H77" s="97">
        <v>1.0118</v>
      </c>
      <c r="I77" s="97">
        <v>4.0601000000000003</v>
      </c>
      <c r="J77" s="122">
        <v>0.39789999999999998</v>
      </c>
      <c r="K77" s="122">
        <v>1.3814</v>
      </c>
      <c r="L77" s="122">
        <v>0.97430000000000005</v>
      </c>
    </row>
    <row r="78" spans="1:13" x14ac:dyDescent="0.25">
      <c r="A78" s="2" t="s">
        <v>137</v>
      </c>
      <c r="B78" s="2"/>
      <c r="C78" s="2"/>
      <c r="D78" s="2"/>
      <c r="E78" s="2"/>
      <c r="F78" s="201"/>
      <c r="G78" s="201"/>
      <c r="H78" s="97">
        <v>0.72030000000000005</v>
      </c>
      <c r="I78" s="97">
        <v>0.85129999999999995</v>
      </c>
      <c r="J78" s="122">
        <f>J56</f>
        <v>0.89319999999999999</v>
      </c>
      <c r="K78" s="122">
        <f t="shared" ref="K78:L78" si="21">K56</f>
        <v>0.81850000000000001</v>
      </c>
      <c r="L78" s="122">
        <f t="shared" si="21"/>
        <v>0.874</v>
      </c>
    </row>
    <row r="79" spans="1:13" x14ac:dyDescent="0.25">
      <c r="A79" s="2" t="s">
        <v>139</v>
      </c>
      <c r="B79" s="3" t="s">
        <v>140</v>
      </c>
      <c r="C79" s="2"/>
      <c r="D79" s="2"/>
      <c r="E79" s="2"/>
      <c r="F79" s="97"/>
      <c r="G79" s="97"/>
      <c r="H79" s="97">
        <f>(H77/H78)*H3</f>
        <v>512.71275857281682</v>
      </c>
      <c r="I79" s="97">
        <f>(I77/I78)*I3</f>
        <v>1740.7923176318575</v>
      </c>
      <c r="J79" s="97">
        <f>(J77/J78)*J3</f>
        <v>163.04455888938648</v>
      </c>
      <c r="K79" s="97">
        <f>(K77/K78)*K3</f>
        <v>616.01832620647519</v>
      </c>
      <c r="L79" s="97">
        <f>(L77/L78)*L3</f>
        <v>406.88729977116708</v>
      </c>
      <c r="M79" s="222">
        <f>AVERAGE(J79:L79,H79)</f>
        <v>424.66573585996139</v>
      </c>
    </row>
    <row r="82" spans="1:3" x14ac:dyDescent="0.25">
      <c r="A82" s="2" t="s">
        <v>252</v>
      </c>
      <c r="B82" s="3" t="s">
        <v>58</v>
      </c>
      <c r="C82" s="210">
        <v>0.19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A057-33C6-4CF1-9113-A4170506986B}">
  <dimension ref="B3:F26"/>
  <sheetViews>
    <sheetView topLeftCell="A13" workbookViewId="0">
      <selection activeCell="C6" sqref="C6:F26"/>
    </sheetView>
  </sheetViews>
  <sheetFormatPr defaultRowHeight="15" x14ac:dyDescent="0.25"/>
  <cols>
    <col min="2" max="2" width="29.42578125" bestFit="1" customWidth="1"/>
  </cols>
  <sheetData>
    <row r="3" spans="2:6" ht="15.75" thickBot="1" x14ac:dyDescent="0.3">
      <c r="B3" s="223" t="s">
        <v>271</v>
      </c>
    </row>
    <row r="4" spans="2:6" ht="15.75" thickBot="1" x14ac:dyDescent="0.3">
      <c r="B4" s="224" t="s">
        <v>195</v>
      </c>
      <c r="C4" s="225">
        <v>43525</v>
      </c>
      <c r="D4" s="225">
        <v>43891</v>
      </c>
      <c r="E4" s="225">
        <v>44256</v>
      </c>
      <c r="F4" s="225">
        <v>44621</v>
      </c>
    </row>
    <row r="5" spans="2:6" ht="15.75" thickBot="1" x14ac:dyDescent="0.3">
      <c r="B5" s="226"/>
      <c r="C5" s="227"/>
      <c r="D5" s="227"/>
      <c r="E5" s="228"/>
      <c r="F5" s="228"/>
    </row>
    <row r="6" spans="2:6" ht="15.75" thickBot="1" x14ac:dyDescent="0.3">
      <c r="B6" s="226" t="s">
        <v>185</v>
      </c>
      <c r="C6" s="229">
        <v>9.51</v>
      </c>
      <c r="D6" s="229">
        <v>9.23</v>
      </c>
      <c r="E6" s="229">
        <v>8.64</v>
      </c>
      <c r="F6" s="229">
        <v>9.86</v>
      </c>
    </row>
    <row r="7" spans="2:6" ht="15.75" thickBot="1" x14ac:dyDescent="0.3">
      <c r="B7" s="226"/>
      <c r="C7" s="228"/>
      <c r="D7" s="228"/>
      <c r="E7" s="228"/>
      <c r="F7" s="228"/>
    </row>
    <row r="8" spans="2:6" ht="15.75" thickBot="1" x14ac:dyDescent="0.3">
      <c r="B8" s="226" t="s">
        <v>272</v>
      </c>
      <c r="C8" s="229">
        <v>3.08</v>
      </c>
      <c r="D8" s="229">
        <v>1.54</v>
      </c>
      <c r="E8" s="229">
        <v>5.07</v>
      </c>
      <c r="F8" s="229">
        <v>1.1599999999999999</v>
      </c>
    </row>
    <row r="9" spans="2:6" ht="15.75" thickBot="1" x14ac:dyDescent="0.3">
      <c r="B9" s="226"/>
      <c r="C9" s="227"/>
      <c r="D9" s="227"/>
      <c r="E9" s="228"/>
      <c r="F9" s="228"/>
    </row>
    <row r="10" spans="2:6" ht="15.75" thickBot="1" x14ac:dyDescent="0.3">
      <c r="B10" s="230" t="s">
        <v>156</v>
      </c>
      <c r="C10" s="231">
        <f>C6-C8</f>
        <v>6.43</v>
      </c>
      <c r="D10" s="231">
        <f t="shared" ref="D10:F10" si="0">D6-D8</f>
        <v>7.69</v>
      </c>
      <c r="E10" s="231">
        <f t="shared" si="0"/>
        <v>3.5700000000000003</v>
      </c>
      <c r="F10" s="231">
        <f t="shared" si="0"/>
        <v>8.6999999999999993</v>
      </c>
    </row>
    <row r="11" spans="2:6" ht="15.75" thickBot="1" x14ac:dyDescent="0.3">
      <c r="B11" s="232" t="s">
        <v>157</v>
      </c>
      <c r="C11" s="233">
        <f>C10/C6</f>
        <v>0.67613038906414302</v>
      </c>
      <c r="D11" s="233">
        <f t="shared" ref="D11:F11" si="1">D10/D6</f>
        <v>0.83315276273022754</v>
      </c>
      <c r="E11" s="233">
        <f t="shared" si="1"/>
        <v>0.41319444444444448</v>
      </c>
      <c r="F11" s="233">
        <f t="shared" si="1"/>
        <v>0.88235294117647056</v>
      </c>
    </row>
    <row r="12" spans="2:6" ht="15.75" thickBot="1" x14ac:dyDescent="0.3">
      <c r="B12" s="226"/>
      <c r="C12" s="228"/>
      <c r="D12" s="228"/>
      <c r="E12" s="228"/>
      <c r="F12" s="228"/>
    </row>
    <row r="13" spans="2:6" ht="15.75" thickBot="1" x14ac:dyDescent="0.3">
      <c r="B13" s="226" t="s">
        <v>273</v>
      </c>
      <c r="C13" s="229">
        <v>2.14</v>
      </c>
      <c r="D13" s="229">
        <v>2.15</v>
      </c>
      <c r="E13" s="229">
        <v>2.14</v>
      </c>
      <c r="F13" s="229">
        <v>2.14</v>
      </c>
    </row>
    <row r="14" spans="2:6" ht="15.75" thickBot="1" x14ac:dyDescent="0.3">
      <c r="B14" s="226"/>
      <c r="C14" s="228"/>
      <c r="D14" s="228"/>
      <c r="E14" s="228"/>
      <c r="F14" s="228"/>
    </row>
    <row r="15" spans="2:6" ht="15.75" thickBot="1" x14ac:dyDescent="0.3">
      <c r="B15" s="230" t="s">
        <v>159</v>
      </c>
      <c r="C15" s="231">
        <f>C10-C13</f>
        <v>4.2899999999999991</v>
      </c>
      <c r="D15" s="231">
        <f t="shared" ref="D15:F15" si="2">D10-D13</f>
        <v>5.5400000000000009</v>
      </c>
      <c r="E15" s="231">
        <f t="shared" si="2"/>
        <v>1.4300000000000002</v>
      </c>
      <c r="F15" s="231">
        <f t="shared" si="2"/>
        <v>6.5599999999999987</v>
      </c>
    </row>
    <row r="16" spans="2:6" ht="15.75" thickBot="1" x14ac:dyDescent="0.3">
      <c r="B16" s="232" t="s">
        <v>160</v>
      </c>
      <c r="C16" s="233">
        <f>C15/C6</f>
        <v>0.45110410094637216</v>
      </c>
      <c r="D16" s="233">
        <f t="shared" ref="D16:F16" si="3">D15/D6</f>
        <v>0.60021668472372702</v>
      </c>
      <c r="E16" s="233">
        <f t="shared" si="3"/>
        <v>0.16550925925925927</v>
      </c>
      <c r="F16" s="233">
        <f t="shared" si="3"/>
        <v>0.66531440162271793</v>
      </c>
    </row>
    <row r="17" spans="2:6" ht="15.75" thickBot="1" x14ac:dyDescent="0.3">
      <c r="B17" s="226"/>
      <c r="C17" s="228"/>
      <c r="D17" s="228"/>
      <c r="E17" s="228"/>
      <c r="F17" s="228"/>
    </row>
    <row r="18" spans="2:6" ht="15.75" thickBot="1" x14ac:dyDescent="0.3">
      <c r="B18" s="226" t="s">
        <v>274</v>
      </c>
      <c r="C18" s="229">
        <v>7.53</v>
      </c>
      <c r="D18" s="234">
        <v>7.7</v>
      </c>
      <c r="E18" s="234">
        <v>7</v>
      </c>
      <c r="F18" s="229">
        <v>6.85</v>
      </c>
    </row>
    <row r="19" spans="2:6" ht="15.75" thickBot="1" x14ac:dyDescent="0.3">
      <c r="B19" s="226"/>
      <c r="C19" s="228"/>
      <c r="D19" s="228"/>
      <c r="E19" s="228"/>
      <c r="F19" s="228"/>
    </row>
    <row r="20" spans="2:6" ht="15.75" thickBot="1" x14ac:dyDescent="0.3">
      <c r="B20" s="230" t="s">
        <v>161</v>
      </c>
      <c r="C20" s="231">
        <f>C15-C18</f>
        <v>-3.2400000000000011</v>
      </c>
      <c r="D20" s="231">
        <f t="shared" ref="D20:F20" si="4">D15-D18</f>
        <v>-2.1599999999999993</v>
      </c>
      <c r="E20" s="231">
        <f t="shared" si="4"/>
        <v>-5.57</v>
      </c>
      <c r="F20" s="231">
        <f t="shared" si="4"/>
        <v>-0.29000000000000092</v>
      </c>
    </row>
    <row r="21" spans="2:6" ht="15.75" thickBot="1" x14ac:dyDescent="0.3">
      <c r="B21" s="232" t="s">
        <v>162</v>
      </c>
      <c r="C21" s="233">
        <f>C20/C6</f>
        <v>-0.34069400630914837</v>
      </c>
      <c r="D21" s="233">
        <f t="shared" ref="D21:F21" si="5">D20/D6</f>
        <v>-0.23401950162513532</v>
      </c>
      <c r="E21" s="233">
        <f t="shared" si="5"/>
        <v>-0.64467592592592593</v>
      </c>
      <c r="F21" s="233">
        <f t="shared" si="5"/>
        <v>-2.941176470588245E-2</v>
      </c>
    </row>
    <row r="22" spans="2:6" ht="15.75" thickBot="1" x14ac:dyDescent="0.3">
      <c r="B22" s="226"/>
      <c r="C22" s="227"/>
      <c r="D22" s="227"/>
      <c r="E22" s="228"/>
      <c r="F22" s="228"/>
    </row>
    <row r="23" spans="2:6" ht="15.75" thickBot="1" x14ac:dyDescent="0.3">
      <c r="B23" s="226" t="s">
        <v>275</v>
      </c>
      <c r="C23" s="229">
        <v>-0.02</v>
      </c>
      <c r="D23" s="229">
        <v>-0.02</v>
      </c>
      <c r="E23" s="229">
        <v>-0.03</v>
      </c>
      <c r="F23" s="229">
        <v>-0.03</v>
      </c>
    </row>
    <row r="24" spans="2:6" ht="15.75" thickBot="1" x14ac:dyDescent="0.3">
      <c r="B24" s="226"/>
      <c r="C24" s="227"/>
      <c r="D24" s="227"/>
      <c r="E24" s="228"/>
      <c r="F24" s="228"/>
    </row>
    <row r="25" spans="2:6" ht="15.75" thickBot="1" x14ac:dyDescent="0.3">
      <c r="B25" s="230" t="s">
        <v>180</v>
      </c>
      <c r="C25" s="231">
        <f>C20-C23</f>
        <v>-3.2200000000000011</v>
      </c>
      <c r="D25" s="231">
        <f t="shared" ref="D25:F25" si="6">D20-D23</f>
        <v>-2.1399999999999992</v>
      </c>
      <c r="E25" s="231">
        <f t="shared" si="6"/>
        <v>-5.54</v>
      </c>
      <c r="F25" s="231">
        <f t="shared" si="6"/>
        <v>-0.2600000000000009</v>
      </c>
    </row>
    <row r="26" spans="2:6" ht="15.75" thickBot="1" x14ac:dyDescent="0.3">
      <c r="B26" s="232" t="s">
        <v>181</v>
      </c>
      <c r="C26" s="233">
        <f>C25/C6</f>
        <v>-0.33859095688748697</v>
      </c>
      <c r="D26" s="233">
        <f t="shared" ref="D26:F26" si="7">D25/D6</f>
        <v>-0.23185265438786556</v>
      </c>
      <c r="E26" s="233">
        <f t="shared" si="7"/>
        <v>-0.64120370370370372</v>
      </c>
      <c r="F26" s="233">
        <f t="shared" si="7"/>
        <v>-2.6369168356998065E-2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AF93"/>
  <sheetViews>
    <sheetView topLeftCell="Q1" workbookViewId="0">
      <pane ySplit="4" topLeftCell="A5" activePane="bottomLeft" state="frozen"/>
      <selection pane="bottomLeft" activeCell="V37" sqref="V17:AD37"/>
    </sheetView>
  </sheetViews>
  <sheetFormatPr defaultRowHeight="15" outlineLevelCol="1" x14ac:dyDescent="0.25"/>
  <cols>
    <col min="1" max="1" width="32.28515625" bestFit="1" customWidth="1"/>
    <col min="2" max="2" width="8" hidden="1" customWidth="1" outlineLevel="1"/>
    <col min="3" max="5" width="14.5703125" hidden="1" customWidth="1" outlineLevel="1"/>
    <col min="6" max="10" width="13.42578125" hidden="1" customWidth="1" outlineLevel="1"/>
    <col min="11" max="11" width="13.42578125" hidden="1" customWidth="1" collapsed="1"/>
    <col min="12" max="12" width="13.42578125" hidden="1" customWidth="1"/>
    <col min="13" max="30" width="13.42578125" bestFit="1" customWidth="1"/>
    <col min="31" max="36" width="2" bestFit="1" customWidth="1"/>
  </cols>
  <sheetData>
    <row r="1" spans="1:30" x14ac:dyDescent="0.25">
      <c r="A1" s="2" t="str">
        <f>Assumptions!A1</f>
        <v>Plant Year</v>
      </c>
      <c r="B1" s="2"/>
      <c r="C1" s="2"/>
      <c r="D1" s="3"/>
      <c r="E1" s="3"/>
      <c r="F1" s="3">
        <f>Assumptions!F1</f>
        <v>1</v>
      </c>
      <c r="G1" s="3">
        <f>Assumptions!G1</f>
        <v>2</v>
      </c>
      <c r="H1" s="3">
        <f>Assumptions!H1</f>
        <v>3</v>
      </c>
      <c r="I1" s="3">
        <f>Assumptions!I1</f>
        <v>4</v>
      </c>
      <c r="J1" s="3">
        <f>Assumptions!J1</f>
        <v>5</v>
      </c>
      <c r="K1" s="3">
        <f>Assumptions!K1</f>
        <v>6</v>
      </c>
      <c r="L1" s="3">
        <f>Assumptions!L1</f>
        <v>7</v>
      </c>
      <c r="M1" s="3">
        <f>Assumptions!M1</f>
        <v>8</v>
      </c>
      <c r="N1" s="3">
        <f>Assumptions!N1</f>
        <v>9</v>
      </c>
      <c r="O1" s="3">
        <f>Assumptions!O1</f>
        <v>10</v>
      </c>
      <c r="P1" s="3">
        <f>Assumptions!P1</f>
        <v>11</v>
      </c>
      <c r="Q1" s="3">
        <f>Assumptions!Q1</f>
        <v>12</v>
      </c>
      <c r="R1" s="3">
        <f>Assumptions!R1</f>
        <v>13</v>
      </c>
      <c r="S1" s="3">
        <f>Assumptions!S1</f>
        <v>14</v>
      </c>
      <c r="T1" s="3">
        <f>Assumptions!T1</f>
        <v>15</v>
      </c>
      <c r="U1" s="3">
        <f>Assumptions!U1</f>
        <v>16</v>
      </c>
      <c r="V1" s="3">
        <f>Assumptions!V1</f>
        <v>17</v>
      </c>
      <c r="W1" s="3">
        <f>Assumptions!W1</f>
        <v>18</v>
      </c>
      <c r="X1" s="3">
        <f>Assumptions!X1</f>
        <v>19</v>
      </c>
      <c r="Y1" s="3">
        <f>Assumptions!Y1</f>
        <v>20</v>
      </c>
      <c r="Z1" s="3">
        <f>Assumptions!Z1</f>
        <v>21</v>
      </c>
      <c r="AA1" s="3">
        <f>Assumptions!AA1</f>
        <v>22</v>
      </c>
      <c r="AB1" s="3">
        <f>Assumptions!AB1</f>
        <v>23</v>
      </c>
      <c r="AC1" s="3">
        <f>Assumptions!AC1</f>
        <v>24</v>
      </c>
      <c r="AD1" s="3">
        <f>Assumptions!AD1</f>
        <v>25</v>
      </c>
    </row>
    <row r="2" spans="1:30" x14ac:dyDescent="0.25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3">
        <f>Assumptions!J2</f>
        <v>1</v>
      </c>
      <c r="K2" s="3">
        <f>Assumptions!K2</f>
        <v>2</v>
      </c>
      <c r="L2" s="3">
        <f>Assumptions!L2</f>
        <v>3</v>
      </c>
      <c r="M2" s="3">
        <f>Assumptions!M2</f>
        <v>4</v>
      </c>
      <c r="N2" s="3">
        <f>Assumptions!N2</f>
        <v>5</v>
      </c>
      <c r="O2" s="3">
        <f>Assumptions!O2</f>
        <v>6</v>
      </c>
      <c r="P2" s="3">
        <f>Assumptions!P2</f>
        <v>7</v>
      </c>
      <c r="Q2" s="3">
        <f>Assumptions!Q2</f>
        <v>8</v>
      </c>
      <c r="R2" s="3">
        <f>Assumptions!R2</f>
        <v>9</v>
      </c>
      <c r="S2" s="3">
        <f>Assumptions!S2</f>
        <v>10</v>
      </c>
      <c r="T2" s="3">
        <f>Assumptions!T2</f>
        <v>11</v>
      </c>
      <c r="U2" s="3">
        <f>Assumptions!U2</f>
        <v>12</v>
      </c>
      <c r="V2" s="3">
        <f>Assumptions!V2</f>
        <v>13</v>
      </c>
      <c r="W2" s="3">
        <f>Assumptions!W2</f>
        <v>14</v>
      </c>
      <c r="X2" s="3">
        <f>Assumptions!X2</f>
        <v>15</v>
      </c>
      <c r="Y2" s="3">
        <f>Assumptions!Y2</f>
        <v>16</v>
      </c>
      <c r="Z2" s="3">
        <f>Assumptions!Z2</f>
        <v>17</v>
      </c>
      <c r="AA2" s="3">
        <f>Assumptions!AA2</f>
        <v>18</v>
      </c>
      <c r="AB2" s="3">
        <f>Assumptions!AB2</f>
        <v>19</v>
      </c>
      <c r="AC2" s="3">
        <f>Assumptions!AC2</f>
        <v>20</v>
      </c>
      <c r="AD2" s="3">
        <f>Assumptions!AD2</f>
        <v>21</v>
      </c>
    </row>
    <row r="3" spans="1:30" x14ac:dyDescent="0.25">
      <c r="A3" s="2" t="str">
        <f>Assumptions!A3</f>
        <v>No. of Days</v>
      </c>
      <c r="B3" s="2"/>
      <c r="C3" s="2"/>
      <c r="D3" s="2"/>
      <c r="E3" s="2"/>
      <c r="F3" s="2"/>
      <c r="G3" s="2"/>
      <c r="H3" s="2"/>
      <c r="I3" s="2"/>
      <c r="J3" s="3">
        <f>Assumptions!J3</f>
        <v>366</v>
      </c>
      <c r="K3" s="3">
        <f>Assumptions!K3</f>
        <v>365</v>
      </c>
      <c r="L3" s="3">
        <f>Assumptions!L3</f>
        <v>365</v>
      </c>
      <c r="M3" s="3">
        <f>Assumptions!M3</f>
        <v>365</v>
      </c>
      <c r="N3" s="3">
        <f>Assumptions!N3</f>
        <v>366</v>
      </c>
      <c r="O3" s="3">
        <f>Assumptions!O3</f>
        <v>365</v>
      </c>
      <c r="P3" s="3">
        <f>Assumptions!P3</f>
        <v>365</v>
      </c>
      <c r="Q3" s="3">
        <f>Assumptions!Q3</f>
        <v>365</v>
      </c>
      <c r="R3" s="3">
        <f>Assumptions!R3</f>
        <v>366</v>
      </c>
      <c r="S3" s="3">
        <f>Assumptions!S3</f>
        <v>365</v>
      </c>
      <c r="T3" s="3">
        <f>Assumptions!T3</f>
        <v>365</v>
      </c>
      <c r="U3" s="3">
        <f>Assumptions!U3</f>
        <v>365</v>
      </c>
      <c r="V3" s="3">
        <f>Assumptions!V3</f>
        <v>366</v>
      </c>
      <c r="W3" s="3">
        <f>Assumptions!W3</f>
        <v>365</v>
      </c>
      <c r="X3" s="3">
        <f>Assumptions!X3</f>
        <v>365</v>
      </c>
      <c r="Y3" s="3">
        <f>Assumptions!Y3</f>
        <v>365</v>
      </c>
      <c r="Z3" s="3">
        <f>Assumptions!Z3</f>
        <v>366</v>
      </c>
      <c r="AA3" s="3">
        <f>Assumptions!AA3</f>
        <v>365</v>
      </c>
      <c r="AB3" s="3">
        <f>Assumptions!AB3</f>
        <v>365</v>
      </c>
      <c r="AC3" s="3">
        <f>Assumptions!AC3</f>
        <v>365</v>
      </c>
      <c r="AD3" s="3">
        <f>Assumptions!AD3</f>
        <v>366</v>
      </c>
    </row>
    <row r="4" spans="1:30" x14ac:dyDescent="0.25">
      <c r="A4" s="2" t="str">
        <f>Assumptions!A4</f>
        <v>Year End</v>
      </c>
      <c r="B4" s="125"/>
      <c r="C4" s="125"/>
      <c r="D4" s="125"/>
      <c r="E4" s="125"/>
      <c r="F4" s="4">
        <f>Assumptions!F4</f>
        <v>42460</v>
      </c>
      <c r="G4" s="4">
        <f>Assumptions!G4</f>
        <v>42825</v>
      </c>
      <c r="H4" s="4">
        <f>Assumptions!H4</f>
        <v>43190</v>
      </c>
      <c r="I4" s="4">
        <f>Assumptions!I4</f>
        <v>43555</v>
      </c>
      <c r="J4" s="4">
        <f>Assumptions!J4</f>
        <v>43921</v>
      </c>
      <c r="K4" s="4">
        <f>Assumptions!K4</f>
        <v>44286</v>
      </c>
      <c r="L4" s="4">
        <f>Assumptions!L4</f>
        <v>44651</v>
      </c>
      <c r="M4" s="4">
        <f>Assumptions!M4</f>
        <v>45016</v>
      </c>
      <c r="N4" s="4">
        <f>Assumptions!N4</f>
        <v>45382</v>
      </c>
      <c r="O4" s="4">
        <f>Assumptions!O4</f>
        <v>45747</v>
      </c>
      <c r="P4" s="4">
        <f>Assumptions!P4</f>
        <v>46112</v>
      </c>
      <c r="Q4" s="4">
        <f>Assumptions!Q4</f>
        <v>46477</v>
      </c>
      <c r="R4" s="4">
        <f>Assumptions!R4</f>
        <v>46843</v>
      </c>
      <c r="S4" s="4">
        <f>Assumptions!S4</f>
        <v>47208</v>
      </c>
      <c r="T4" s="4">
        <f>Assumptions!T4</f>
        <v>47573</v>
      </c>
      <c r="U4" s="4">
        <f>Assumptions!U4</f>
        <v>47938</v>
      </c>
      <c r="V4" s="4">
        <f>Assumptions!V4</f>
        <v>48304</v>
      </c>
      <c r="W4" s="4">
        <f>Assumptions!W4</f>
        <v>48669</v>
      </c>
      <c r="X4" s="4">
        <f>Assumptions!X4</f>
        <v>49034</v>
      </c>
      <c r="Y4" s="4">
        <f>Assumptions!Y4</f>
        <v>49399</v>
      </c>
      <c r="Z4" s="4">
        <f>Assumptions!Z4</f>
        <v>49765</v>
      </c>
      <c r="AA4" s="4">
        <f>Assumptions!AA4</f>
        <v>50130</v>
      </c>
      <c r="AB4" s="4">
        <f>Assumptions!AB4</f>
        <v>50495</v>
      </c>
      <c r="AC4" s="4">
        <f>Assumptions!AC4</f>
        <v>50860</v>
      </c>
      <c r="AD4" s="4">
        <f>Assumptions!AD4</f>
        <v>51226</v>
      </c>
    </row>
    <row r="5" spans="1:30" x14ac:dyDescent="0.25">
      <c r="B5" s="127"/>
    </row>
    <row r="6" spans="1:30" x14ac:dyDescent="0.25">
      <c r="A6" s="134" t="s">
        <v>147</v>
      </c>
      <c r="B6" s="132"/>
      <c r="C6" s="131"/>
      <c r="D6" s="131"/>
      <c r="E6" s="131"/>
      <c r="F6" s="131"/>
      <c r="G6" s="131"/>
      <c r="H6" s="131"/>
      <c r="I6" s="131"/>
      <c r="J6" s="133"/>
      <c r="K6" s="133"/>
      <c r="L6" s="133"/>
      <c r="M6" s="133">
        <f>Assumptions!$C$19</f>
        <v>0.22</v>
      </c>
      <c r="N6" s="133">
        <f>Assumptions!$C$19</f>
        <v>0.22</v>
      </c>
      <c r="O6" s="133">
        <f>Assumptions!$C$19</f>
        <v>0.22</v>
      </c>
      <c r="P6" s="133">
        <f>Assumptions!$C$19</f>
        <v>0.22</v>
      </c>
      <c r="Q6" s="133">
        <f>Assumptions!$C$19</f>
        <v>0.22</v>
      </c>
      <c r="R6" s="133">
        <f>Assumptions!$C$19</f>
        <v>0.22</v>
      </c>
      <c r="S6" s="133">
        <f>Assumptions!$C$19</f>
        <v>0.22</v>
      </c>
      <c r="T6" s="133">
        <f>Assumptions!$C$19</f>
        <v>0.22</v>
      </c>
      <c r="U6" s="133">
        <f>Assumptions!$C$19</f>
        <v>0.22</v>
      </c>
      <c r="V6" s="133">
        <f>Assumptions!$C$19</f>
        <v>0.22</v>
      </c>
      <c r="W6" s="133">
        <f>Assumptions!$C$19</f>
        <v>0.22</v>
      </c>
      <c r="X6" s="133">
        <f>Assumptions!$C$19</f>
        <v>0.22</v>
      </c>
      <c r="Y6" s="133">
        <f>Assumptions!$C$19</f>
        <v>0.22</v>
      </c>
      <c r="Z6" s="133">
        <f>Assumptions!$C$19</f>
        <v>0.22</v>
      </c>
      <c r="AA6" s="133">
        <f>Assumptions!$C$19</f>
        <v>0.22</v>
      </c>
      <c r="AB6" s="133">
        <f>Assumptions!$C$19</f>
        <v>0.22</v>
      </c>
      <c r="AC6" s="133">
        <f>Assumptions!$C$19</f>
        <v>0.22</v>
      </c>
      <c r="AD6" s="133">
        <f>Assumptions!$C$19</f>
        <v>0.22</v>
      </c>
    </row>
    <row r="8" spans="1:30" x14ac:dyDescent="0.25">
      <c r="A8" s="113" t="s">
        <v>142</v>
      </c>
    </row>
    <row r="9" spans="1:30" x14ac:dyDescent="0.25">
      <c r="A9" s="2" t="s">
        <v>143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>(Assumptions!$C$18*M6)*(24*'RKA P&amp;L'!M3*1000)</f>
        <v>11563200</v>
      </c>
      <c r="N9" s="2">
        <f>(Assumptions!$C$18*N6)*(24*'RKA P&amp;L'!N3*1000)</f>
        <v>11594880</v>
      </c>
      <c r="O9" s="2">
        <f>(Assumptions!$C$18*O6)*(24*'RKA P&amp;L'!O3*1000)</f>
        <v>11563200</v>
      </c>
      <c r="P9" s="2">
        <f>(Assumptions!$C$18*P6)*(24*'RKA P&amp;L'!P3*1000)</f>
        <v>11563200</v>
      </c>
      <c r="Q9" s="2">
        <f>(Assumptions!$C$18*Q6)*(24*'RKA P&amp;L'!Q3*1000)</f>
        <v>11563200</v>
      </c>
      <c r="R9" s="2">
        <f>(Assumptions!$C$18*R6)*(24*'RKA P&amp;L'!R3*1000)</f>
        <v>11594880</v>
      </c>
      <c r="S9" s="2">
        <f>(Assumptions!$C$18*S6)*(24*'RKA P&amp;L'!S3*1000)</f>
        <v>11563200</v>
      </c>
      <c r="T9" s="2">
        <f>(Assumptions!$C$18*T6)*(24*'RKA P&amp;L'!T3*1000)</f>
        <v>11563200</v>
      </c>
      <c r="U9" s="2">
        <f>(Assumptions!$C$18*U6)*(24*'RKA P&amp;L'!U3*1000)</f>
        <v>11563200</v>
      </c>
      <c r="V9" s="2">
        <f>(Assumptions!$C$18*V6)*(24*'RKA P&amp;L'!V3*1000)</f>
        <v>11594880</v>
      </c>
      <c r="W9" s="2">
        <f>(Assumptions!$C$18*W6)*(24*'RKA P&amp;L'!W3*1000)</f>
        <v>11563200</v>
      </c>
      <c r="X9" s="2">
        <f>(Assumptions!$C$18*X6)*(24*'RKA P&amp;L'!X3*1000)</f>
        <v>11563200</v>
      </c>
      <c r="Y9" s="2">
        <f>(Assumptions!$C$18*Y6)*(24*'RKA P&amp;L'!Y3*1000)</f>
        <v>11563200</v>
      </c>
      <c r="Z9" s="2">
        <f>(Assumptions!$C$18*Z6)*(24*'RKA P&amp;L'!Z3*1000)</f>
        <v>11594880</v>
      </c>
      <c r="AA9" s="2">
        <f>(Assumptions!$C$18*AA6)*(24*'RKA P&amp;L'!AA3*1000)</f>
        <v>11563200</v>
      </c>
      <c r="AB9" s="2">
        <f>(Assumptions!$C$18*AB6)*(24*'RKA P&amp;L'!AB3*1000)</f>
        <v>11563200</v>
      </c>
      <c r="AC9" s="2">
        <f>(Assumptions!$C$18*AC6)*(24*'RKA P&amp;L'!AC3*1000)</f>
        <v>11563200</v>
      </c>
      <c r="AD9" s="2">
        <f>(Assumptions!$C$18*AD6)*(24*'RKA P&amp;L'!AD3*1000)</f>
        <v>11594880</v>
      </c>
    </row>
    <row r="10" spans="1:30" x14ac:dyDescent="0.25">
      <c r="A10" s="2" t="str">
        <f>Assumptions!A21</f>
        <v>Auxiliary Consumption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>M9*Assumptions!$C$21</f>
        <v>5781.6</v>
      </c>
      <c r="N10" s="2">
        <f>N9*Assumptions!$C$21</f>
        <v>5797.4400000000005</v>
      </c>
      <c r="O10" s="2">
        <f>O9*Assumptions!$C$21</f>
        <v>5781.6</v>
      </c>
      <c r="P10" s="2">
        <f>P9*Assumptions!$C$21</f>
        <v>5781.6</v>
      </c>
      <c r="Q10" s="2">
        <f>Q9*Assumptions!$C$21</f>
        <v>5781.6</v>
      </c>
      <c r="R10" s="2">
        <f>R9*Assumptions!$C$21</f>
        <v>5797.4400000000005</v>
      </c>
      <c r="S10" s="2">
        <f>S9*Assumptions!$C$21</f>
        <v>5781.6</v>
      </c>
      <c r="T10" s="2">
        <f>T9*Assumptions!$C$21</f>
        <v>5781.6</v>
      </c>
      <c r="U10" s="2">
        <f>U9*Assumptions!$C$21</f>
        <v>5781.6</v>
      </c>
      <c r="V10" s="2">
        <f>V9*Assumptions!$C$21</f>
        <v>5797.4400000000005</v>
      </c>
      <c r="W10" s="2">
        <f>W9*Assumptions!$C$21</f>
        <v>5781.6</v>
      </c>
      <c r="X10" s="2">
        <f>X9*Assumptions!$C$21</f>
        <v>5781.6</v>
      </c>
      <c r="Y10" s="2">
        <f>Y9*Assumptions!$C$21</f>
        <v>5781.6</v>
      </c>
      <c r="Z10" s="2">
        <f>Z9*Assumptions!$C$21</f>
        <v>5797.4400000000005</v>
      </c>
      <c r="AA10" s="2">
        <f>AA9*Assumptions!$C$21</f>
        <v>5781.6</v>
      </c>
      <c r="AB10" s="2">
        <f>AB9*Assumptions!$C$21</f>
        <v>5781.6</v>
      </c>
      <c r="AC10" s="2">
        <f>AC9*Assumptions!$C$21</f>
        <v>5781.6</v>
      </c>
      <c r="AD10" s="2">
        <f>AD9*Assumptions!$C$21</f>
        <v>5797.4400000000005</v>
      </c>
    </row>
    <row r="11" spans="1:30" x14ac:dyDescent="0.25">
      <c r="A11" s="103" t="s">
        <v>144</v>
      </c>
      <c r="B11" s="2"/>
      <c r="C11" s="2"/>
      <c r="D11" s="2"/>
      <c r="E11" s="2"/>
      <c r="F11" s="2"/>
      <c r="G11" s="2"/>
      <c r="H11" s="2"/>
      <c r="I11" s="2"/>
      <c r="J11" s="103"/>
      <c r="K11" s="103"/>
      <c r="L11" s="103"/>
      <c r="M11" s="103">
        <f t="shared" ref="M11:AB11" si="0">M9-M10</f>
        <v>11557418.4</v>
      </c>
      <c r="N11" s="103">
        <f t="shared" si="0"/>
        <v>11589082.560000001</v>
      </c>
      <c r="O11" s="103">
        <f t="shared" si="0"/>
        <v>11557418.4</v>
      </c>
      <c r="P11" s="103">
        <f t="shared" si="0"/>
        <v>11557418.4</v>
      </c>
      <c r="Q11" s="103">
        <f t="shared" si="0"/>
        <v>11557418.4</v>
      </c>
      <c r="R11" s="103">
        <f t="shared" si="0"/>
        <v>11589082.560000001</v>
      </c>
      <c r="S11" s="103">
        <f t="shared" si="0"/>
        <v>11557418.4</v>
      </c>
      <c r="T11" s="103">
        <f t="shared" si="0"/>
        <v>11557418.4</v>
      </c>
      <c r="U11" s="103">
        <f t="shared" si="0"/>
        <v>11557418.4</v>
      </c>
      <c r="V11" s="103">
        <f t="shared" si="0"/>
        <v>11589082.560000001</v>
      </c>
      <c r="W11" s="103">
        <f t="shared" si="0"/>
        <v>11557418.4</v>
      </c>
      <c r="X11" s="103">
        <f t="shared" si="0"/>
        <v>11557418.4</v>
      </c>
      <c r="Y11" s="103">
        <f t="shared" si="0"/>
        <v>11557418.4</v>
      </c>
      <c r="Z11" s="103">
        <f t="shared" si="0"/>
        <v>11589082.560000001</v>
      </c>
      <c r="AA11" s="103">
        <f t="shared" si="0"/>
        <v>11557418.4</v>
      </c>
      <c r="AB11" s="103">
        <f t="shared" si="0"/>
        <v>11557418.4</v>
      </c>
      <c r="AC11" s="103">
        <f t="shared" ref="AC11:AD11" si="1">AC9-AC10</f>
        <v>11557418.4</v>
      </c>
      <c r="AD11" s="103">
        <f t="shared" si="1"/>
        <v>11589082.560000001</v>
      </c>
    </row>
    <row r="13" spans="1:30" x14ac:dyDescent="0.25">
      <c r="A13" s="103" t="s">
        <v>145</v>
      </c>
      <c r="B13" s="130"/>
      <c r="C13" s="130"/>
      <c r="D13" s="130"/>
      <c r="E13" s="130"/>
      <c r="F13" s="130"/>
      <c r="G13" s="130"/>
      <c r="H13" s="130"/>
      <c r="I13" s="130"/>
      <c r="J13" s="129"/>
      <c r="K13" s="129"/>
      <c r="L13" s="129"/>
      <c r="M13" s="129">
        <f>Assumptions!M28</f>
        <v>5.7</v>
      </c>
      <c r="N13" s="129">
        <f>Assumptions!N28</f>
        <v>5.7</v>
      </c>
      <c r="O13" s="129">
        <f>Assumptions!O28</f>
        <v>5.7</v>
      </c>
      <c r="P13" s="129">
        <f>Assumptions!P28</f>
        <v>5.7</v>
      </c>
      <c r="Q13" s="129">
        <f>Assumptions!Q28</f>
        <v>5.7</v>
      </c>
      <c r="R13" s="129">
        <f>Assumptions!R28</f>
        <v>5.7</v>
      </c>
      <c r="S13" s="129">
        <f>Assumptions!S28</f>
        <v>2.75</v>
      </c>
      <c r="T13" s="129">
        <f>Assumptions!T28</f>
        <v>2.75</v>
      </c>
      <c r="U13" s="129">
        <f>Assumptions!U28</f>
        <v>2.75</v>
      </c>
      <c r="V13" s="129">
        <f>Assumptions!V28</f>
        <v>2.75</v>
      </c>
      <c r="W13" s="129">
        <f>Assumptions!W28</f>
        <v>2.75</v>
      </c>
      <c r="X13" s="129">
        <f>Assumptions!X28</f>
        <v>2.75</v>
      </c>
      <c r="Y13" s="129">
        <f>Assumptions!Y28</f>
        <v>2.75</v>
      </c>
      <c r="Z13" s="129">
        <f>Assumptions!Z28</f>
        <v>2.75</v>
      </c>
      <c r="AA13" s="129">
        <f>Assumptions!AA28</f>
        <v>2.75</v>
      </c>
      <c r="AB13" s="129">
        <f>Assumptions!AB28</f>
        <v>2.75</v>
      </c>
      <c r="AC13" s="129">
        <f>Assumptions!AC28</f>
        <v>2.75</v>
      </c>
      <c r="AD13" s="129">
        <f>Assumptions!AD28</f>
        <v>2.75</v>
      </c>
    </row>
    <row r="15" spans="1:30" x14ac:dyDescent="0.25">
      <c r="A15" s="113" t="s">
        <v>146</v>
      </c>
    </row>
    <row r="16" spans="1:30" x14ac:dyDescent="0.25">
      <c r="A16" s="2" t="s">
        <v>231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2" x14ac:dyDescent="0.25">
      <c r="A17" s="150" t="s">
        <v>229</v>
      </c>
      <c r="B17" s="2"/>
      <c r="C17" s="2"/>
      <c r="D17" s="2"/>
      <c r="E17" s="2"/>
      <c r="F17" s="2"/>
      <c r="G17" s="2"/>
      <c r="H17" s="2"/>
      <c r="I17" s="2"/>
      <c r="J17" s="97"/>
      <c r="K17" s="97"/>
      <c r="L17" s="97"/>
      <c r="M17" s="97">
        <f t="shared" ref="M17:AB17" si="2">(M11*M13)/(10^7)</f>
        <v>6.5877284880000007</v>
      </c>
      <c r="N17" s="97">
        <f t="shared" si="2"/>
        <v>6.6057770592000011</v>
      </c>
      <c r="O17" s="97">
        <f t="shared" si="2"/>
        <v>6.5877284880000007</v>
      </c>
      <c r="P17" s="97">
        <f t="shared" si="2"/>
        <v>6.5877284880000007</v>
      </c>
      <c r="Q17" s="97">
        <f t="shared" si="2"/>
        <v>6.5877284880000007</v>
      </c>
      <c r="R17" s="97">
        <f t="shared" si="2"/>
        <v>6.6057770592000011</v>
      </c>
      <c r="S17" s="97">
        <f t="shared" si="2"/>
        <v>3.1782900600000001</v>
      </c>
      <c r="T17" s="97">
        <f t="shared" si="2"/>
        <v>3.1782900600000001</v>
      </c>
      <c r="U17" s="97">
        <f t="shared" si="2"/>
        <v>3.1782900600000001</v>
      </c>
      <c r="V17" s="97">
        <f t="shared" si="2"/>
        <v>3.1869977040000004</v>
      </c>
      <c r="W17" s="97">
        <f t="shared" si="2"/>
        <v>3.1782900600000001</v>
      </c>
      <c r="X17" s="97">
        <f t="shared" si="2"/>
        <v>3.1782900600000001</v>
      </c>
      <c r="Y17" s="97">
        <f t="shared" si="2"/>
        <v>3.1782900600000001</v>
      </c>
      <c r="Z17" s="97">
        <f t="shared" si="2"/>
        <v>3.1869977040000004</v>
      </c>
      <c r="AA17" s="97">
        <f t="shared" si="2"/>
        <v>3.1782900600000001</v>
      </c>
      <c r="AB17" s="97">
        <f t="shared" si="2"/>
        <v>3.1782900600000001</v>
      </c>
      <c r="AC17" s="97">
        <f t="shared" ref="AC17:AD17" si="3">(AC11*AC13)/(10^7)</f>
        <v>3.1782900600000001</v>
      </c>
      <c r="AD17" s="97">
        <f t="shared" si="3"/>
        <v>3.1869977040000004</v>
      </c>
    </row>
    <row r="18" spans="1:32" ht="15.75" thickBot="1" x14ac:dyDescent="0.3">
      <c r="A18" s="150" t="s">
        <v>230</v>
      </c>
      <c r="B18" s="2"/>
      <c r="C18" s="2"/>
      <c r="D18" s="2"/>
      <c r="E18" s="2"/>
      <c r="F18" s="2"/>
      <c r="G18" s="2"/>
      <c r="H18" s="2"/>
      <c r="I18" s="2"/>
      <c r="J18" s="195"/>
      <c r="K18" s="195"/>
      <c r="L18" s="195"/>
      <c r="M18" s="195">
        <f>(M11*Assumptions!$C$30)/(10^7)</f>
        <v>0.57787092000000007</v>
      </c>
      <c r="N18" s="195">
        <f>(N11*Assumptions!$C$30)/(10^7)</f>
        <v>0.57945412800000007</v>
      </c>
      <c r="O18" s="195">
        <f>(O11*Assumptions!$C$30)/(10^7)</f>
        <v>0.57787092000000007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</row>
    <row r="19" spans="1:32" x14ac:dyDescent="0.25">
      <c r="A19" s="150"/>
      <c r="B19" s="2"/>
      <c r="C19" s="2"/>
      <c r="D19" s="2"/>
      <c r="E19" s="2"/>
      <c r="F19" s="2"/>
      <c r="G19" s="2"/>
      <c r="H19" s="2"/>
      <c r="I19" s="2"/>
      <c r="J19" s="196"/>
      <c r="K19" s="196"/>
      <c r="L19" s="196"/>
      <c r="M19" s="197">
        <f t="shared" ref="M19:AD19" si="4">SUM(M17:M18)</f>
        <v>7.1655994080000003</v>
      </c>
      <c r="N19" s="197">
        <f t="shared" si="4"/>
        <v>7.1852311872000012</v>
      </c>
      <c r="O19" s="197">
        <f t="shared" si="4"/>
        <v>7.1655994080000003</v>
      </c>
      <c r="P19" s="197">
        <f t="shared" si="4"/>
        <v>6.5877284880000007</v>
      </c>
      <c r="Q19" s="197">
        <f t="shared" si="4"/>
        <v>6.5877284880000007</v>
      </c>
      <c r="R19" s="197">
        <f t="shared" si="4"/>
        <v>6.6057770592000011</v>
      </c>
      <c r="S19" s="197">
        <f t="shared" si="4"/>
        <v>3.1782900600000001</v>
      </c>
      <c r="T19" s="197">
        <f t="shared" si="4"/>
        <v>3.1782900600000001</v>
      </c>
      <c r="U19" s="197">
        <f t="shared" si="4"/>
        <v>3.1782900600000001</v>
      </c>
      <c r="V19" s="197">
        <f t="shared" si="4"/>
        <v>3.1869977040000004</v>
      </c>
      <c r="W19" s="197">
        <f t="shared" si="4"/>
        <v>3.1782900600000001</v>
      </c>
      <c r="X19" s="197">
        <f t="shared" si="4"/>
        <v>3.1782900600000001</v>
      </c>
      <c r="Y19" s="197">
        <f t="shared" si="4"/>
        <v>3.1782900600000001</v>
      </c>
      <c r="Z19" s="197">
        <f t="shared" si="4"/>
        <v>3.1869977040000004</v>
      </c>
      <c r="AA19" s="197">
        <f t="shared" si="4"/>
        <v>3.1782900600000001</v>
      </c>
      <c r="AB19" s="197">
        <f t="shared" si="4"/>
        <v>3.1782900600000001</v>
      </c>
      <c r="AC19" s="197">
        <f t="shared" si="4"/>
        <v>3.1782900600000001</v>
      </c>
      <c r="AD19" s="197">
        <f t="shared" si="4"/>
        <v>3.1869977040000004</v>
      </c>
    </row>
    <row r="20" spans="1:32" x14ac:dyDescent="0.25">
      <c r="A20" s="194" t="s">
        <v>232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2" x14ac:dyDescent="0.25">
      <c r="A21" s="150" t="s">
        <v>150</v>
      </c>
      <c r="B21" s="2"/>
      <c r="C21" s="2"/>
      <c r="D21" s="2"/>
      <c r="E21" s="2"/>
      <c r="F21" s="2"/>
      <c r="G21" s="2"/>
      <c r="H21" s="2"/>
      <c r="I21" s="2"/>
      <c r="J21" s="151"/>
      <c r="K21" s="151"/>
      <c r="L21" s="151"/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97">
        <f>Assumptions!C65</f>
        <v>2.8249002589179382</v>
      </c>
    </row>
    <row r="22" spans="1:32" x14ac:dyDescent="0.25">
      <c r="A22" s="103" t="s">
        <v>151</v>
      </c>
      <c r="B22" s="2"/>
      <c r="C22" s="2"/>
      <c r="D22" s="2"/>
      <c r="E22" s="2"/>
      <c r="F22" s="2"/>
      <c r="G22" s="2"/>
      <c r="H22" s="2"/>
      <c r="I22" s="2"/>
      <c r="J22" s="129"/>
      <c r="K22" s="129"/>
      <c r="L22" s="129"/>
      <c r="M22" s="129">
        <f t="shared" ref="M22:AD22" si="5">SUM(M19:M21)</f>
        <v>7.1655994080000003</v>
      </c>
      <c r="N22" s="129">
        <f t="shared" si="5"/>
        <v>7.1852311872000012</v>
      </c>
      <c r="O22" s="129">
        <f t="shared" si="5"/>
        <v>7.1655994080000003</v>
      </c>
      <c r="P22" s="129">
        <f t="shared" si="5"/>
        <v>6.5877284880000007</v>
      </c>
      <c r="Q22" s="129">
        <f t="shared" si="5"/>
        <v>6.5877284880000007</v>
      </c>
      <c r="R22" s="129">
        <f t="shared" si="5"/>
        <v>6.6057770592000011</v>
      </c>
      <c r="S22" s="129">
        <f t="shared" si="5"/>
        <v>3.1782900600000001</v>
      </c>
      <c r="T22" s="129">
        <f t="shared" si="5"/>
        <v>3.1782900600000001</v>
      </c>
      <c r="U22" s="129">
        <f t="shared" si="5"/>
        <v>3.1782900600000001</v>
      </c>
      <c r="V22" s="129">
        <f t="shared" si="5"/>
        <v>3.1869977040000004</v>
      </c>
      <c r="W22" s="129">
        <f t="shared" si="5"/>
        <v>3.1782900600000001</v>
      </c>
      <c r="X22" s="129">
        <f t="shared" si="5"/>
        <v>3.1782900600000001</v>
      </c>
      <c r="Y22" s="129">
        <f t="shared" si="5"/>
        <v>3.1782900600000001</v>
      </c>
      <c r="Z22" s="129">
        <f t="shared" si="5"/>
        <v>3.1869977040000004</v>
      </c>
      <c r="AA22" s="129">
        <f t="shared" si="5"/>
        <v>3.1782900600000001</v>
      </c>
      <c r="AB22" s="129">
        <f t="shared" si="5"/>
        <v>3.1782900600000001</v>
      </c>
      <c r="AC22" s="129">
        <f t="shared" si="5"/>
        <v>3.1782900600000001</v>
      </c>
      <c r="AD22" s="129">
        <f t="shared" si="5"/>
        <v>6.0118979629179385</v>
      </c>
    </row>
    <row r="23" spans="1:32" x14ac:dyDescent="0.25">
      <c r="A23" s="55" t="s">
        <v>152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2" x14ac:dyDescent="0.25">
      <c r="A24" s="2" t="s">
        <v>153</v>
      </c>
      <c r="B24" s="2"/>
      <c r="C24" s="2"/>
      <c r="D24" s="2"/>
      <c r="E24" s="2"/>
      <c r="F24" s="2"/>
      <c r="G24" s="2"/>
      <c r="H24" s="2"/>
      <c r="I24" s="2"/>
      <c r="J24" s="97"/>
      <c r="K24" s="97"/>
      <c r="L24" s="97"/>
      <c r="M24" s="97">
        <f>Assumptions!C56*(1+Assumptions!$C$57)</f>
        <v>0.87303300000000017</v>
      </c>
      <c r="N24" s="97">
        <f>M24*(1+Assumptions!$C$57)</f>
        <v>0.91668465000000021</v>
      </c>
      <c r="O24" s="97">
        <f>N24*(1+Assumptions!$C$57)</f>
        <v>0.96251888250000028</v>
      </c>
      <c r="P24" s="97">
        <f>O24*(1+Assumptions!$C$57)</f>
        <v>1.0106448266250003</v>
      </c>
      <c r="Q24" s="97">
        <f>P24*(1+Assumptions!$C$57)</f>
        <v>1.0611770679562504</v>
      </c>
      <c r="R24" s="97">
        <f>Q24*(1+Assumptions!$C$57)</f>
        <v>1.1142359213540629</v>
      </c>
      <c r="S24" s="97">
        <f>R24*(1+Assumptions!$C$57)</f>
        <v>1.1699477174217661</v>
      </c>
      <c r="T24" s="97">
        <f>S24*(1+Assumptions!$C$57)</f>
        <v>1.2284451032928545</v>
      </c>
      <c r="U24" s="97">
        <f>T24*(1+Assumptions!$C$57)</f>
        <v>1.2898673584574973</v>
      </c>
      <c r="V24" s="97">
        <f>U24*(1+Assumptions!$C$57)</f>
        <v>1.3543607263803723</v>
      </c>
      <c r="W24" s="97">
        <f>V24*(1+Assumptions!$C$57)</f>
        <v>1.4220787626993909</v>
      </c>
      <c r="X24" s="97">
        <f>W24*(1+Assumptions!$C$57)</f>
        <v>1.4931827008343606</v>
      </c>
      <c r="Y24" s="97">
        <f>X24*(1+Assumptions!$C$57)</f>
        <v>1.5678418358760786</v>
      </c>
      <c r="Z24" s="97">
        <f>Y24*(1+Assumptions!$C$57)</f>
        <v>1.6462339276698825</v>
      </c>
      <c r="AA24" s="97">
        <f>Z24*(1+Assumptions!$C$57)</f>
        <v>1.7285456240533768</v>
      </c>
      <c r="AB24" s="97">
        <f>AA24*(1+Assumptions!$C$57)</f>
        <v>1.8149729052560457</v>
      </c>
      <c r="AC24" s="97">
        <f>AB24*(1+Assumptions!$C$57)</f>
        <v>1.9057215505188481</v>
      </c>
      <c r="AD24" s="97">
        <f>AC24*(1+Assumptions!$C$57)</f>
        <v>2.0010076280447904</v>
      </c>
    </row>
    <row r="25" spans="1:32" ht="15.75" thickBot="1" x14ac:dyDescent="0.3">
      <c r="A25" s="2" t="s">
        <v>154</v>
      </c>
      <c r="B25" s="2"/>
      <c r="C25" s="2"/>
      <c r="D25" s="2"/>
      <c r="E25" s="2"/>
      <c r="F25" s="2"/>
      <c r="G25" s="2"/>
      <c r="H25" s="2"/>
      <c r="I25" s="2"/>
      <c r="J25" s="195"/>
      <c r="K25" s="195"/>
      <c r="L25" s="195"/>
      <c r="M25" s="195">
        <f>Assumptions!C59*(1+Assumptions!$C$60)</f>
        <v>0.63</v>
      </c>
      <c r="N25" s="195">
        <f>M25*(1+Assumptions!$C$60)</f>
        <v>0.66150000000000009</v>
      </c>
      <c r="O25" s="195">
        <f>N25*(1+Assumptions!$C$60)</f>
        <v>0.69457500000000016</v>
      </c>
      <c r="P25" s="195">
        <f>O25*(1+Assumptions!$C$60)</f>
        <v>0.72930375000000025</v>
      </c>
      <c r="Q25" s="195">
        <f>P25*(1+Assumptions!$C$60)</f>
        <v>0.7657689375000003</v>
      </c>
      <c r="R25" s="195">
        <f>Q25*(1+Assumptions!$C$60)</f>
        <v>0.80405738437500041</v>
      </c>
      <c r="S25" s="195">
        <f>R25*(1+Assumptions!$C$60)</f>
        <v>0.84426025359375045</v>
      </c>
      <c r="T25" s="195">
        <f>S25*(1+Assumptions!$C$60)</f>
        <v>0.88647326627343803</v>
      </c>
      <c r="U25" s="195">
        <f>T25*(1+Assumptions!$C$60)</f>
        <v>0.93079692958711002</v>
      </c>
      <c r="V25" s="195">
        <f>U25*(1+Assumptions!$C$60)</f>
        <v>0.97733677606646552</v>
      </c>
      <c r="W25" s="195">
        <f>V25*(1+Assumptions!$C$60)</f>
        <v>1.0262036148697888</v>
      </c>
      <c r="X25" s="195">
        <f>W25*(1+Assumptions!$C$60)</f>
        <v>1.0775137956132783</v>
      </c>
      <c r="Y25" s="195">
        <f>X25*(1+Assumptions!$C$60)</f>
        <v>1.1313894853939424</v>
      </c>
      <c r="Z25" s="195">
        <f>Y25*(1+Assumptions!$C$60)</f>
        <v>1.1879589596636395</v>
      </c>
      <c r="AA25" s="195">
        <f>Z25*(1+Assumptions!$C$60)</f>
        <v>1.2473569076468216</v>
      </c>
      <c r="AB25" s="195">
        <f>AA25*(1+Assumptions!$C$60)</f>
        <v>1.3097247530291627</v>
      </c>
      <c r="AC25" s="195">
        <f>AB25*(1+Assumptions!$C$60)</f>
        <v>1.3752109906806209</v>
      </c>
      <c r="AD25" s="195">
        <f>AC25*(1+Assumptions!$C$60)</f>
        <v>1.443971540214652</v>
      </c>
    </row>
    <row r="26" spans="1:32" x14ac:dyDescent="0.25">
      <c r="A26" s="55" t="s">
        <v>155</v>
      </c>
      <c r="B26" s="2"/>
      <c r="C26" s="2"/>
      <c r="D26" s="2"/>
      <c r="E26" s="2"/>
      <c r="F26" s="2"/>
      <c r="G26" s="2"/>
      <c r="H26" s="2"/>
      <c r="I26" s="2"/>
      <c r="J26" s="197"/>
      <c r="K26" s="197"/>
      <c r="L26" s="197"/>
      <c r="M26" s="197">
        <f t="shared" ref="M26:AD26" si="6">SUM(M24:M25)</f>
        <v>1.5030330000000003</v>
      </c>
      <c r="N26" s="197">
        <f t="shared" si="6"/>
        <v>1.5781846500000003</v>
      </c>
      <c r="O26" s="197">
        <f t="shared" si="6"/>
        <v>1.6570938825000003</v>
      </c>
      <c r="P26" s="197">
        <f t="shared" si="6"/>
        <v>1.7399485766250007</v>
      </c>
      <c r="Q26" s="197">
        <f t="shared" si="6"/>
        <v>1.8269460054562507</v>
      </c>
      <c r="R26" s="197">
        <f t="shared" si="6"/>
        <v>1.9182933057290632</v>
      </c>
      <c r="S26" s="197">
        <f t="shared" si="6"/>
        <v>2.0142079710155167</v>
      </c>
      <c r="T26" s="197">
        <f t="shared" si="6"/>
        <v>2.1149183695662925</v>
      </c>
      <c r="U26" s="197">
        <f t="shared" si="6"/>
        <v>2.2206642880446075</v>
      </c>
      <c r="V26" s="197">
        <f t="shared" si="6"/>
        <v>2.331697502446838</v>
      </c>
      <c r="W26" s="197">
        <f t="shared" si="6"/>
        <v>2.4482823775691798</v>
      </c>
      <c r="X26" s="197">
        <f t="shared" si="6"/>
        <v>2.5706964964476389</v>
      </c>
      <c r="Y26" s="197">
        <f t="shared" si="6"/>
        <v>2.699231321270021</v>
      </c>
      <c r="Z26" s="197">
        <f t="shared" si="6"/>
        <v>2.834192887333522</v>
      </c>
      <c r="AA26" s="197">
        <f t="shared" si="6"/>
        <v>2.9759025317001981</v>
      </c>
      <c r="AB26" s="197">
        <f t="shared" si="6"/>
        <v>3.1246976582852084</v>
      </c>
      <c r="AC26" s="197">
        <f t="shared" si="6"/>
        <v>3.2809325411994692</v>
      </c>
      <c r="AD26" s="197">
        <f t="shared" si="6"/>
        <v>3.4449791682594424</v>
      </c>
    </row>
    <row r="27" spans="1:32" x14ac:dyDescent="0.25">
      <c r="A27" s="103" t="s">
        <v>156</v>
      </c>
      <c r="B27" s="55"/>
      <c r="C27" s="55"/>
      <c r="D27" s="55"/>
      <c r="E27" s="55"/>
      <c r="F27" s="55"/>
      <c r="G27" s="55"/>
      <c r="H27" s="55"/>
      <c r="I27" s="55"/>
      <c r="J27" s="129"/>
      <c r="K27" s="129"/>
      <c r="L27" s="129"/>
      <c r="M27" s="129">
        <f>M22-M26</f>
        <v>5.662566408</v>
      </c>
      <c r="N27" s="129">
        <f>N22-N26</f>
        <v>5.6070465372000005</v>
      </c>
      <c r="O27" s="129">
        <f>O22-O26</f>
        <v>5.5085055255000004</v>
      </c>
      <c r="P27" s="129">
        <f>P22-P26</f>
        <v>4.8477799113749995</v>
      </c>
      <c r="Q27" s="129">
        <f>Q22-Q26</f>
        <v>4.7607824825437497</v>
      </c>
      <c r="R27" s="129">
        <f>R22-R26</f>
        <v>4.6874837534709375</v>
      </c>
      <c r="S27" s="129">
        <f>S22-S26</f>
        <v>1.1640820889844834</v>
      </c>
      <c r="T27" s="129">
        <f>T22-T26</f>
        <v>1.0633716904337076</v>
      </c>
      <c r="U27" s="129">
        <f>U22-U26</f>
        <v>0.95762577195539267</v>
      </c>
      <c r="V27" s="129">
        <f>V22-V26</f>
        <v>0.85530020155316233</v>
      </c>
      <c r="W27" s="129">
        <f>W22-W26</f>
        <v>0.73000768243082037</v>
      </c>
      <c r="X27" s="129">
        <f>X22-X26</f>
        <v>0.60759356355236127</v>
      </c>
      <c r="Y27" s="129">
        <f>Y22-Y26</f>
        <v>0.47905873872997917</v>
      </c>
      <c r="Z27" s="129">
        <f>Z22-Z26</f>
        <v>0.35280481666647834</v>
      </c>
      <c r="AA27" s="129">
        <f>AA22-AA26</f>
        <v>0.202387528299802</v>
      </c>
      <c r="AB27" s="129">
        <f>AB22-AB26</f>
        <v>5.3592401714791738E-2</v>
      </c>
      <c r="AC27" s="129">
        <f>AC22-AC26</f>
        <v>-0.10264248119946906</v>
      </c>
      <c r="AD27" s="129">
        <f>AD22-AD26</f>
        <v>2.5669187946584962</v>
      </c>
    </row>
    <row r="28" spans="1:32" x14ac:dyDescent="0.25">
      <c r="A28" s="152" t="s">
        <v>157</v>
      </c>
      <c r="B28" s="55"/>
      <c r="C28" s="55"/>
      <c r="D28" s="55"/>
      <c r="E28" s="55"/>
      <c r="F28" s="55"/>
      <c r="G28" s="55"/>
      <c r="H28" s="55"/>
      <c r="I28" s="55"/>
      <c r="J28" s="153"/>
      <c r="K28" s="153"/>
      <c r="L28" s="153"/>
      <c r="M28" s="153">
        <f t="shared" ref="M28:AB28" si="7">M27/M$22</f>
        <v>0.79024322817684367</v>
      </c>
      <c r="N28" s="153">
        <f t="shared" si="7"/>
        <v>0.78035715081632595</v>
      </c>
      <c r="O28" s="153">
        <f t="shared" si="7"/>
        <v>0.76874315906497015</v>
      </c>
      <c r="P28" s="153">
        <f t="shared" si="7"/>
        <v>0.73588034482683418</v>
      </c>
      <c r="Q28" s="153">
        <f t="shared" si="7"/>
        <v>0.72267436206817592</v>
      </c>
      <c r="R28" s="153">
        <f t="shared" si="7"/>
        <v>0.70960368650991379</v>
      </c>
      <c r="S28" s="153">
        <f t="shared" si="7"/>
        <v>0.36626049448252163</v>
      </c>
      <c r="T28" s="153">
        <f t="shared" si="7"/>
        <v>0.33457351920664774</v>
      </c>
      <c r="U28" s="153">
        <f t="shared" si="7"/>
        <v>0.30130219516698004</v>
      </c>
      <c r="V28" s="153">
        <f t="shared" si="7"/>
        <v>0.26837176584083355</v>
      </c>
      <c r="W28" s="153">
        <f t="shared" si="7"/>
        <v>0.22968567017159547</v>
      </c>
      <c r="X28" s="153">
        <f t="shared" si="7"/>
        <v>0.1911699536801752</v>
      </c>
      <c r="Y28" s="153">
        <f t="shared" si="7"/>
        <v>0.15072845136418392</v>
      </c>
      <c r="Z28" s="153">
        <f t="shared" si="7"/>
        <v>0.11070130870306968</v>
      </c>
      <c r="AA28" s="153">
        <f t="shared" si="7"/>
        <v>6.3678117629012751E-2</v>
      </c>
      <c r="AB28" s="153">
        <f t="shared" si="7"/>
        <v>1.6862023510463276E-2</v>
      </c>
      <c r="AC28" s="153">
        <f t="shared" ref="AC28:AD28" si="8">AC27/AC$22</f>
        <v>-3.2294875314013677E-2</v>
      </c>
      <c r="AD28" s="153">
        <f t="shared" si="8"/>
        <v>0.42697311406340216</v>
      </c>
    </row>
    <row r="29" spans="1:32" x14ac:dyDescent="0.25">
      <c r="A29" s="2" t="s">
        <v>158</v>
      </c>
      <c r="B29" s="2"/>
      <c r="C29" s="2"/>
      <c r="D29" s="2"/>
      <c r="E29" s="2"/>
      <c r="F29" s="2"/>
      <c r="G29" s="2"/>
      <c r="H29" s="2"/>
      <c r="I29" s="2"/>
      <c r="J29" s="97"/>
      <c r="K29" s="97"/>
      <c r="L29" s="97"/>
      <c r="M29" s="97">
        <f>'Depreciation Schedule'!H75</f>
        <v>2.1375086363636364</v>
      </c>
      <c r="N29" s="97">
        <f>'Depreciation Schedule'!I75</f>
        <v>2.1375086363636364</v>
      </c>
      <c r="O29" s="97">
        <f>'Depreciation Schedule'!J75</f>
        <v>2.1375086363636364</v>
      </c>
      <c r="P29" s="97">
        <f>'Depreciation Schedule'!K75</f>
        <v>2.1375086363636364</v>
      </c>
      <c r="Q29" s="97">
        <f>'Depreciation Schedule'!L75</f>
        <v>2.1375086363636364</v>
      </c>
      <c r="R29" s="97">
        <f>'Depreciation Schedule'!M75</f>
        <v>2.1375086363636364</v>
      </c>
      <c r="S29" s="97">
        <f>'Depreciation Schedule'!N75</f>
        <v>2.1375086363636364</v>
      </c>
      <c r="T29" s="97">
        <f>'Depreciation Schedule'!O75</f>
        <v>2.1375086363636364</v>
      </c>
      <c r="U29" s="97">
        <f>'Depreciation Schedule'!P75</f>
        <v>2.1375086363636364</v>
      </c>
      <c r="V29" s="97">
        <f>'Depreciation Schedule'!Q75</f>
        <v>2.1375086363636364</v>
      </c>
      <c r="W29" s="97">
        <f>'Depreciation Schedule'!R75</f>
        <v>2.1375086363636364</v>
      </c>
      <c r="X29" s="97">
        <f>'Depreciation Schedule'!S75</f>
        <v>2.1375086363636364</v>
      </c>
      <c r="Y29" s="97">
        <f>'Depreciation Schedule'!T75</f>
        <v>2.1375086363636364</v>
      </c>
      <c r="Z29" s="97">
        <f>'Depreciation Schedule'!U75</f>
        <v>2.1375086363636364</v>
      </c>
      <c r="AA29" s="97">
        <f>'Depreciation Schedule'!V75</f>
        <v>2.1375086363636364</v>
      </c>
      <c r="AB29" s="97">
        <f>'Depreciation Schedule'!W75</f>
        <v>2.1375086363636364</v>
      </c>
      <c r="AC29" s="97">
        <f>'Depreciation Schedule'!X75</f>
        <v>2.1375086363636364</v>
      </c>
      <c r="AD29" s="97">
        <f>'Depreciation Schedule'!Y75</f>
        <v>0</v>
      </c>
    </row>
    <row r="30" spans="1:32" x14ac:dyDescent="0.25">
      <c r="A30" s="103" t="s">
        <v>159</v>
      </c>
      <c r="B30" s="2"/>
      <c r="C30" s="2"/>
      <c r="D30" s="2"/>
      <c r="E30" s="2"/>
      <c r="F30" s="2"/>
      <c r="G30" s="2"/>
      <c r="H30" s="2"/>
      <c r="I30" s="2"/>
      <c r="J30" s="129"/>
      <c r="K30" s="129"/>
      <c r="L30" s="129"/>
      <c r="M30" s="129">
        <f>M27-M29</f>
        <v>3.5250577716363636</v>
      </c>
      <c r="N30" s="129">
        <f>N27-N29</f>
        <v>3.469537900836364</v>
      </c>
      <c r="O30" s="129">
        <f>O27-O29</f>
        <v>3.370996889136364</v>
      </c>
      <c r="P30" s="129">
        <f>P27-P29</f>
        <v>2.7102712750113631</v>
      </c>
      <c r="Q30" s="129">
        <f>Q27-Q29</f>
        <v>2.6232738461801133</v>
      </c>
      <c r="R30" s="129">
        <f>R27-R29</f>
        <v>2.5499751171073011</v>
      </c>
      <c r="S30" s="129">
        <f>S27-S29</f>
        <v>-0.97342654737915302</v>
      </c>
      <c r="T30" s="129">
        <f>T27-T29</f>
        <v>-1.0741369459299288</v>
      </c>
      <c r="U30" s="129">
        <f>U27-U29</f>
        <v>-1.1798828644082437</v>
      </c>
      <c r="V30" s="129">
        <f>V27-V29</f>
        <v>-1.2822084348104741</v>
      </c>
      <c r="W30" s="129">
        <f>W27-W29</f>
        <v>-1.407500953932816</v>
      </c>
      <c r="X30" s="129">
        <f>X27-X29</f>
        <v>-1.5299150728112751</v>
      </c>
      <c r="Y30" s="129">
        <f>Y27-Y29</f>
        <v>-1.6584498976336572</v>
      </c>
      <c r="Z30" s="129">
        <f>Z27-Z29</f>
        <v>-1.7847038196971581</v>
      </c>
      <c r="AA30" s="129">
        <f>AA27-AA29</f>
        <v>-1.9351211080638344</v>
      </c>
      <c r="AB30" s="129">
        <f>AB27-AB29</f>
        <v>-2.0839162346488447</v>
      </c>
      <c r="AC30" s="129">
        <f>AC27-AC29</f>
        <v>-2.2401511175631055</v>
      </c>
      <c r="AD30" s="129">
        <f>AD27-AD29</f>
        <v>2.5669187946584962</v>
      </c>
    </row>
    <row r="31" spans="1:32" x14ac:dyDescent="0.25">
      <c r="A31" s="152" t="s">
        <v>160</v>
      </c>
      <c r="B31" s="2"/>
      <c r="C31" s="2"/>
      <c r="D31" s="2"/>
      <c r="E31" s="2"/>
      <c r="F31" s="2"/>
      <c r="G31" s="2"/>
      <c r="H31" s="2"/>
      <c r="I31" s="2"/>
      <c r="J31" s="153"/>
      <c r="K31" s="153"/>
      <c r="L31" s="153"/>
      <c r="M31" s="153">
        <f t="shared" ref="M31:AB31" si="9">M30/M$22</f>
        <v>0.49194178615411144</v>
      </c>
      <c r="N31" s="153">
        <f t="shared" si="9"/>
        <v>0.48287074005595099</v>
      </c>
      <c r="O31" s="153">
        <f t="shared" si="9"/>
        <v>0.47044171704223797</v>
      </c>
      <c r="P31" s="153">
        <f t="shared" si="9"/>
        <v>0.41141210964421321</v>
      </c>
      <c r="Q31" s="153">
        <f t="shared" si="9"/>
        <v>0.39820612688555496</v>
      </c>
      <c r="R31" s="153">
        <f t="shared" si="9"/>
        <v>0.38602197656003218</v>
      </c>
      <c r="S31" s="153">
        <f t="shared" si="9"/>
        <v>-0.30627366571418374</v>
      </c>
      <c r="T31" s="153">
        <f t="shared" si="9"/>
        <v>-0.33796064099005763</v>
      </c>
      <c r="U31" s="153">
        <f t="shared" si="9"/>
        <v>-0.37123196502972533</v>
      </c>
      <c r="V31" s="153">
        <f t="shared" si="9"/>
        <v>-0.40232486932801187</v>
      </c>
      <c r="W31" s="153">
        <f t="shared" si="9"/>
        <v>-0.4428484900251099</v>
      </c>
      <c r="X31" s="153">
        <f t="shared" si="9"/>
        <v>-0.48136420651653017</v>
      </c>
      <c r="Y31" s="153">
        <f t="shared" si="9"/>
        <v>-0.52180570883252142</v>
      </c>
      <c r="Z31" s="153">
        <f t="shared" si="9"/>
        <v>-0.55999532646577577</v>
      </c>
      <c r="AA31" s="153">
        <f t="shared" si="9"/>
        <v>-0.60885604256769266</v>
      </c>
      <c r="AB31" s="153">
        <f t="shared" si="9"/>
        <v>-0.65567213668624214</v>
      </c>
      <c r="AC31" s="153">
        <f t="shared" ref="AC31:AD31" si="10">AC30/AC$22</f>
        <v>-0.70482903551071907</v>
      </c>
      <c r="AD31" s="153">
        <f t="shared" si="10"/>
        <v>0.42697311406340216</v>
      </c>
    </row>
    <row r="32" spans="1:32" x14ac:dyDescent="0.25">
      <c r="A32" s="2" t="s">
        <v>104</v>
      </c>
      <c r="B32" s="2"/>
      <c r="C32" s="2"/>
      <c r="D32" s="2"/>
      <c r="E32" s="2"/>
      <c r="F32" s="2"/>
      <c r="G32" s="2"/>
      <c r="H32" s="2"/>
      <c r="I32" s="2"/>
      <c r="J32" s="151"/>
      <c r="K32" s="151"/>
      <c r="L32" s="151"/>
      <c r="M32" s="151">
        <f>'Debt Sch'!E29</f>
        <v>10.2615702</v>
      </c>
      <c r="N32" s="151">
        <f>'Debt Sch'!F29</f>
        <v>8.2947582433333338</v>
      </c>
      <c r="O32" s="151">
        <f>'Debt Sch'!G29</f>
        <v>6.3279462866666663</v>
      </c>
      <c r="P32" s="151">
        <f>'Debt Sch'!H29</f>
        <v>4.3611343300000005</v>
      </c>
      <c r="Q32" s="151">
        <f>'Debt Sch'!I29</f>
        <v>2.3943223733333339</v>
      </c>
      <c r="R32" s="151">
        <f>'Debt Sch'!J29</f>
        <v>0.427510416666667</v>
      </c>
      <c r="S32" s="151">
        <f>'Debt Sch'!K29</f>
        <v>0</v>
      </c>
      <c r="T32" s="151">
        <f>'Debt Sch'!L29</f>
        <v>0</v>
      </c>
      <c r="U32" s="151">
        <f>'Debt Sch'!M29</f>
        <v>0</v>
      </c>
      <c r="V32" s="151">
        <f>'Debt Sch'!N29</f>
        <v>0</v>
      </c>
      <c r="W32" s="151">
        <f>'Debt Sch'!O29</f>
        <v>0</v>
      </c>
      <c r="X32" s="151">
        <f>'Debt Sch'!P29</f>
        <v>0</v>
      </c>
      <c r="Y32" s="151">
        <f>'Debt Sch'!Q29</f>
        <v>0</v>
      </c>
      <c r="Z32" s="151">
        <f>'Debt Sch'!R29</f>
        <v>0</v>
      </c>
      <c r="AA32" s="151">
        <f>'Debt Sch'!S29</f>
        <v>0</v>
      </c>
      <c r="AB32" s="151">
        <f>'Debt Sch'!T29</f>
        <v>0</v>
      </c>
      <c r="AC32" s="151">
        <f>'Debt Sch'!U29</f>
        <v>0</v>
      </c>
      <c r="AD32" s="151">
        <f>'Debt Sch'!V29</f>
        <v>0</v>
      </c>
    </row>
    <row r="33" spans="1:30" x14ac:dyDescent="0.25">
      <c r="A33" s="103" t="s">
        <v>161</v>
      </c>
      <c r="B33" s="55"/>
      <c r="C33" s="55"/>
      <c r="D33" s="55"/>
      <c r="E33" s="55"/>
      <c r="F33" s="55"/>
      <c r="G33" s="55"/>
      <c r="H33" s="55">
        <v>-5.3009000000000004</v>
      </c>
      <c r="I33" s="206">
        <v>-3.2505999999999999</v>
      </c>
      <c r="J33" s="154"/>
      <c r="K33" s="154"/>
      <c r="L33" s="154"/>
      <c r="M33" s="154">
        <f>M30-M32</f>
        <v>-6.7365124283636355</v>
      </c>
      <c r="N33" s="154">
        <f>N30-N32</f>
        <v>-4.8252203424969693</v>
      </c>
      <c r="O33" s="154">
        <f>O30-O32</f>
        <v>-2.9569493975303023</v>
      </c>
      <c r="P33" s="154">
        <f>P30-P32</f>
        <v>-1.6508630549886374</v>
      </c>
      <c r="Q33" s="154">
        <f>Q30-Q32</f>
        <v>0.22895147284677941</v>
      </c>
      <c r="R33" s="154">
        <f>R30-R32</f>
        <v>2.1224647004406343</v>
      </c>
      <c r="S33" s="154">
        <f>S30-S32</f>
        <v>-0.97342654737915302</v>
      </c>
      <c r="T33" s="154">
        <f>T30-T32</f>
        <v>-1.0741369459299288</v>
      </c>
      <c r="U33" s="154">
        <f>U30-U32</f>
        <v>-1.1798828644082437</v>
      </c>
      <c r="V33" s="154">
        <f>V30-V32</f>
        <v>-1.2822084348104741</v>
      </c>
      <c r="W33" s="154">
        <f>W30-W32</f>
        <v>-1.407500953932816</v>
      </c>
      <c r="X33" s="154">
        <f>X30-X32</f>
        <v>-1.5299150728112751</v>
      </c>
      <c r="Y33" s="154">
        <f>Y30-Y32</f>
        <v>-1.6584498976336572</v>
      </c>
      <c r="Z33" s="154">
        <f>Z30-Z32</f>
        <v>-1.7847038196971581</v>
      </c>
      <c r="AA33" s="154">
        <f>AA30-AA32</f>
        <v>-1.9351211080638344</v>
      </c>
      <c r="AB33" s="154">
        <f>AB30-AB32</f>
        <v>-2.0839162346488447</v>
      </c>
      <c r="AC33" s="154">
        <f>AC30-AC32</f>
        <v>-2.2401511175631055</v>
      </c>
      <c r="AD33" s="154">
        <f>AD30-AD32</f>
        <v>2.5669187946584962</v>
      </c>
    </row>
    <row r="34" spans="1:30" x14ac:dyDescent="0.25">
      <c r="A34" s="152" t="s">
        <v>162</v>
      </c>
      <c r="B34" s="2"/>
      <c r="C34" s="2"/>
      <c r="D34" s="2"/>
      <c r="E34" s="2"/>
      <c r="F34" s="2"/>
      <c r="G34" s="2"/>
      <c r="H34" s="2"/>
      <c r="I34" s="2"/>
      <c r="J34" s="153"/>
      <c r="K34" s="153"/>
      <c r="L34" s="153"/>
      <c r="M34" s="153">
        <f t="shared" ref="M34:AB34" si="11">M33/M$22</f>
        <v>-0.94011848064555315</v>
      </c>
      <c r="N34" s="153">
        <f t="shared" si="11"/>
        <v>-0.67154698530685697</v>
      </c>
      <c r="O34" s="153">
        <f t="shared" si="11"/>
        <v>-0.41265904346104387</v>
      </c>
      <c r="P34" s="153">
        <f t="shared" si="11"/>
        <v>-0.25059670537360451</v>
      </c>
      <c r="Q34" s="153">
        <f t="shared" si="11"/>
        <v>3.4754236344717339E-2</v>
      </c>
      <c r="R34" s="153">
        <f t="shared" si="11"/>
        <v>0.32130431914662244</v>
      </c>
      <c r="S34" s="153">
        <f t="shared" si="11"/>
        <v>-0.30627366571418374</v>
      </c>
      <c r="T34" s="153">
        <f t="shared" si="11"/>
        <v>-0.33796064099005763</v>
      </c>
      <c r="U34" s="153">
        <f t="shared" si="11"/>
        <v>-0.37123196502972533</v>
      </c>
      <c r="V34" s="153">
        <f t="shared" si="11"/>
        <v>-0.40232486932801187</v>
      </c>
      <c r="W34" s="153">
        <f t="shared" si="11"/>
        <v>-0.4428484900251099</v>
      </c>
      <c r="X34" s="153">
        <f t="shared" si="11"/>
        <v>-0.48136420651653017</v>
      </c>
      <c r="Y34" s="153">
        <f t="shared" si="11"/>
        <v>-0.52180570883252142</v>
      </c>
      <c r="Z34" s="153">
        <f t="shared" si="11"/>
        <v>-0.55999532646577577</v>
      </c>
      <c r="AA34" s="153">
        <f t="shared" si="11"/>
        <v>-0.60885604256769266</v>
      </c>
      <c r="AB34" s="153">
        <f t="shared" si="11"/>
        <v>-0.65567213668624214</v>
      </c>
      <c r="AC34" s="153">
        <f t="shared" ref="AC34:AD34" si="12">AC33/AC$22</f>
        <v>-0.70482903551071907</v>
      </c>
      <c r="AD34" s="153">
        <f t="shared" si="12"/>
        <v>0.42697311406340216</v>
      </c>
    </row>
    <row r="35" spans="1:30" x14ac:dyDescent="0.25">
      <c r="A35" s="150" t="s">
        <v>179</v>
      </c>
      <c r="B35" s="2"/>
      <c r="C35" s="2"/>
      <c r="D35" s="2"/>
      <c r="E35" s="2"/>
      <c r="F35" s="2"/>
      <c r="G35" s="2"/>
      <c r="H35" s="2"/>
      <c r="I35" s="2"/>
      <c r="J35" s="51"/>
      <c r="K35" s="51"/>
      <c r="L35" s="51"/>
      <c r="M35" s="51">
        <f t="shared" ref="M35:AB35" si="13">MAX(0,M45)*M66</f>
        <v>0</v>
      </c>
      <c r="N35" s="51">
        <f t="shared" ca="1" si="13"/>
        <v>0</v>
      </c>
      <c r="O35" s="51">
        <f t="shared" ca="1" si="13"/>
        <v>0</v>
      </c>
      <c r="P35" s="51">
        <f t="shared" ca="1" si="13"/>
        <v>0</v>
      </c>
      <c r="Q35" s="51">
        <f t="shared" ca="1" si="13"/>
        <v>0</v>
      </c>
      <c r="R35" s="51">
        <f t="shared" ca="1" si="13"/>
        <v>0</v>
      </c>
      <c r="S35" s="51">
        <f t="shared" ca="1" si="13"/>
        <v>0</v>
      </c>
      <c r="T35" s="51">
        <f t="shared" ca="1" si="13"/>
        <v>0</v>
      </c>
      <c r="U35" s="51">
        <f t="shared" ca="1" si="13"/>
        <v>0</v>
      </c>
      <c r="V35" s="51">
        <f t="shared" ca="1" si="13"/>
        <v>0</v>
      </c>
      <c r="W35" s="51">
        <f t="shared" ca="1" si="13"/>
        <v>0</v>
      </c>
      <c r="X35" s="51">
        <f t="shared" ca="1" si="13"/>
        <v>0</v>
      </c>
      <c r="Y35" s="51">
        <f t="shared" ca="1" si="13"/>
        <v>0</v>
      </c>
      <c r="Z35" s="51">
        <f t="shared" ca="1" si="13"/>
        <v>0</v>
      </c>
      <c r="AA35" s="51">
        <f t="shared" ca="1" si="13"/>
        <v>0</v>
      </c>
      <c r="AB35" s="51">
        <f t="shared" ca="1" si="13"/>
        <v>0</v>
      </c>
      <c r="AC35" s="51">
        <f t="shared" ref="AC35:AD35" ca="1" si="14">MAX(0,AC45)*AC66</f>
        <v>0</v>
      </c>
      <c r="AD35" s="51">
        <f t="shared" ca="1" si="14"/>
        <v>0</v>
      </c>
    </row>
    <row r="36" spans="1:30" x14ac:dyDescent="0.25">
      <c r="A36" s="103" t="s">
        <v>180</v>
      </c>
      <c r="B36" s="55"/>
      <c r="C36" s="55"/>
      <c r="D36" s="55"/>
      <c r="E36" s="55"/>
      <c r="F36" s="55"/>
      <c r="G36" s="55"/>
      <c r="H36" s="55"/>
      <c r="I36" s="55"/>
      <c r="J36" s="154"/>
      <c r="K36" s="154"/>
      <c r="L36" s="154"/>
      <c r="M36" s="154">
        <f>M33-M35</f>
        <v>-6.7365124283636355</v>
      </c>
      <c r="N36" s="154">
        <f ca="1">N33-N35</f>
        <v>-4.8252203424969693</v>
      </c>
      <c r="O36" s="154">
        <f ca="1">O33-O35</f>
        <v>-2.9569493975303023</v>
      </c>
      <c r="P36" s="154">
        <f ca="1">P33-P35</f>
        <v>-1.6508630549886374</v>
      </c>
      <c r="Q36" s="154">
        <f ca="1">Q33-Q35</f>
        <v>0.22895147284677941</v>
      </c>
      <c r="R36" s="154">
        <f ca="1">R33-R35</f>
        <v>2.1224647004406343</v>
      </c>
      <c r="S36" s="154">
        <f ca="1">S33-S35</f>
        <v>-0.97342654737915302</v>
      </c>
      <c r="T36" s="154">
        <f ca="1">T33-T35</f>
        <v>-1.0741369459299288</v>
      </c>
      <c r="U36" s="154">
        <f ca="1">U33-U35</f>
        <v>-1.1798828644082437</v>
      </c>
      <c r="V36" s="154">
        <f ca="1">V33-V35</f>
        <v>-1.2822084348104741</v>
      </c>
      <c r="W36" s="154">
        <f ca="1">W33-W35</f>
        <v>-1.407500953932816</v>
      </c>
      <c r="X36" s="154">
        <f ca="1">X33-X35</f>
        <v>-1.5299150728112751</v>
      </c>
      <c r="Y36" s="154">
        <f ca="1">Y33-Y35</f>
        <v>-1.6584498976336572</v>
      </c>
      <c r="Z36" s="154">
        <f ca="1">Z33-Z35</f>
        <v>-1.7847038196971581</v>
      </c>
      <c r="AA36" s="154">
        <f ca="1">AA33-AA35</f>
        <v>-1.9351211080638344</v>
      </c>
      <c r="AB36" s="154">
        <f ca="1">AB33-AB35</f>
        <v>-2.0839162346488447</v>
      </c>
      <c r="AC36" s="154">
        <f ca="1">AC33-AC35</f>
        <v>-2.2401511175631055</v>
      </c>
      <c r="AD36" s="154">
        <f ca="1">AD33-AD35</f>
        <v>2.5669187946584962</v>
      </c>
    </row>
    <row r="37" spans="1:30" x14ac:dyDescent="0.25">
      <c r="A37" s="152" t="s">
        <v>181</v>
      </c>
      <c r="B37" s="2"/>
      <c r="C37" s="2"/>
      <c r="D37" s="2"/>
      <c r="E37" s="2"/>
      <c r="F37" s="2"/>
      <c r="G37" s="2"/>
      <c r="H37" s="2"/>
      <c r="I37" s="2"/>
      <c r="J37" s="153"/>
      <c r="K37" s="153"/>
      <c r="L37" s="153"/>
      <c r="M37" s="153">
        <f t="shared" ref="M37:AB37" si="15">M36/M$22</f>
        <v>-0.94011848064555315</v>
      </c>
      <c r="N37" s="153">
        <f t="shared" ca="1" si="15"/>
        <v>-0.67154698530685697</v>
      </c>
      <c r="O37" s="153">
        <f t="shared" ca="1" si="15"/>
        <v>-0.41265904346104387</v>
      </c>
      <c r="P37" s="153">
        <f t="shared" ca="1" si="15"/>
        <v>-0.25059670537360451</v>
      </c>
      <c r="Q37" s="153">
        <f t="shared" ca="1" si="15"/>
        <v>3.4754236344717339E-2</v>
      </c>
      <c r="R37" s="153">
        <f t="shared" ca="1" si="15"/>
        <v>0.32130431914662244</v>
      </c>
      <c r="S37" s="153">
        <f t="shared" ca="1" si="15"/>
        <v>-0.30627366571418374</v>
      </c>
      <c r="T37" s="153">
        <f t="shared" ca="1" si="15"/>
        <v>-0.33796064099005763</v>
      </c>
      <c r="U37" s="153">
        <f t="shared" ca="1" si="15"/>
        <v>-0.37123196502972533</v>
      </c>
      <c r="V37" s="153">
        <f t="shared" ca="1" si="15"/>
        <v>-0.40232486932801187</v>
      </c>
      <c r="W37" s="153">
        <f t="shared" ca="1" si="15"/>
        <v>-0.4428484900251099</v>
      </c>
      <c r="X37" s="153">
        <f t="shared" ca="1" si="15"/>
        <v>-0.48136420651653017</v>
      </c>
      <c r="Y37" s="153">
        <f t="shared" ca="1" si="15"/>
        <v>-0.52180570883252142</v>
      </c>
      <c r="Z37" s="153">
        <f t="shared" ca="1" si="15"/>
        <v>-0.55999532646577577</v>
      </c>
      <c r="AA37" s="153">
        <f t="shared" ca="1" si="15"/>
        <v>-0.60885604256769266</v>
      </c>
      <c r="AB37" s="153">
        <f t="shared" ca="1" si="15"/>
        <v>-0.65567213668624214</v>
      </c>
      <c r="AC37" s="153">
        <f t="shared" ref="AC37:AD37" ca="1" si="16">AC36/AC$22</f>
        <v>-0.70482903551071907</v>
      </c>
      <c r="AD37" s="153">
        <f t="shared" ca="1" si="16"/>
        <v>0.42697311406340216</v>
      </c>
    </row>
    <row r="40" spans="1:30" x14ac:dyDescent="0.25">
      <c r="A40" s="135" t="s">
        <v>163</v>
      </c>
      <c r="B40" s="148" t="s">
        <v>115</v>
      </c>
      <c r="C40" s="135"/>
      <c r="D40" s="135"/>
      <c r="E40" s="135"/>
      <c r="F40" s="135"/>
      <c r="G40" s="135"/>
      <c r="H40" s="135">
        <v>8</v>
      </c>
      <c r="I40" s="5"/>
      <c r="J40" s="136"/>
      <c r="K40" s="136"/>
      <c r="L40" s="136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</row>
    <row r="41" spans="1:30" x14ac:dyDescent="0.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  <c r="N41" s="137"/>
      <c r="O41" s="137"/>
      <c r="P41" s="137"/>
      <c r="Q41" s="137"/>
      <c r="R41" s="137"/>
      <c r="S41" s="137"/>
      <c r="T41" s="137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x14ac:dyDescent="0.25">
      <c r="A42" s="138" t="s">
        <v>164</v>
      </c>
      <c r="B42" s="139"/>
      <c r="C42" s="139"/>
      <c r="D42" s="139"/>
      <c r="E42" s="139"/>
      <c r="F42" s="139"/>
      <c r="G42" s="139"/>
      <c r="H42" s="136"/>
      <c r="I42" s="136"/>
      <c r="J42" s="136"/>
      <c r="K42" s="136"/>
      <c r="L42" s="136"/>
      <c r="M42" s="137"/>
      <c r="N42" s="137"/>
      <c r="O42" s="137"/>
      <c r="P42" s="137"/>
      <c r="Q42" s="137"/>
      <c r="R42" s="137"/>
      <c r="S42" s="137"/>
      <c r="T42" s="137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25">
      <c r="A43" s="135" t="s">
        <v>165</v>
      </c>
      <c r="B43" s="135"/>
      <c r="C43" s="135"/>
      <c r="D43" s="135"/>
      <c r="E43" s="135"/>
      <c r="F43" s="135"/>
      <c r="G43" s="135"/>
      <c r="H43" s="140" t="e">
        <f>#REF!</f>
        <v>#REF!</v>
      </c>
      <c r="I43" s="140" t="e">
        <f>#REF!</f>
        <v>#REF!</v>
      </c>
      <c r="J43" s="140"/>
      <c r="K43" s="140"/>
      <c r="L43" s="140"/>
      <c r="M43" s="140">
        <f>M33</f>
        <v>-6.7365124283636355</v>
      </c>
      <c r="N43" s="140">
        <f>N33</f>
        <v>-4.8252203424969693</v>
      </c>
      <c r="O43" s="140">
        <f>O33</f>
        <v>-2.9569493975303023</v>
      </c>
      <c r="P43" s="140">
        <f>P33</f>
        <v>-1.6508630549886374</v>
      </c>
      <c r="Q43" s="140">
        <f>Q33</f>
        <v>0.22895147284677941</v>
      </c>
      <c r="R43" s="140">
        <f>R33</f>
        <v>2.1224647004406343</v>
      </c>
      <c r="S43" s="140">
        <f>S33</f>
        <v>-0.97342654737915302</v>
      </c>
      <c r="T43" s="140">
        <f>T33</f>
        <v>-1.0741369459299288</v>
      </c>
      <c r="U43" s="140">
        <f>U33</f>
        <v>-1.1798828644082437</v>
      </c>
      <c r="V43" s="140">
        <f>V33</f>
        <v>-1.2822084348104741</v>
      </c>
      <c r="W43" s="140">
        <f>W33</f>
        <v>-1.407500953932816</v>
      </c>
      <c r="X43" s="140">
        <f>X33</f>
        <v>-1.5299150728112751</v>
      </c>
      <c r="Y43" s="140">
        <f>Y33</f>
        <v>-1.6584498976336572</v>
      </c>
      <c r="Z43" s="140">
        <f>Z33</f>
        <v>-1.7847038196971581</v>
      </c>
      <c r="AA43" s="140">
        <f>AA33</f>
        <v>-1.9351211080638344</v>
      </c>
      <c r="AB43" s="140">
        <f>AB33</f>
        <v>-2.0839162346488447</v>
      </c>
      <c r="AC43" s="140">
        <f>AC33</f>
        <v>-2.2401511175631055</v>
      </c>
      <c r="AD43" s="140">
        <f>AD33</f>
        <v>2.5669187946584962</v>
      </c>
    </row>
    <row r="44" spans="1:30" x14ac:dyDescent="0.25">
      <c r="A44" s="135" t="s">
        <v>166</v>
      </c>
      <c r="B44" s="135"/>
      <c r="C44" s="135"/>
      <c r="D44" s="135"/>
      <c r="E44" s="135"/>
      <c r="F44" s="135"/>
      <c r="G44" s="135"/>
      <c r="H44" s="140" t="e">
        <f t="shared" ref="H44" si="17">H50</f>
        <v>#REF!</v>
      </c>
      <c r="I44" s="140" t="e">
        <f t="shared" ref="I44:AB44" si="18">I50</f>
        <v>#REF!</v>
      </c>
      <c r="J44" s="140"/>
      <c r="K44" s="140"/>
      <c r="L44" s="140"/>
      <c r="M44" s="140">
        <f t="shared" si="18"/>
        <v>0</v>
      </c>
      <c r="N44" s="140">
        <f t="shared" ca="1" si="18"/>
        <v>0</v>
      </c>
      <c r="O44" s="140">
        <f t="shared" ca="1" si="18"/>
        <v>0</v>
      </c>
      <c r="P44" s="140">
        <f t="shared" ca="1" si="18"/>
        <v>0</v>
      </c>
      <c r="Q44" s="140">
        <f t="shared" ca="1" si="18"/>
        <v>-0.22895147284677941</v>
      </c>
      <c r="R44" s="140">
        <f t="shared" ca="1" si="18"/>
        <v>-2.1224647004406343</v>
      </c>
      <c r="S44" s="140">
        <f t="shared" ca="1" si="18"/>
        <v>0</v>
      </c>
      <c r="T44" s="140">
        <f t="shared" ca="1" si="18"/>
        <v>0</v>
      </c>
      <c r="U44" s="140">
        <f t="shared" ca="1" si="18"/>
        <v>0</v>
      </c>
      <c r="V44" s="140">
        <f t="shared" ca="1" si="18"/>
        <v>0</v>
      </c>
      <c r="W44" s="140">
        <f t="shared" ca="1" si="18"/>
        <v>0</v>
      </c>
      <c r="X44" s="140">
        <f t="shared" ca="1" si="18"/>
        <v>0</v>
      </c>
      <c r="Y44" s="140">
        <f t="shared" ca="1" si="18"/>
        <v>0</v>
      </c>
      <c r="Z44" s="140">
        <f t="shared" ca="1" si="18"/>
        <v>0</v>
      </c>
      <c r="AA44" s="140">
        <f t="shared" ca="1" si="18"/>
        <v>0</v>
      </c>
      <c r="AB44" s="140">
        <f t="shared" ca="1" si="18"/>
        <v>0</v>
      </c>
      <c r="AC44" s="140">
        <f t="shared" ref="AC44:AD44" ca="1" si="19">AC50</f>
        <v>0</v>
      </c>
      <c r="AD44" s="140">
        <f t="shared" ca="1" si="19"/>
        <v>-2.5669187946584962</v>
      </c>
    </row>
    <row r="45" spans="1:30" x14ac:dyDescent="0.25">
      <c r="A45" s="135" t="s">
        <v>167</v>
      </c>
      <c r="B45" s="135"/>
      <c r="C45" s="135"/>
      <c r="D45" s="135"/>
      <c r="E45" s="135"/>
      <c r="F45" s="135"/>
      <c r="G45" s="135"/>
      <c r="H45" s="140" t="e">
        <f t="shared" ref="H45" si="20">SUM(H43:H44)</f>
        <v>#REF!</v>
      </c>
      <c r="I45" s="140" t="e">
        <f t="shared" ref="I45:AB45" si="21">SUM(I43:I44)</f>
        <v>#REF!</v>
      </c>
      <c r="J45" s="140"/>
      <c r="K45" s="140"/>
      <c r="L45" s="140"/>
      <c r="M45" s="140">
        <f t="shared" si="21"/>
        <v>-6.7365124283636355</v>
      </c>
      <c r="N45" s="140">
        <f t="shared" ca="1" si="21"/>
        <v>-4.8252203424969693</v>
      </c>
      <c r="O45" s="140">
        <f t="shared" ca="1" si="21"/>
        <v>-2.9569493975303023</v>
      </c>
      <c r="P45" s="140">
        <f t="shared" ca="1" si="21"/>
        <v>-1.6508630549886374</v>
      </c>
      <c r="Q45" s="140">
        <f t="shared" ca="1" si="21"/>
        <v>0</v>
      </c>
      <c r="R45" s="140">
        <f t="shared" ca="1" si="21"/>
        <v>0</v>
      </c>
      <c r="S45" s="140">
        <f t="shared" ca="1" si="21"/>
        <v>-0.97342654737915302</v>
      </c>
      <c r="T45" s="140">
        <f t="shared" ca="1" si="21"/>
        <v>-1.0741369459299288</v>
      </c>
      <c r="U45" s="140">
        <f t="shared" ca="1" si="21"/>
        <v>-1.1798828644082437</v>
      </c>
      <c r="V45" s="140">
        <f t="shared" ca="1" si="21"/>
        <v>-1.2822084348104741</v>
      </c>
      <c r="W45" s="140">
        <f t="shared" ca="1" si="21"/>
        <v>-1.407500953932816</v>
      </c>
      <c r="X45" s="140">
        <f t="shared" ca="1" si="21"/>
        <v>-1.5299150728112751</v>
      </c>
      <c r="Y45" s="140">
        <f t="shared" ca="1" si="21"/>
        <v>-1.6584498976336572</v>
      </c>
      <c r="Z45" s="140">
        <f t="shared" ca="1" si="21"/>
        <v>-1.7847038196971581</v>
      </c>
      <c r="AA45" s="140">
        <f t="shared" ca="1" si="21"/>
        <v>-1.9351211080638344</v>
      </c>
      <c r="AB45" s="140">
        <f t="shared" ca="1" si="21"/>
        <v>-2.0839162346488447</v>
      </c>
      <c r="AC45" s="140">
        <f t="shared" ref="AC45:AD45" ca="1" si="22">SUM(AC43:AC44)</f>
        <v>-2.2401511175631055</v>
      </c>
      <c r="AD45" s="140">
        <f t="shared" ca="1" si="22"/>
        <v>0</v>
      </c>
    </row>
    <row r="46" spans="1:30" x14ac:dyDescent="0.25">
      <c r="A46" s="136"/>
      <c r="B46" s="136"/>
      <c r="C46" s="136"/>
      <c r="D46" s="136"/>
      <c r="E46" s="136"/>
      <c r="F46" s="136"/>
      <c r="G46" s="136"/>
      <c r="H46" s="136"/>
      <c r="I46" s="137" t="e">
        <f>MAX(0,I45)</f>
        <v>#REF!</v>
      </c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</row>
    <row r="47" spans="1:30" x14ac:dyDescent="0.25">
      <c r="A47" s="136"/>
      <c r="B47" s="136"/>
      <c r="C47" s="136"/>
      <c r="D47" s="136"/>
      <c r="E47" s="136"/>
      <c r="F47" s="136"/>
      <c r="G47" s="136"/>
      <c r="H47" s="136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</row>
    <row r="48" spans="1:30" x14ac:dyDescent="0.25">
      <c r="A48" s="139" t="s">
        <v>168</v>
      </c>
      <c r="B48" s="139"/>
      <c r="C48" s="139"/>
      <c r="D48" s="139"/>
      <c r="E48" s="139"/>
      <c r="F48" s="139"/>
      <c r="G48" s="139"/>
      <c r="H48" s="136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</row>
    <row r="49" spans="1:30" x14ac:dyDescent="0.25">
      <c r="A49" s="135" t="s">
        <v>169</v>
      </c>
      <c r="B49" s="135"/>
      <c r="C49" s="140"/>
      <c r="D49" s="140">
        <f t="shared" ref="D49" si="23">C53</f>
        <v>0</v>
      </c>
      <c r="E49" s="140" t="e">
        <f t="shared" ref="E49:AB49" si="24">D53</f>
        <v>#REF!</v>
      </c>
      <c r="F49" s="140" t="e">
        <f t="shared" si="24"/>
        <v>#REF!</v>
      </c>
      <c r="G49" s="140" t="e">
        <f t="shared" si="24"/>
        <v>#REF!</v>
      </c>
      <c r="H49" s="140" t="e">
        <f t="shared" si="24"/>
        <v>#REF!</v>
      </c>
      <c r="I49" s="140" t="e">
        <f t="shared" si="24"/>
        <v>#REF!</v>
      </c>
      <c r="J49" s="140"/>
      <c r="K49" s="140"/>
      <c r="L49" s="140"/>
      <c r="M49" s="140">
        <f t="shared" si="24"/>
        <v>0</v>
      </c>
      <c r="N49" s="140">
        <f t="shared" ca="1" si="24"/>
        <v>6.7365124283636355</v>
      </c>
      <c r="O49" s="140">
        <f t="shared" ca="1" si="24"/>
        <v>11.561732770860605</v>
      </c>
      <c r="P49" s="140">
        <f t="shared" ca="1" si="24"/>
        <v>14.518682168390907</v>
      </c>
      <c r="Q49" s="140">
        <f t="shared" ca="1" si="24"/>
        <v>16.169545223379544</v>
      </c>
      <c r="R49" s="140">
        <f t="shared" ca="1" si="24"/>
        <v>15.940593750532765</v>
      </c>
      <c r="S49" s="140">
        <f t="shared" ca="1" si="24"/>
        <v>13.81812905009213</v>
      </c>
      <c r="T49" s="140">
        <f t="shared" ca="1" si="24"/>
        <v>14.791555597471284</v>
      </c>
      <c r="U49" s="140">
        <f t="shared" ca="1" si="24"/>
        <v>15.865692543401213</v>
      </c>
      <c r="V49" s="140">
        <f t="shared" ca="1" si="24"/>
        <v>12.660479152733235</v>
      </c>
      <c r="W49" s="140">
        <f t="shared" ca="1" si="24"/>
        <v>9.1174672450467398</v>
      </c>
      <c r="X49" s="140">
        <f t="shared" ca="1" si="24"/>
        <v>7.568018801449254</v>
      </c>
      <c r="Y49" s="140">
        <f t="shared" ca="1" si="24"/>
        <v>7.4470708192718904</v>
      </c>
      <c r="Z49" s="140">
        <f t="shared" ca="1" si="24"/>
        <v>9.1055207169055485</v>
      </c>
      <c r="AA49" s="140">
        <f t="shared" ca="1" si="24"/>
        <v>10.890224536602707</v>
      </c>
      <c r="AB49" s="140">
        <f t="shared" ca="1" si="24"/>
        <v>11.851919097287388</v>
      </c>
      <c r="AC49" s="140">
        <f t="shared" ref="AC49" ca="1" si="25">AB53</f>
        <v>12.861698386006303</v>
      </c>
      <c r="AD49" s="140">
        <f t="shared" ref="AD49" ca="1" si="26">AC53</f>
        <v>13.921966639161164</v>
      </c>
    </row>
    <row r="50" spans="1:30" x14ac:dyDescent="0.25">
      <c r="A50" s="135" t="s">
        <v>170</v>
      </c>
      <c r="B50" s="135"/>
      <c r="C50" s="140"/>
      <c r="D50" s="140" t="e">
        <f>-MIN(MAX(0,#REF!),D49)</f>
        <v>#REF!</v>
      </c>
      <c r="E50" s="140" t="e">
        <f>-MIN(MAX(0,#REF!),E49)</f>
        <v>#REF!</v>
      </c>
      <c r="F50" s="140" t="e">
        <f>-MIN(MAX(0,#REF!),F49)</f>
        <v>#REF!</v>
      </c>
      <c r="G50" s="140" t="e">
        <f>-MIN(MAX(0,G33),G49)</f>
        <v>#REF!</v>
      </c>
      <c r="H50" s="140" t="e">
        <f>-MIN(MAX(0,H33),H49)</f>
        <v>#REF!</v>
      </c>
      <c r="I50" s="140" t="e">
        <f>-MIN(MAX(0,#REF!),I49)</f>
        <v>#REF!</v>
      </c>
      <c r="J50" s="140"/>
      <c r="K50" s="140"/>
      <c r="L50" s="140"/>
      <c r="M50" s="140">
        <f>-MIN(MAX(0,M33),M49)</f>
        <v>0</v>
      </c>
      <c r="N50" s="140">
        <f ca="1">-MIN(MAX(0,N33),N49)</f>
        <v>0</v>
      </c>
      <c r="O50" s="140">
        <f ca="1">-MIN(MAX(0,O33),O49)</f>
        <v>0</v>
      </c>
      <c r="P50" s="140">
        <f ca="1">-MIN(MAX(0,P33),P49)</f>
        <v>0</v>
      </c>
      <c r="Q50" s="140">
        <f ca="1">-MIN(MAX(0,Q33),Q49)</f>
        <v>-0.22895147284677941</v>
      </c>
      <c r="R50" s="140">
        <f ca="1">-MIN(MAX(0,R33),R49)</f>
        <v>-2.1224647004406343</v>
      </c>
      <c r="S50" s="140">
        <f ca="1">-MIN(MAX(0,S33),S49)</f>
        <v>0</v>
      </c>
      <c r="T50" s="140">
        <f ca="1">-MIN(MAX(0,T33),T49)</f>
        <v>0</v>
      </c>
      <c r="U50" s="140">
        <f ca="1">-MIN(MAX(0,U33),U49)</f>
        <v>0</v>
      </c>
      <c r="V50" s="140">
        <f ca="1">-MIN(MAX(0,V33),V49)</f>
        <v>0</v>
      </c>
      <c r="W50" s="140">
        <f ca="1">-MIN(MAX(0,W33),W49)</f>
        <v>0</v>
      </c>
      <c r="X50" s="140">
        <f ca="1">-MIN(MAX(0,X33),X49)</f>
        <v>0</v>
      </c>
      <c r="Y50" s="140">
        <f ca="1">-MIN(MAX(0,Y33),Y49)</f>
        <v>0</v>
      </c>
      <c r="Z50" s="140">
        <f ca="1">-MIN(MAX(0,Z33),Z49)</f>
        <v>0</v>
      </c>
      <c r="AA50" s="140">
        <f ca="1">-MIN(MAX(0,AA33),AA49)</f>
        <v>0</v>
      </c>
      <c r="AB50" s="140">
        <f ca="1">-MIN(MAX(0,AB33),AB49)</f>
        <v>0</v>
      </c>
      <c r="AC50" s="140">
        <f ca="1">-MIN(MAX(0,AC33),AC49)</f>
        <v>0</v>
      </c>
      <c r="AD50" s="140">
        <f ca="1">-MIN(MAX(0,AD33),AD49)</f>
        <v>-2.5669187946584962</v>
      </c>
    </row>
    <row r="51" spans="1:30" x14ac:dyDescent="0.25">
      <c r="A51" s="135" t="s">
        <v>171</v>
      </c>
      <c r="B51" s="135"/>
      <c r="C51" s="140"/>
      <c r="D51" s="140">
        <v>0</v>
      </c>
      <c r="E51" s="140">
        <v>0</v>
      </c>
      <c r="F51" s="140">
        <v>0</v>
      </c>
      <c r="G51" s="140">
        <v>0</v>
      </c>
      <c r="H51" s="140">
        <f>MAX(0,-H33)</f>
        <v>5.3009000000000004</v>
      </c>
      <c r="I51" s="140">
        <f>MAX(0,-I33)</f>
        <v>3.2505999999999999</v>
      </c>
      <c r="J51" s="140"/>
      <c r="K51" s="140"/>
      <c r="L51" s="140"/>
      <c r="M51" s="140">
        <f>MAX(0,-M33)</f>
        <v>6.7365124283636355</v>
      </c>
      <c r="N51" s="140">
        <f>MAX(0,-N33)</f>
        <v>4.8252203424969693</v>
      </c>
      <c r="O51" s="140">
        <f>MAX(0,-O33)</f>
        <v>2.9569493975303023</v>
      </c>
      <c r="P51" s="140">
        <f>MAX(0,-P33)</f>
        <v>1.6508630549886374</v>
      </c>
      <c r="Q51" s="140">
        <f>MAX(0,-Q33)</f>
        <v>0</v>
      </c>
      <c r="R51" s="140">
        <f>MAX(0,-R33)</f>
        <v>0</v>
      </c>
      <c r="S51" s="140">
        <f>MAX(0,-S33)</f>
        <v>0.97342654737915302</v>
      </c>
      <c r="T51" s="140">
        <f>MAX(0,-T33)</f>
        <v>1.0741369459299288</v>
      </c>
      <c r="U51" s="140">
        <f>MAX(0,-U33)</f>
        <v>1.1798828644082437</v>
      </c>
      <c r="V51" s="140">
        <f>MAX(0,-V33)</f>
        <v>1.2822084348104741</v>
      </c>
      <c r="W51" s="140">
        <f>MAX(0,-W33)</f>
        <v>1.407500953932816</v>
      </c>
      <c r="X51" s="140">
        <f>MAX(0,-X33)</f>
        <v>1.5299150728112751</v>
      </c>
      <c r="Y51" s="140">
        <f>MAX(0,-Y33)</f>
        <v>1.6584498976336572</v>
      </c>
      <c r="Z51" s="140">
        <f>MAX(0,-Z33)</f>
        <v>1.7847038196971581</v>
      </c>
      <c r="AA51" s="140">
        <f>MAX(0,-AA33)</f>
        <v>1.9351211080638344</v>
      </c>
      <c r="AB51" s="140">
        <f>MAX(0,-AB33)</f>
        <v>2.0839162346488447</v>
      </c>
      <c r="AC51" s="140">
        <f>MAX(0,-AC33)</f>
        <v>2.2401511175631055</v>
      </c>
      <c r="AD51" s="140">
        <f>MAX(0,-AD33)</f>
        <v>0</v>
      </c>
    </row>
    <row r="52" spans="1:30" x14ac:dyDescent="0.25">
      <c r="A52" s="135" t="s">
        <v>172</v>
      </c>
      <c r="B52" s="135"/>
      <c r="C52" s="140"/>
      <c r="D52" s="140">
        <f ca="1">-IF(D1-1&lt;$H40,0,MAX(0,SUM(D49:D51)-SUM(OFFSET(D51,,-($H40-1),,$H40))))</f>
        <v>0</v>
      </c>
      <c r="E52" s="140">
        <f ca="1">-IF(E1-1&lt;$H40,0,MAX(0,SUM(E49:E51)-SUM(OFFSET(E51,,-($H40-1),,$H40))))</f>
        <v>0</v>
      </c>
      <c r="F52" s="140">
        <f ca="1">-IF(F1-1&lt;$H40,0,MAX(0,SUM(F49:F51)-SUM(OFFSET(F51,,-($H40-1),,$H40))))</f>
        <v>0</v>
      </c>
      <c r="G52" s="140">
        <f ca="1">-IF(G1-1&lt;$H40,0,MAX(0,SUM(G49:G51)-SUM(OFFSET(G51,,-($H40-1),,$H40))))</f>
        <v>0</v>
      </c>
      <c r="H52" s="140">
        <f ca="1">-IF(H1-1&lt;$H40,0,MAX(0,SUM(H49:H51)-SUM(OFFSET(H51,,-($H40-1),,$H40))))</f>
        <v>0</v>
      </c>
      <c r="I52" s="140">
        <f ca="1">-IF(I1-1&lt;$H40,0,MAX(0,SUM(I49:I51)-SUM(OFFSET(I51,,-($H40-1),,$H40))))</f>
        <v>0</v>
      </c>
      <c r="J52" s="140"/>
      <c r="K52" s="140"/>
      <c r="L52" s="140"/>
      <c r="M52" s="140">
        <f ca="1">-IF(M1-1&lt;$H40,0,MAX(0,SUM(M49:M51)-SUM(OFFSET(M51,,-($H40-1),,$H40))))</f>
        <v>0</v>
      </c>
      <c r="N52" s="140">
        <f ca="1">-IF(N1-1&lt;$H40,0,MAX(0,SUM(N49:N51)-SUM(OFFSET(N51,,-($H40-1),,$H40))))</f>
        <v>0</v>
      </c>
      <c r="O52" s="140">
        <f ca="1">-IF(O1-1&lt;$H40,0,MAX(0,SUM(O49:O51)-SUM(OFFSET(O51,,-($H40-1),,$H40))))</f>
        <v>0</v>
      </c>
      <c r="P52" s="140">
        <f ca="1">-IF(P1-1&lt;$H40,0,MAX(0,SUM(P49:P51)-SUM(OFFSET(P51,,-($H40-1),,$H40))))</f>
        <v>0</v>
      </c>
      <c r="Q52" s="140">
        <f ca="1">-IF(Q1-1&lt;$H40,0,MAX(0,SUM(Q49:Q51)-SUM(OFFSET(Q51,,-($H40-1),,$H40))))</f>
        <v>0</v>
      </c>
      <c r="R52" s="140">
        <f ca="1">-IF(R1-1&lt;$H40,0,MAX(0,SUM(R49:R51)-SUM(OFFSET(R51,,-($H40-1),,$H40))))</f>
        <v>0</v>
      </c>
      <c r="S52" s="140">
        <f ca="1">-IF(S1-1&lt;$H40,0,MAX(0,SUM(S49:S51)-SUM(OFFSET(S51,,-($H40-1),,$H40))))</f>
        <v>0</v>
      </c>
      <c r="T52" s="140">
        <f ca="1">-IF(T1-1&lt;$H40,0,MAX(0,SUM(T49:T51)-SUM(OFFSET(T51,,-($H40-1),,$H40))))</f>
        <v>0</v>
      </c>
      <c r="U52" s="140">
        <f ca="1">-IF(U1-1&lt;$H40,0,MAX(0,SUM(U49:U51)-SUM(OFFSET(U51,,-($H40-1),,$H40))))</f>
        <v>-4.385096255076224</v>
      </c>
      <c r="V52" s="140">
        <f ca="1">-IF(V1-1&lt;$H40,0,MAX(0,SUM(V49:V51)-SUM(OFFSET(V51,,-($H40-1),,$H40))))</f>
        <v>-4.8252203424969693</v>
      </c>
      <c r="W52" s="140">
        <f ca="1">-IF(W1-1&lt;$H40,0,MAX(0,SUM(W49:W51)-SUM(OFFSET(W51,,-($H40-1),,$H40))))</f>
        <v>-2.9569493975303018</v>
      </c>
      <c r="X52" s="140">
        <f ca="1">-IF(X1-1&lt;$H40,0,MAX(0,SUM(X49:X51)-SUM(OFFSET(X51,,-($H40-1),,$H40))))</f>
        <v>-1.6508630549886396</v>
      </c>
      <c r="Y52" s="140">
        <f ca="1">-IF(Y1-1&lt;$H40,0,MAX(0,SUM(Y49:Y51)-SUM(OFFSET(Y51,,-($H40-1),,$H40))))</f>
        <v>0</v>
      </c>
      <c r="Z52" s="140">
        <f ca="1">-IF(Z1-1&lt;$H40,0,MAX(0,SUM(Z49:Z51)-SUM(OFFSET(Z51,,-($H40-1),,$H40))))</f>
        <v>0</v>
      </c>
      <c r="AA52" s="140">
        <f ca="1">-IF(AA1-1&lt;$H40,0,MAX(0,SUM(AA49:AA51)-SUM(OFFSET(AA51,,-($H40-1),,$H40))))</f>
        <v>-0.97342654737915346</v>
      </c>
      <c r="AB52" s="140">
        <f ca="1">-IF(AB1-1&lt;$H40,0,MAX(0,SUM(AB49:AB51)-SUM(OFFSET(AB51,,-($H40-1),,$H40))))</f>
        <v>-1.0741369459299293</v>
      </c>
      <c r="AC52" s="140">
        <f ca="1">-IF(AC1-1&lt;$H40,0,MAX(0,SUM(AC49:AC51)-SUM(OFFSET(AC51,,-($H40-1),,$H40))))</f>
        <v>-1.1798828644082437</v>
      </c>
      <c r="AD52" s="140">
        <f ca="1">-IF(AD1-1&lt;$H40,0,MAX(0,SUM(AD49:AD51)-SUM(OFFSET(AD51,,-($H40-1),,$H40))))</f>
        <v>0</v>
      </c>
    </row>
    <row r="53" spans="1:30" x14ac:dyDescent="0.25">
      <c r="A53" s="135" t="s">
        <v>173</v>
      </c>
      <c r="B53" s="135"/>
      <c r="C53" s="140"/>
      <c r="D53" s="140" t="e">
        <f t="shared" ref="D53:AB53" si="27">SUM(D49:D52)</f>
        <v>#REF!</v>
      </c>
      <c r="E53" s="140" t="e">
        <f t="shared" si="27"/>
        <v>#REF!</v>
      </c>
      <c r="F53" s="140" t="e">
        <f t="shared" si="27"/>
        <v>#REF!</v>
      </c>
      <c r="G53" s="140" t="e">
        <f t="shared" si="27"/>
        <v>#REF!</v>
      </c>
      <c r="H53" s="140" t="e">
        <f t="shared" si="27"/>
        <v>#REF!</v>
      </c>
      <c r="I53" s="140" t="e">
        <f t="shared" si="27"/>
        <v>#REF!</v>
      </c>
      <c r="J53" s="140"/>
      <c r="K53" s="140"/>
      <c r="L53" s="140"/>
      <c r="M53" s="140">
        <f t="shared" ca="1" si="27"/>
        <v>6.7365124283636355</v>
      </c>
      <c r="N53" s="140">
        <f t="shared" ca="1" si="27"/>
        <v>11.561732770860605</v>
      </c>
      <c r="O53" s="140">
        <f t="shared" ca="1" si="27"/>
        <v>14.518682168390907</v>
      </c>
      <c r="P53" s="140">
        <f t="shared" ca="1" si="27"/>
        <v>16.169545223379544</v>
      </c>
      <c r="Q53" s="140">
        <f t="shared" ca="1" si="27"/>
        <v>15.940593750532765</v>
      </c>
      <c r="R53" s="140">
        <f t="shared" ca="1" si="27"/>
        <v>13.81812905009213</v>
      </c>
      <c r="S53" s="140">
        <f t="shared" ca="1" si="27"/>
        <v>14.791555597471284</v>
      </c>
      <c r="T53" s="140">
        <f t="shared" ca="1" si="27"/>
        <v>15.865692543401213</v>
      </c>
      <c r="U53" s="140">
        <f t="shared" ca="1" si="27"/>
        <v>12.660479152733235</v>
      </c>
      <c r="V53" s="140">
        <f t="shared" ca="1" si="27"/>
        <v>9.1174672450467398</v>
      </c>
      <c r="W53" s="140">
        <f t="shared" ca="1" si="27"/>
        <v>7.568018801449254</v>
      </c>
      <c r="X53" s="140">
        <f t="shared" ca="1" si="27"/>
        <v>7.4470708192718904</v>
      </c>
      <c r="Y53" s="140">
        <f t="shared" ca="1" si="27"/>
        <v>9.1055207169055485</v>
      </c>
      <c r="Z53" s="140">
        <f t="shared" ca="1" si="27"/>
        <v>10.890224536602707</v>
      </c>
      <c r="AA53" s="140">
        <f t="shared" ca="1" si="27"/>
        <v>11.851919097287388</v>
      </c>
      <c r="AB53" s="140">
        <f t="shared" ca="1" si="27"/>
        <v>12.861698386006303</v>
      </c>
      <c r="AC53" s="140">
        <f t="shared" ref="AC53:AD53" ca="1" si="28">SUM(AC49:AC52)</f>
        <v>13.921966639161164</v>
      </c>
      <c r="AD53" s="140">
        <f t="shared" ca="1" si="28"/>
        <v>11.355047844502668</v>
      </c>
    </row>
    <row r="54" spans="1:3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x14ac:dyDescent="0.25">
      <c r="A56" s="19" t="s">
        <v>174</v>
      </c>
      <c r="B56" s="19"/>
      <c r="C56" s="19"/>
      <c r="D56" s="19"/>
      <c r="E56" s="19"/>
      <c r="F56" s="19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x14ac:dyDescent="0.25">
      <c r="A57" s="8" t="s">
        <v>175</v>
      </c>
      <c r="B57" s="141"/>
      <c r="C57" s="141"/>
      <c r="D57" s="141"/>
      <c r="E57" s="141"/>
      <c r="F57" s="141"/>
      <c r="G57" s="141"/>
      <c r="H57" s="141">
        <v>0.22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x14ac:dyDescent="0.25">
      <c r="A58" s="14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25">
      <c r="A59" s="8" t="s">
        <v>176</v>
      </c>
      <c r="B59" s="141">
        <v>0.04</v>
      </c>
      <c r="C59" s="143"/>
      <c r="D59" s="143"/>
      <c r="E59" s="143"/>
      <c r="F59" s="143"/>
      <c r="G59" s="143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25">
      <c r="A60" s="142"/>
      <c r="B60" s="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25">
      <c r="A61" s="142" t="s">
        <v>177</v>
      </c>
      <c r="B61" s="8"/>
      <c r="C61" s="5"/>
      <c r="D61" s="5"/>
      <c r="E61" s="5"/>
      <c r="F61" s="5"/>
      <c r="G61" s="149"/>
      <c r="H61" s="149" t="s">
        <v>182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25">
      <c r="A62" s="142">
        <v>1</v>
      </c>
      <c r="B62" s="8"/>
      <c r="C62" s="8"/>
      <c r="D62" s="8"/>
      <c r="E62" s="8"/>
      <c r="F62" s="8"/>
      <c r="G62" s="144"/>
      <c r="H62" s="144">
        <v>0.25169999999999998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5">
      <c r="A63" s="145">
        <v>10</v>
      </c>
      <c r="B63" s="141">
        <v>7.0000000000000007E-2</v>
      </c>
      <c r="C63" s="141"/>
      <c r="D63" s="141"/>
      <c r="E63" s="141"/>
      <c r="F63" s="141"/>
      <c r="G63" s="144"/>
      <c r="H63" s="144">
        <v>0.25169999999999998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25">
      <c r="A64" s="146">
        <v>10</v>
      </c>
      <c r="B64" s="141">
        <v>0.1</v>
      </c>
      <c r="C64" s="141"/>
      <c r="D64" s="141"/>
      <c r="E64" s="141"/>
      <c r="F64" s="141"/>
      <c r="G64" s="144"/>
      <c r="H64" s="144">
        <v>0.25169999999999998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30" x14ac:dyDescent="0.25">
      <c r="A65" s="14"/>
      <c r="B65" s="1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</row>
    <row r="66" spans="1:30" x14ac:dyDescent="0.25">
      <c r="A66" s="8" t="s">
        <v>178</v>
      </c>
      <c r="B66" s="8"/>
      <c r="C66" s="8"/>
      <c r="D66" s="8"/>
      <c r="E66" s="8"/>
      <c r="F66" s="8"/>
      <c r="G66" s="8"/>
      <c r="H66" s="144"/>
      <c r="I66" s="144" t="e">
        <f>IF(I45&gt;0,IF(I45&lt;$A62,$H62,IF(I45&lt;$A63,$H63,$H64)),0)</f>
        <v>#REF!</v>
      </c>
      <c r="J66" s="144"/>
      <c r="K66" s="144"/>
      <c r="L66" s="144"/>
      <c r="M66" s="144">
        <f t="shared" ref="M66:AB66" si="29">IF(M45&gt;0,IF(M45&lt;$A62,$H62,IF(M45&lt;$A63,$H63,$H64)),0)</f>
        <v>0</v>
      </c>
      <c r="N66" s="144">
        <f t="shared" ca="1" si="29"/>
        <v>0</v>
      </c>
      <c r="O66" s="144">
        <f t="shared" ca="1" si="29"/>
        <v>0</v>
      </c>
      <c r="P66" s="144">
        <f t="shared" ca="1" si="29"/>
        <v>0</v>
      </c>
      <c r="Q66" s="144">
        <f t="shared" ca="1" si="29"/>
        <v>0</v>
      </c>
      <c r="R66" s="144">
        <f t="shared" ca="1" si="29"/>
        <v>0</v>
      </c>
      <c r="S66" s="144">
        <f t="shared" ca="1" si="29"/>
        <v>0</v>
      </c>
      <c r="T66" s="144">
        <f t="shared" ca="1" si="29"/>
        <v>0</v>
      </c>
      <c r="U66" s="144">
        <f t="shared" ca="1" si="29"/>
        <v>0</v>
      </c>
      <c r="V66" s="144">
        <f t="shared" ca="1" si="29"/>
        <v>0</v>
      </c>
      <c r="W66" s="144">
        <f t="shared" ca="1" si="29"/>
        <v>0</v>
      </c>
      <c r="X66" s="144">
        <f t="shared" ca="1" si="29"/>
        <v>0</v>
      </c>
      <c r="Y66" s="144">
        <f t="shared" ca="1" si="29"/>
        <v>0</v>
      </c>
      <c r="Z66" s="144">
        <f t="shared" ca="1" si="29"/>
        <v>0</v>
      </c>
      <c r="AA66" s="144">
        <f t="shared" ca="1" si="29"/>
        <v>0</v>
      </c>
      <c r="AB66" s="144">
        <f t="shared" ca="1" si="29"/>
        <v>0</v>
      </c>
      <c r="AC66" s="144">
        <f t="shared" ref="AC66:AD66" ca="1" si="30">IF(AC45&gt;0,IF(AC45&lt;$A62,$H62,IF(AC45&lt;$A63,$H63,$H64)),0)</f>
        <v>0</v>
      </c>
      <c r="AD66" s="144">
        <f t="shared" ca="1" si="30"/>
        <v>0</v>
      </c>
    </row>
    <row r="69" spans="1:30" s="5" customFormat="1" ht="12" x14ac:dyDescent="0.2">
      <c r="A69" s="32" t="s">
        <v>214</v>
      </c>
      <c r="B69" s="123"/>
      <c r="C69" s="123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</row>
    <row r="70" spans="1:30" s="5" customFormat="1" ht="12" x14ac:dyDescent="0.2">
      <c r="B70" s="123"/>
      <c r="C70" s="123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</row>
    <row r="71" spans="1:30" s="5" customFormat="1" ht="12" x14ac:dyDescent="0.2">
      <c r="A71" s="32" t="s">
        <v>134</v>
      </c>
      <c r="B71" s="123"/>
      <c r="C71" s="123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</row>
    <row r="72" spans="1:30" s="5" customFormat="1" ht="12" x14ac:dyDescent="0.2">
      <c r="A72" s="183" t="s">
        <v>215</v>
      </c>
      <c r="B72" s="67" t="s">
        <v>58</v>
      </c>
      <c r="C72" s="67"/>
      <c r="D72" s="8"/>
      <c r="E72" s="8"/>
      <c r="F72" s="8"/>
      <c r="G72" s="8"/>
      <c r="H72" s="8"/>
      <c r="I72" s="8"/>
      <c r="J72" s="184"/>
      <c r="K72" s="184"/>
      <c r="L72" s="184"/>
      <c r="M72" s="184">
        <f t="shared" ref="M72:AB72" si="31">L74</f>
        <v>0</v>
      </c>
      <c r="N72" s="184">
        <f t="shared" si="31"/>
        <v>5.5959225220974576</v>
      </c>
      <c r="O72" s="184">
        <f t="shared" si="31"/>
        <v>5.5959225220974584</v>
      </c>
      <c r="P72" s="184">
        <f t="shared" si="31"/>
        <v>5.5959225220974576</v>
      </c>
      <c r="Q72" s="184">
        <f t="shared" si="31"/>
        <v>5.1446384477347591</v>
      </c>
      <c r="R72" s="184">
        <f t="shared" si="31"/>
        <v>5.1446384477347591</v>
      </c>
      <c r="S72" s="184">
        <f t="shared" si="31"/>
        <v>5.14463844773476</v>
      </c>
      <c r="T72" s="184">
        <f t="shared" si="31"/>
        <v>2.4820624089948398</v>
      </c>
      <c r="U72" s="184">
        <f t="shared" si="31"/>
        <v>2.4820624089948398</v>
      </c>
      <c r="V72" s="184">
        <f t="shared" si="31"/>
        <v>2.4820624089948398</v>
      </c>
      <c r="W72" s="184">
        <f t="shared" si="31"/>
        <v>2.4820624089948402</v>
      </c>
      <c r="X72" s="184">
        <f t="shared" si="31"/>
        <v>2.4820624089948398</v>
      </c>
      <c r="Y72" s="184">
        <f t="shared" si="31"/>
        <v>2.4820624089948398</v>
      </c>
      <c r="Z72" s="184">
        <f t="shared" si="31"/>
        <v>2.4820624089948398</v>
      </c>
      <c r="AA72" s="184">
        <f t="shared" si="31"/>
        <v>2.4820624089948402</v>
      </c>
      <c r="AB72" s="184">
        <f t="shared" si="31"/>
        <v>2.4820624089948398</v>
      </c>
      <c r="AC72" s="184">
        <f t="shared" ref="AC72" si="32">AB74</f>
        <v>2.4820624089948398</v>
      </c>
      <c r="AD72" s="184">
        <f t="shared" ref="AD72" si="33">AC74</f>
        <v>2.4820624089948398</v>
      </c>
    </row>
    <row r="73" spans="1:30" s="5" customFormat="1" ht="12" x14ac:dyDescent="0.2">
      <c r="A73" s="183" t="s">
        <v>43</v>
      </c>
      <c r="B73" s="67" t="s">
        <v>58</v>
      </c>
      <c r="C73" s="67"/>
      <c r="D73" s="8"/>
      <c r="E73" s="8"/>
      <c r="F73" s="8"/>
      <c r="G73" s="8"/>
      <c r="H73" s="8"/>
      <c r="I73" s="8"/>
      <c r="J73" s="184"/>
      <c r="K73" s="184"/>
      <c r="L73" s="184"/>
      <c r="M73" s="184">
        <f>M19</f>
        <v>7.1655994080000003</v>
      </c>
      <c r="N73" s="184">
        <f>N19</f>
        <v>7.1852311872000012</v>
      </c>
      <c r="O73" s="184">
        <f>O19</f>
        <v>7.1655994080000003</v>
      </c>
      <c r="P73" s="184">
        <f>P19</f>
        <v>6.5877284880000007</v>
      </c>
      <c r="Q73" s="184">
        <f>Q19</f>
        <v>6.5877284880000007</v>
      </c>
      <c r="R73" s="184">
        <f>R19</f>
        <v>6.6057770592000011</v>
      </c>
      <c r="S73" s="184">
        <f>S19</f>
        <v>3.1782900600000001</v>
      </c>
      <c r="T73" s="184">
        <f>T19</f>
        <v>3.1782900600000001</v>
      </c>
      <c r="U73" s="184">
        <f>U19</f>
        <v>3.1782900600000001</v>
      </c>
      <c r="V73" s="184">
        <f>V19</f>
        <v>3.1869977040000004</v>
      </c>
      <c r="W73" s="184">
        <f>W19</f>
        <v>3.1782900600000001</v>
      </c>
      <c r="X73" s="184">
        <f>X19</f>
        <v>3.1782900600000001</v>
      </c>
      <c r="Y73" s="184">
        <f>Y19</f>
        <v>3.1782900600000001</v>
      </c>
      <c r="Z73" s="184">
        <f>Z19</f>
        <v>3.1869977040000004</v>
      </c>
      <c r="AA73" s="184">
        <f>AA19</f>
        <v>3.1782900600000001</v>
      </c>
      <c r="AB73" s="184">
        <f>AB19</f>
        <v>3.1782900600000001</v>
      </c>
      <c r="AC73" s="184">
        <f>AC19</f>
        <v>3.1782900600000001</v>
      </c>
      <c r="AD73" s="184">
        <f>AD19</f>
        <v>3.1869977040000004</v>
      </c>
    </row>
    <row r="74" spans="1:30" s="5" customFormat="1" ht="12" x14ac:dyDescent="0.2">
      <c r="A74" s="185" t="s">
        <v>105</v>
      </c>
      <c r="B74" s="67" t="s">
        <v>58</v>
      </c>
      <c r="C74" s="67"/>
      <c r="D74" s="8"/>
      <c r="E74" s="8"/>
      <c r="F74" s="8"/>
      <c r="G74" s="8"/>
      <c r="H74" s="8"/>
      <c r="I74" s="7">
        <f>Assumptions!I72</f>
        <v>10.165800000000001</v>
      </c>
      <c r="J74" s="187"/>
      <c r="K74" s="187"/>
      <c r="L74" s="187"/>
      <c r="M74" s="187">
        <f>M73*(Assumptions!$M$74/'RKA P&amp;L'!M3)</f>
        <v>5.5959225220974576</v>
      </c>
      <c r="N74" s="187">
        <f>N73*(Assumptions!$M$74/'RKA P&amp;L'!N3)</f>
        <v>5.5959225220974584</v>
      </c>
      <c r="O74" s="187">
        <f>O73*(Assumptions!$M$74/'RKA P&amp;L'!O3)</f>
        <v>5.5959225220974576</v>
      </c>
      <c r="P74" s="187">
        <f>P73*(Assumptions!$M$74/'RKA P&amp;L'!P3)</f>
        <v>5.1446384477347591</v>
      </c>
      <c r="Q74" s="187">
        <f>Q73*(Assumptions!$M$74/'RKA P&amp;L'!Q3)</f>
        <v>5.1446384477347591</v>
      </c>
      <c r="R74" s="187">
        <f>R73*(Assumptions!$M$74/'RKA P&amp;L'!R3)</f>
        <v>5.14463844773476</v>
      </c>
      <c r="S74" s="187">
        <f>S73*(Assumptions!$M$74/'RKA P&amp;L'!S3)</f>
        <v>2.4820624089948398</v>
      </c>
      <c r="T74" s="187">
        <f>T73*(Assumptions!$M$74/'RKA P&amp;L'!T3)</f>
        <v>2.4820624089948398</v>
      </c>
      <c r="U74" s="187">
        <f>U73*(Assumptions!$M$74/'RKA P&amp;L'!U3)</f>
        <v>2.4820624089948398</v>
      </c>
      <c r="V74" s="187">
        <f>V73*(Assumptions!$M$74/'RKA P&amp;L'!V3)</f>
        <v>2.4820624089948402</v>
      </c>
      <c r="W74" s="187">
        <f>W73*(Assumptions!$M$74/'RKA P&amp;L'!W3)</f>
        <v>2.4820624089948398</v>
      </c>
      <c r="X74" s="187">
        <f>X73*(Assumptions!$M$74/'RKA P&amp;L'!X3)</f>
        <v>2.4820624089948398</v>
      </c>
      <c r="Y74" s="187">
        <f>Y73*(Assumptions!$M$74/'RKA P&amp;L'!Y3)</f>
        <v>2.4820624089948398</v>
      </c>
      <c r="Z74" s="187">
        <f>Z73*(Assumptions!$M$74/'RKA P&amp;L'!Z3)</f>
        <v>2.4820624089948402</v>
      </c>
      <c r="AA74" s="187">
        <f>AA73*(Assumptions!$M$74/'RKA P&amp;L'!AA3)</f>
        <v>2.4820624089948398</v>
      </c>
      <c r="AB74" s="187">
        <f>AB73*(Assumptions!$M$74/'RKA P&amp;L'!AB3)</f>
        <v>2.4820624089948398</v>
      </c>
      <c r="AC74" s="187">
        <f>AC73*(Assumptions!$M$74/'RKA P&amp;L'!AC3)</f>
        <v>2.4820624089948398</v>
      </c>
      <c r="AD74" s="187">
        <f>AD73*(Assumptions!$M$74/'RKA P&amp;L'!AD3)</f>
        <v>2.4820624089948402</v>
      </c>
    </row>
    <row r="75" spans="1:30" s="5" customFormat="1" ht="12" x14ac:dyDescent="0.2">
      <c r="A75" s="183" t="s">
        <v>216</v>
      </c>
      <c r="B75" s="67" t="s">
        <v>58</v>
      </c>
      <c r="C75" s="67"/>
      <c r="D75" s="8"/>
      <c r="E75" s="8"/>
      <c r="F75" s="8"/>
      <c r="G75" s="8"/>
      <c r="H75" s="8"/>
      <c r="I75" s="8"/>
      <c r="J75" s="184"/>
      <c r="K75" s="184"/>
      <c r="L75" s="184"/>
      <c r="M75" s="184">
        <f t="shared" ref="M75:AB75" si="34">+M72+M73-M74</f>
        <v>1.5696768859025427</v>
      </c>
      <c r="N75" s="184">
        <f t="shared" si="34"/>
        <v>7.1852311872000012</v>
      </c>
      <c r="O75" s="184">
        <f t="shared" si="34"/>
        <v>7.1655994080000012</v>
      </c>
      <c r="P75" s="184">
        <f t="shared" si="34"/>
        <v>7.0390125623626991</v>
      </c>
      <c r="Q75" s="184">
        <f t="shared" si="34"/>
        <v>6.5877284880000007</v>
      </c>
      <c r="R75" s="184">
        <f t="shared" si="34"/>
        <v>6.6057770592000011</v>
      </c>
      <c r="S75" s="184">
        <f t="shared" si="34"/>
        <v>5.8408660987399204</v>
      </c>
      <c r="T75" s="184">
        <f t="shared" si="34"/>
        <v>3.1782900600000001</v>
      </c>
      <c r="U75" s="184">
        <f t="shared" si="34"/>
        <v>3.1782900600000001</v>
      </c>
      <c r="V75" s="184">
        <f t="shared" si="34"/>
        <v>3.1869977039999999</v>
      </c>
      <c r="W75" s="184">
        <f t="shared" si="34"/>
        <v>3.178290060000001</v>
      </c>
      <c r="X75" s="184">
        <f t="shared" si="34"/>
        <v>3.1782900600000001</v>
      </c>
      <c r="Y75" s="184">
        <f t="shared" si="34"/>
        <v>3.1782900600000001</v>
      </c>
      <c r="Z75" s="184">
        <f t="shared" si="34"/>
        <v>3.1869977039999999</v>
      </c>
      <c r="AA75" s="184">
        <f t="shared" si="34"/>
        <v>3.178290060000001</v>
      </c>
      <c r="AB75" s="184">
        <f t="shared" si="34"/>
        <v>3.1782900600000001</v>
      </c>
      <c r="AC75" s="184">
        <f t="shared" ref="AC75:AD75" si="35">+AC72+AC73-AC74</f>
        <v>3.1782900600000001</v>
      </c>
      <c r="AD75" s="184">
        <f t="shared" si="35"/>
        <v>3.1869977039999999</v>
      </c>
    </row>
    <row r="76" spans="1:30" s="5" customFormat="1" ht="12" x14ac:dyDescent="0.2">
      <c r="B76" s="123"/>
      <c r="C76" s="123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</row>
    <row r="77" spans="1:30" s="5" customFormat="1" x14ac:dyDescent="0.25">
      <c r="A77" s="8" t="s">
        <v>251</v>
      </c>
      <c r="B77" s="67" t="s">
        <v>58</v>
      </c>
      <c r="C77" s="67"/>
      <c r="D77" s="8"/>
      <c r="E77" s="8"/>
      <c r="F77" s="8"/>
      <c r="G77" s="8"/>
      <c r="H77" s="8"/>
      <c r="I77" s="199">
        <v>4.7600000000000003E-2</v>
      </c>
      <c r="J77"/>
      <c r="K77"/>
      <c r="L77"/>
      <c r="M7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</row>
    <row r="78" spans="1:30" s="5" customFormat="1" x14ac:dyDescent="0.25">
      <c r="B78" s="123"/>
      <c r="C78" s="123"/>
      <c r="I78" s="18"/>
      <c r="J78"/>
      <c r="K78"/>
      <c r="L78"/>
      <c r="M78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</row>
    <row r="79" spans="1:30" s="5" customFormat="1" x14ac:dyDescent="0.25">
      <c r="A79" s="8" t="s">
        <v>250</v>
      </c>
      <c r="B79" s="67" t="s">
        <v>58</v>
      </c>
      <c r="C79" s="67"/>
      <c r="D79" s="8"/>
      <c r="E79" s="8"/>
      <c r="F79" s="8"/>
      <c r="G79" s="8"/>
      <c r="H79" s="8"/>
      <c r="I79" s="199">
        <v>0.54300000000000004</v>
      </c>
      <c r="J79"/>
      <c r="K79"/>
      <c r="L79"/>
      <c r="M79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</row>
    <row r="80" spans="1:30" s="5" customFormat="1" x14ac:dyDescent="0.25">
      <c r="B80" s="123"/>
      <c r="C80" s="123"/>
      <c r="I80" s="18"/>
      <c r="J80"/>
      <c r="K80"/>
      <c r="L80"/>
      <c r="M80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</row>
    <row r="81" spans="1:30" s="5" customFormat="1" x14ac:dyDescent="0.25">
      <c r="A81" s="8" t="s">
        <v>233</v>
      </c>
      <c r="B81" s="67" t="s">
        <v>58</v>
      </c>
      <c r="C81" s="67"/>
      <c r="D81" s="8"/>
      <c r="E81" s="8"/>
      <c r="F81" s="8"/>
      <c r="G81" s="8"/>
      <c r="H81" s="8"/>
      <c r="I81" s="199">
        <v>0.85029999999999994</v>
      </c>
      <c r="J81"/>
      <c r="K81"/>
      <c r="L81"/>
      <c r="M81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</row>
    <row r="82" spans="1:30" s="5" customFormat="1" ht="12" x14ac:dyDescent="0.2">
      <c r="B82" s="123"/>
      <c r="C82" s="123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</row>
    <row r="83" spans="1:30" s="5" customFormat="1" ht="12" x14ac:dyDescent="0.2">
      <c r="A83" s="32" t="s">
        <v>136</v>
      </c>
      <c r="B83" s="123"/>
      <c r="C83" s="123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</row>
    <row r="84" spans="1:30" s="5" customFormat="1" ht="12" x14ac:dyDescent="0.2">
      <c r="A84" s="183" t="s">
        <v>215</v>
      </c>
      <c r="B84" s="67" t="s">
        <v>58</v>
      </c>
      <c r="C84" s="67"/>
      <c r="D84" s="8"/>
      <c r="E84" s="8"/>
      <c r="F84" s="8"/>
      <c r="G84" s="8"/>
      <c r="H84" s="8"/>
      <c r="I84" s="8"/>
      <c r="J84" s="184"/>
      <c r="K84" s="184"/>
      <c r="L84" s="184"/>
      <c r="M84" s="184">
        <f t="shared" ref="M84:AB84" si="36">L86</f>
        <v>0</v>
      </c>
      <c r="N84" s="184">
        <f t="shared" si="36"/>
        <v>1.0157457571918622</v>
      </c>
      <c r="O84" s="184">
        <f t="shared" si="36"/>
        <v>1.0636190203382001</v>
      </c>
      <c r="P84" s="184">
        <f t="shared" si="36"/>
        <v>1.1198596973040282</v>
      </c>
      <c r="Q84" s="184">
        <f t="shared" si="36"/>
        <v>1.1758526821692297</v>
      </c>
      <c r="R84" s="184">
        <f t="shared" si="36"/>
        <v>1.2346453162776914</v>
      </c>
      <c r="S84" s="184">
        <f t="shared" si="36"/>
        <v>1.2928355668399594</v>
      </c>
      <c r="T84" s="184">
        <f t="shared" si="36"/>
        <v>1.3611964611961547</v>
      </c>
      <c r="U84" s="184">
        <f t="shared" si="36"/>
        <v>1.4292562842559626</v>
      </c>
      <c r="V84" s="184">
        <f t="shared" si="36"/>
        <v>1.5007190984687608</v>
      </c>
      <c r="W84" s="184">
        <f t="shared" si="36"/>
        <v>1.5714497117162638</v>
      </c>
      <c r="X84" s="184">
        <f t="shared" si="36"/>
        <v>1.654542806061809</v>
      </c>
      <c r="Y84" s="184">
        <f t="shared" si="36"/>
        <v>1.7372699463648995</v>
      </c>
      <c r="Z84" s="184">
        <f t="shared" si="36"/>
        <v>1.8241334436831445</v>
      </c>
      <c r="AA84" s="184">
        <f t="shared" si="36"/>
        <v>1.9101069461518172</v>
      </c>
      <c r="AB84" s="184">
        <f t="shared" si="36"/>
        <v>2.0111071216606669</v>
      </c>
      <c r="AC84" s="184">
        <f t="shared" ref="AC84" si="37">AB86</f>
        <v>2.1116624777437005</v>
      </c>
      <c r="AD84" s="184">
        <f t="shared" ref="AD84" si="38">AC86</f>
        <v>2.2172456016308852</v>
      </c>
    </row>
    <row r="85" spans="1:30" s="5" customFormat="1" ht="12" x14ac:dyDescent="0.2">
      <c r="A85" s="183" t="s">
        <v>43</v>
      </c>
      <c r="B85" s="67" t="s">
        <v>58</v>
      </c>
      <c r="C85" s="67"/>
      <c r="D85" s="8"/>
      <c r="E85" s="8"/>
      <c r="F85" s="8"/>
      <c r="G85" s="8"/>
      <c r="H85" s="8"/>
      <c r="I85" s="8"/>
      <c r="J85" s="184"/>
      <c r="K85" s="184"/>
      <c r="L85" s="184"/>
      <c r="M85" s="184">
        <f>M24</f>
        <v>0.87303300000000017</v>
      </c>
      <c r="N85" s="184">
        <f>N24</f>
        <v>0.91668465000000021</v>
      </c>
      <c r="O85" s="184">
        <f>O24</f>
        <v>0.96251888250000028</v>
      </c>
      <c r="P85" s="184">
        <f>P24</f>
        <v>1.0106448266250003</v>
      </c>
      <c r="Q85" s="184">
        <f>Q24</f>
        <v>1.0611770679562504</v>
      </c>
      <c r="R85" s="184">
        <f>R24</f>
        <v>1.1142359213540629</v>
      </c>
      <c r="S85" s="184">
        <f>S24</f>
        <v>1.1699477174217661</v>
      </c>
      <c r="T85" s="184">
        <f>T24</f>
        <v>1.2284451032928545</v>
      </c>
      <c r="U85" s="184">
        <f>U24</f>
        <v>1.2898673584574973</v>
      </c>
      <c r="V85" s="184">
        <f>V24</f>
        <v>1.3543607263803723</v>
      </c>
      <c r="W85" s="184">
        <f>W24</f>
        <v>1.4220787626993909</v>
      </c>
      <c r="X85" s="184">
        <f>X24</f>
        <v>1.4931827008343606</v>
      </c>
      <c r="Y85" s="184">
        <f>Y24</f>
        <v>1.5678418358760786</v>
      </c>
      <c r="Z85" s="184">
        <f>Z24</f>
        <v>1.6462339276698825</v>
      </c>
      <c r="AA85" s="184">
        <f>AA24</f>
        <v>1.7285456240533768</v>
      </c>
      <c r="AB85" s="184">
        <f>AB24</f>
        <v>1.8149729052560457</v>
      </c>
      <c r="AC85" s="184">
        <f>AC24</f>
        <v>1.9057215505188481</v>
      </c>
      <c r="AD85" s="184">
        <f>AD24</f>
        <v>2.0010076280447904</v>
      </c>
    </row>
    <row r="86" spans="1:30" s="5" customFormat="1" ht="12" x14ac:dyDescent="0.2">
      <c r="A86" s="185" t="s">
        <v>105</v>
      </c>
      <c r="B86" s="186" t="s">
        <v>58</v>
      </c>
      <c r="C86" s="67"/>
      <c r="D86" s="8"/>
      <c r="E86" s="8"/>
      <c r="F86" s="8"/>
      <c r="G86" s="8"/>
      <c r="H86" s="8"/>
      <c r="I86" s="7">
        <f>Assumptions!I77</f>
        <v>4.0601000000000003</v>
      </c>
      <c r="J86" s="187"/>
      <c r="K86" s="187"/>
      <c r="L86" s="187"/>
      <c r="M86" s="187">
        <f>M85*(Assumptions!$M$79/'RKA P&amp;L'!M3)</f>
        <v>1.0157457571918622</v>
      </c>
      <c r="N86" s="187">
        <f>N85*(Assumptions!$M$79/'RKA P&amp;L'!N3)</f>
        <v>1.0636190203382001</v>
      </c>
      <c r="O86" s="187">
        <f>O85*(Assumptions!$M$79/'RKA P&amp;L'!O3)</f>
        <v>1.1198596973040282</v>
      </c>
      <c r="P86" s="187">
        <f>P85*(Assumptions!$M$79/'RKA P&amp;L'!P3)</f>
        <v>1.1758526821692297</v>
      </c>
      <c r="Q86" s="187">
        <f>Q85*(Assumptions!$M$79/'RKA P&amp;L'!Q3)</f>
        <v>1.2346453162776914</v>
      </c>
      <c r="R86" s="187">
        <f>R85*(Assumptions!$M$79/'RKA P&amp;L'!R3)</f>
        <v>1.2928355668399594</v>
      </c>
      <c r="S86" s="187">
        <f>S85*(Assumptions!$M$79/'RKA P&amp;L'!S3)</f>
        <v>1.3611964611961547</v>
      </c>
      <c r="T86" s="187">
        <f>T85*(Assumptions!$M$79/'RKA P&amp;L'!T3)</f>
        <v>1.4292562842559626</v>
      </c>
      <c r="U86" s="187">
        <f>U85*(Assumptions!$M$79/'RKA P&amp;L'!U3)</f>
        <v>1.5007190984687608</v>
      </c>
      <c r="V86" s="187">
        <f>V85*(Assumptions!$M$79/'RKA P&amp;L'!V3)</f>
        <v>1.5714497117162638</v>
      </c>
      <c r="W86" s="187">
        <f>W85*(Assumptions!$M$79/'RKA P&amp;L'!W3)</f>
        <v>1.654542806061809</v>
      </c>
      <c r="X86" s="187">
        <f>X85*(Assumptions!$M$79/'RKA P&amp;L'!X3)</f>
        <v>1.7372699463648995</v>
      </c>
      <c r="Y86" s="187">
        <f>Y85*(Assumptions!$M$79/'RKA P&amp;L'!Y3)</f>
        <v>1.8241334436831445</v>
      </c>
      <c r="Z86" s="187">
        <f>Z85*(Assumptions!$M$79/'RKA P&amp;L'!Z3)</f>
        <v>1.9101069461518172</v>
      </c>
      <c r="AA86" s="187">
        <f>AA85*(Assumptions!$M$79/'RKA P&amp;L'!AA3)</f>
        <v>2.0111071216606669</v>
      </c>
      <c r="AB86" s="187">
        <f>AB85*(Assumptions!$M$79/'RKA P&amp;L'!AB3)</f>
        <v>2.1116624777437005</v>
      </c>
      <c r="AC86" s="187">
        <f>AC85*(Assumptions!$M$79/'RKA P&amp;L'!AC3)</f>
        <v>2.2172456016308852</v>
      </c>
      <c r="AD86" s="187">
        <f>AD85*(Assumptions!$M$79/'RKA P&amp;L'!AD3)</f>
        <v>2.3217469312159476</v>
      </c>
    </row>
    <row r="87" spans="1:30" s="5" customFormat="1" ht="12" x14ac:dyDescent="0.2">
      <c r="A87" s="8" t="s">
        <v>217</v>
      </c>
      <c r="B87" s="67" t="s">
        <v>58</v>
      </c>
      <c r="C87" s="67"/>
      <c r="D87" s="8"/>
      <c r="E87" s="8"/>
      <c r="F87" s="8"/>
      <c r="G87" s="8"/>
      <c r="H87" s="8"/>
      <c r="I87" s="8"/>
      <c r="J87" s="184"/>
      <c r="K87" s="184"/>
      <c r="L87" s="184"/>
      <c r="M87" s="184">
        <f t="shared" ref="M87:AB87" si="39">+M84+M85-M86</f>
        <v>-0.14271275719186205</v>
      </c>
      <c r="N87" s="184">
        <f t="shared" si="39"/>
        <v>0.86881138685366244</v>
      </c>
      <c r="O87" s="184">
        <f t="shared" si="39"/>
        <v>0.90627820553417227</v>
      </c>
      <c r="P87" s="184">
        <f t="shared" si="39"/>
        <v>0.95465184175979867</v>
      </c>
      <c r="Q87" s="184">
        <f t="shared" si="39"/>
        <v>1.0023844338477887</v>
      </c>
      <c r="R87" s="184">
        <f t="shared" si="39"/>
        <v>1.0560456707917949</v>
      </c>
      <c r="S87" s="184">
        <f t="shared" si="39"/>
        <v>1.1015868230655705</v>
      </c>
      <c r="T87" s="184">
        <f t="shared" si="39"/>
        <v>1.1603852802330465</v>
      </c>
      <c r="U87" s="184">
        <f t="shared" si="39"/>
        <v>1.2184045442446991</v>
      </c>
      <c r="V87" s="184">
        <f t="shared" si="39"/>
        <v>1.2836301131328691</v>
      </c>
      <c r="W87" s="184">
        <f t="shared" si="39"/>
        <v>1.3389856683538457</v>
      </c>
      <c r="X87" s="184">
        <f t="shared" si="39"/>
        <v>1.4104555605312703</v>
      </c>
      <c r="Y87" s="184">
        <f t="shared" si="39"/>
        <v>1.4809783385578335</v>
      </c>
      <c r="Z87" s="184">
        <f t="shared" si="39"/>
        <v>1.5602604252012098</v>
      </c>
      <c r="AA87" s="184">
        <f t="shared" si="39"/>
        <v>1.6275454485445269</v>
      </c>
      <c r="AB87" s="184">
        <f t="shared" si="39"/>
        <v>1.714417549173012</v>
      </c>
      <c r="AC87" s="184">
        <f t="shared" ref="AC87:AD87" si="40">+AC84+AC85-AC86</f>
        <v>1.8001384266316633</v>
      </c>
      <c r="AD87" s="184">
        <f t="shared" si="40"/>
        <v>1.8965062984597281</v>
      </c>
    </row>
    <row r="88" spans="1:30" s="5" customFormat="1" ht="12" x14ac:dyDescent="0.2">
      <c r="B88" s="123"/>
      <c r="C88" s="123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</row>
    <row r="89" spans="1:30" s="5" customFormat="1" ht="12" x14ac:dyDescent="0.2">
      <c r="A89" s="8" t="s">
        <v>236</v>
      </c>
      <c r="B89" s="67" t="s">
        <v>58</v>
      </c>
      <c r="C89" s="67"/>
      <c r="D89" s="8"/>
      <c r="E89" s="8"/>
      <c r="F89" s="8"/>
      <c r="G89" s="8"/>
      <c r="H89" s="8"/>
      <c r="I89" s="7">
        <v>0</v>
      </c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</row>
    <row r="90" spans="1:30" s="5" customFormat="1" ht="12" x14ac:dyDescent="0.2">
      <c r="B90" s="123"/>
      <c r="C90" s="123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</row>
    <row r="91" spans="1:30" s="5" customFormat="1" ht="12" x14ac:dyDescent="0.2">
      <c r="A91" s="32" t="s">
        <v>218</v>
      </c>
      <c r="B91" s="186" t="s">
        <v>58</v>
      </c>
      <c r="C91" s="67"/>
      <c r="D91" s="8"/>
      <c r="E91" s="8"/>
      <c r="F91" s="8"/>
      <c r="G91" s="8"/>
      <c r="H91" s="8"/>
      <c r="I91" s="199">
        <f>I74+I77+I81-I86-I89+I79</f>
        <v>7.5466000000000006</v>
      </c>
      <c r="J91" s="53"/>
      <c r="K91" s="53"/>
      <c r="L91" s="53"/>
      <c r="M91" s="53">
        <f t="shared" ref="M91:AD91" si="41">M74-M86</f>
        <v>4.5801767649055956</v>
      </c>
      <c r="N91" s="53">
        <f t="shared" si="41"/>
        <v>4.5323035017592588</v>
      </c>
      <c r="O91" s="53">
        <f t="shared" si="41"/>
        <v>4.4760628247934289</v>
      </c>
      <c r="P91" s="53">
        <f t="shared" si="41"/>
        <v>3.9687857655655296</v>
      </c>
      <c r="Q91" s="53">
        <f t="shared" si="41"/>
        <v>3.9099931314570675</v>
      </c>
      <c r="R91" s="53">
        <f t="shared" si="41"/>
        <v>3.8518028808948008</v>
      </c>
      <c r="S91" s="53">
        <f t="shared" si="41"/>
        <v>1.1208659477986851</v>
      </c>
      <c r="T91" s="53">
        <f t="shared" si="41"/>
        <v>1.0528061247388771</v>
      </c>
      <c r="U91" s="53">
        <f t="shared" si="41"/>
        <v>0.98134331052607893</v>
      </c>
      <c r="V91" s="53">
        <f t="shared" si="41"/>
        <v>0.91061269727857641</v>
      </c>
      <c r="W91" s="53">
        <f t="shared" si="41"/>
        <v>0.82751960293303073</v>
      </c>
      <c r="X91" s="53">
        <f t="shared" si="41"/>
        <v>0.74479246262994026</v>
      </c>
      <c r="Y91" s="53">
        <f t="shared" si="41"/>
        <v>0.65792896531169531</v>
      </c>
      <c r="Z91" s="53">
        <f t="shared" si="41"/>
        <v>0.57195546284302301</v>
      </c>
      <c r="AA91" s="53">
        <f t="shared" si="41"/>
        <v>0.47095528733417291</v>
      </c>
      <c r="AB91" s="53">
        <f t="shared" si="41"/>
        <v>0.37039993125113924</v>
      </c>
      <c r="AC91" s="53">
        <f t="shared" si="41"/>
        <v>0.26481680736395452</v>
      </c>
      <c r="AD91" s="53">
        <f t="shared" si="41"/>
        <v>0.16031547777889266</v>
      </c>
    </row>
    <row r="92" spans="1:30" s="5" customFormat="1" ht="12" x14ac:dyDescent="0.2">
      <c r="B92" s="123"/>
      <c r="C92" s="123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</row>
    <row r="93" spans="1:30" s="5" customFormat="1" ht="12" x14ac:dyDescent="0.2">
      <c r="A93" s="32" t="s">
        <v>219</v>
      </c>
      <c r="B93" s="186" t="s">
        <v>58</v>
      </c>
      <c r="C93" s="67"/>
      <c r="D93" s="8"/>
      <c r="E93" s="8"/>
      <c r="F93" s="8"/>
      <c r="G93" s="8"/>
      <c r="H93" s="8"/>
      <c r="I93" s="8"/>
      <c r="J93" s="187"/>
      <c r="K93" s="187"/>
      <c r="L93" s="187"/>
      <c r="M93" s="187">
        <f t="shared" ref="M93:AD93" si="42">+M91-L91</f>
        <v>4.5801767649055956</v>
      </c>
      <c r="N93" s="187">
        <f t="shared" si="42"/>
        <v>-4.7873263146336775E-2</v>
      </c>
      <c r="O93" s="187">
        <f t="shared" si="42"/>
        <v>-5.6240676965829905E-2</v>
      </c>
      <c r="P93" s="187">
        <f t="shared" si="42"/>
        <v>-0.50727705922789923</v>
      </c>
      <c r="Q93" s="187">
        <f t="shared" si="42"/>
        <v>-5.8792634108462138E-2</v>
      </c>
      <c r="R93" s="187">
        <f t="shared" si="42"/>
        <v>-5.8190250562266677E-2</v>
      </c>
      <c r="S93" s="187">
        <f t="shared" si="42"/>
        <v>-2.7309369330961157</v>
      </c>
      <c r="T93" s="187">
        <f t="shared" si="42"/>
        <v>-6.8059823059807956E-2</v>
      </c>
      <c r="U93" s="187">
        <f t="shared" si="42"/>
        <v>-7.1462814212798209E-2</v>
      </c>
      <c r="V93" s="187">
        <f t="shared" si="42"/>
        <v>-7.0730613247502516E-2</v>
      </c>
      <c r="W93" s="187">
        <f t="shared" si="42"/>
        <v>-8.3093094345545682E-2</v>
      </c>
      <c r="X93" s="187">
        <f t="shared" si="42"/>
        <v>-8.2727140303090474E-2</v>
      </c>
      <c r="Y93" s="187">
        <f t="shared" si="42"/>
        <v>-8.6863497318244942E-2</v>
      </c>
      <c r="Z93" s="187">
        <f t="shared" si="42"/>
        <v>-8.5973502468672303E-2</v>
      </c>
      <c r="AA93" s="187">
        <f t="shared" si="42"/>
        <v>-0.1010001755088501</v>
      </c>
      <c r="AB93" s="187">
        <f t="shared" si="42"/>
        <v>-0.10055535608303368</v>
      </c>
      <c r="AC93" s="187">
        <f t="shared" si="42"/>
        <v>-0.10558312388718472</v>
      </c>
      <c r="AD93" s="187">
        <f t="shared" si="42"/>
        <v>-0.10450132958506186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topLeftCell="A7" workbookViewId="0">
      <selection activeCell="J23" sqref="J23"/>
    </sheetView>
  </sheetViews>
  <sheetFormatPr defaultRowHeight="15" x14ac:dyDescent="0.25"/>
  <cols>
    <col min="1" max="1" width="54.7109375" bestFit="1" customWidth="1"/>
    <col min="2" max="2" width="9.42578125" bestFit="1" customWidth="1"/>
    <col min="3" max="3" width="11.28515625" bestFit="1" customWidth="1"/>
    <col min="4" max="4" width="11.7109375" bestFit="1" customWidth="1"/>
    <col min="5" max="5" width="9.7109375" bestFit="1" customWidth="1"/>
    <col min="6" max="9" width="8.42578125" bestFit="1" customWidth="1"/>
    <col min="10" max="10" width="9.28515625" bestFit="1" customWidth="1"/>
    <col min="11" max="13" width="8.42578125" bestFit="1" customWidth="1"/>
  </cols>
  <sheetData>
    <row r="1" spans="1:22" x14ac:dyDescent="0.25">
      <c r="A1" s="103" t="s">
        <v>246</v>
      </c>
    </row>
    <row r="3" spans="1:22" ht="45" x14ac:dyDescent="0.25">
      <c r="A3" s="99" t="s">
        <v>95</v>
      </c>
      <c r="B3" s="99" t="s">
        <v>96</v>
      </c>
      <c r="C3" s="99" t="s">
        <v>97</v>
      </c>
      <c r="D3" s="99" t="s">
        <v>98</v>
      </c>
      <c r="E3" s="99" t="s">
        <v>99</v>
      </c>
      <c r="F3" s="99" t="s">
        <v>100</v>
      </c>
    </row>
    <row r="4" spans="1:22" ht="30" x14ac:dyDescent="0.25">
      <c r="A4" s="94" t="s">
        <v>227</v>
      </c>
      <c r="B4" s="94" t="s">
        <v>58</v>
      </c>
      <c r="C4" s="94">
        <f>Assumptions!D35</f>
        <v>17.875</v>
      </c>
      <c r="D4" s="95">
        <f>Assumptions!$C$35</f>
        <v>0.14349999999999999</v>
      </c>
      <c r="E4" s="96">
        <f>F4*4</f>
        <v>24</v>
      </c>
      <c r="F4" s="97">
        <v>6</v>
      </c>
    </row>
    <row r="5" spans="1:22" ht="30" x14ac:dyDescent="0.25">
      <c r="A5" s="94" t="s">
        <v>228</v>
      </c>
      <c r="B5" s="94" t="s">
        <v>58</v>
      </c>
      <c r="C5" s="94">
        <v>0</v>
      </c>
      <c r="D5" s="95">
        <f>Assumptions!$C$35</f>
        <v>0.14349999999999999</v>
      </c>
      <c r="E5" s="96">
        <f>F5*4</f>
        <v>24</v>
      </c>
      <c r="F5" s="97">
        <v>6</v>
      </c>
    </row>
    <row r="6" spans="1:22" ht="30" x14ac:dyDescent="0.25">
      <c r="A6" s="128" t="s">
        <v>101</v>
      </c>
      <c r="B6" s="179" t="str">
        <f>[94]Assumptions!C75</f>
        <v>INR Crore</v>
      </c>
      <c r="C6" s="180">
        <f>SUM(C4:C5)</f>
        <v>17.875</v>
      </c>
      <c r="D6" s="181">
        <f>SUMPRODUCT(C4:C5,D4:D5)/C6</f>
        <v>0.14349999999999999</v>
      </c>
      <c r="E6" s="182"/>
      <c r="F6" s="182">
        <f>F5</f>
        <v>6</v>
      </c>
    </row>
    <row r="9" spans="1:22" x14ac:dyDescent="0.25">
      <c r="A9" s="99" t="s">
        <v>95</v>
      </c>
      <c r="B9" s="100">
        <f>Assumptions!J4</f>
        <v>43921</v>
      </c>
      <c r="C9" s="100">
        <f>Assumptions!K4</f>
        <v>44286</v>
      </c>
      <c r="D9" s="100">
        <f>Assumptions!L4</f>
        <v>44651</v>
      </c>
      <c r="E9" s="100">
        <f>Assumptions!M4</f>
        <v>45016</v>
      </c>
      <c r="F9" s="100">
        <f>Assumptions!N4</f>
        <v>45382</v>
      </c>
      <c r="G9" s="100">
        <f>Assumptions!O4</f>
        <v>45747</v>
      </c>
      <c r="H9" s="100">
        <f>Assumptions!P4</f>
        <v>46112</v>
      </c>
      <c r="I9" s="100">
        <f>Assumptions!Q4</f>
        <v>46477</v>
      </c>
      <c r="J9" s="100">
        <f>Assumptions!R4</f>
        <v>46843</v>
      </c>
      <c r="K9" s="100">
        <f>Assumptions!S4</f>
        <v>47208</v>
      </c>
      <c r="L9" s="100">
        <f>Assumptions!T4</f>
        <v>47573</v>
      </c>
      <c r="M9" s="100">
        <f>Assumptions!U4</f>
        <v>47938</v>
      </c>
      <c r="N9" s="100">
        <f>Assumptions!V4</f>
        <v>48304</v>
      </c>
      <c r="O9" s="100">
        <f>Assumptions!W4</f>
        <v>48669</v>
      </c>
      <c r="P9" s="100">
        <f>Assumptions!X4</f>
        <v>49034</v>
      </c>
      <c r="Q9" s="100">
        <f>Assumptions!Y4</f>
        <v>49399</v>
      </c>
      <c r="R9" s="100">
        <f>Assumptions!Z4</f>
        <v>49765</v>
      </c>
      <c r="S9" s="100">
        <f>Assumptions!AA4</f>
        <v>50130</v>
      </c>
      <c r="T9" s="100">
        <f>Assumptions!AB4</f>
        <v>50495</v>
      </c>
      <c r="U9" s="100">
        <f>Assumptions!AC4</f>
        <v>50860</v>
      </c>
      <c r="V9" s="100">
        <f>Assumptions!AD4</f>
        <v>51226</v>
      </c>
    </row>
    <row r="10" spans="1:22" x14ac:dyDescent="0.25">
      <c r="A10" s="2" t="s">
        <v>102</v>
      </c>
      <c r="B10" s="98"/>
      <c r="C10" s="98"/>
      <c r="D10" s="98"/>
      <c r="E10" s="98">
        <f>$C$6</f>
        <v>17.875</v>
      </c>
      <c r="F10" s="98">
        <f t="shared" ref="F10:H10" si="0">E13</f>
        <v>14.895833333333334</v>
      </c>
      <c r="G10" s="98">
        <f t="shared" si="0"/>
        <v>11.916666666666668</v>
      </c>
      <c r="H10" s="98">
        <f t="shared" si="0"/>
        <v>8.9375000000000018</v>
      </c>
      <c r="I10" s="98">
        <f t="shared" ref="I10" si="1">H13</f>
        <v>5.9583333333333357</v>
      </c>
      <c r="J10" s="98">
        <f t="shared" ref="J10" si="2">I13</f>
        <v>2.9791666666666692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0</v>
      </c>
      <c r="U10" s="94">
        <v>0</v>
      </c>
      <c r="V10" s="94">
        <v>0</v>
      </c>
    </row>
    <row r="11" spans="1:22" x14ac:dyDescent="0.25">
      <c r="A11" s="2" t="s">
        <v>103</v>
      </c>
      <c r="B11" s="98"/>
      <c r="C11" s="98"/>
      <c r="D11" s="98"/>
      <c r="E11" s="98">
        <f t="shared" ref="E11:J11" si="3">$C$6/$F$6</f>
        <v>2.9791666666666665</v>
      </c>
      <c r="F11" s="98">
        <f t="shared" si="3"/>
        <v>2.9791666666666665</v>
      </c>
      <c r="G11" s="98">
        <f t="shared" si="3"/>
        <v>2.9791666666666665</v>
      </c>
      <c r="H11" s="98">
        <f t="shared" si="3"/>
        <v>2.9791666666666665</v>
      </c>
      <c r="I11" s="98">
        <f t="shared" si="3"/>
        <v>2.9791666666666665</v>
      </c>
      <c r="J11" s="98">
        <f t="shared" si="3"/>
        <v>2.9791666666666665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</row>
    <row r="12" spans="1:22" x14ac:dyDescent="0.25">
      <c r="A12" s="2" t="s">
        <v>104</v>
      </c>
      <c r="B12" s="98"/>
      <c r="C12" s="98"/>
      <c r="D12" s="98"/>
      <c r="E12" s="98">
        <f t="shared" ref="E12:G12" si="4">E10*$D$6</f>
        <v>2.5650624999999998</v>
      </c>
      <c r="F12" s="98">
        <f t="shared" si="4"/>
        <v>2.1375520833333335</v>
      </c>
      <c r="G12" s="98">
        <f t="shared" si="4"/>
        <v>1.7100416666666667</v>
      </c>
      <c r="H12" s="98">
        <f t="shared" ref="H12:J12" si="5">H10*$D$6</f>
        <v>1.2825312500000001</v>
      </c>
      <c r="I12" s="98">
        <f t="shared" si="5"/>
        <v>0.85502083333333356</v>
      </c>
      <c r="J12" s="98">
        <f t="shared" si="5"/>
        <v>0.427510416666667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</row>
    <row r="13" spans="1:22" x14ac:dyDescent="0.25">
      <c r="A13" s="2" t="s">
        <v>105</v>
      </c>
      <c r="B13" s="98"/>
      <c r="C13" s="98"/>
      <c r="D13" s="98"/>
      <c r="E13" s="98">
        <f t="shared" ref="E13:G13" si="6">E10-E11</f>
        <v>14.895833333333334</v>
      </c>
      <c r="F13" s="98">
        <f t="shared" si="6"/>
        <v>11.916666666666668</v>
      </c>
      <c r="G13" s="98">
        <f t="shared" si="6"/>
        <v>8.9375000000000018</v>
      </c>
      <c r="H13" s="98">
        <f t="shared" ref="H13:J13" si="7">H10-H11</f>
        <v>5.9583333333333357</v>
      </c>
      <c r="I13" s="98">
        <f t="shared" si="7"/>
        <v>2.9791666666666692</v>
      </c>
      <c r="J13" s="98">
        <f t="shared" si="7"/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</row>
    <row r="16" spans="1:22" x14ac:dyDescent="0.25">
      <c r="A16" s="103" t="s">
        <v>262</v>
      </c>
    </row>
    <row r="18" spans="1:22" ht="45" x14ac:dyDescent="0.25">
      <c r="A18" s="99" t="s">
        <v>95</v>
      </c>
      <c r="B18" s="99" t="s">
        <v>96</v>
      </c>
      <c r="C18" s="99" t="s">
        <v>97</v>
      </c>
      <c r="D18" s="99" t="s">
        <v>98</v>
      </c>
      <c r="E18" s="99" t="s">
        <v>99</v>
      </c>
      <c r="F18" s="99" t="s">
        <v>100</v>
      </c>
    </row>
    <row r="19" spans="1:22" ht="30" x14ac:dyDescent="0.25">
      <c r="A19" s="94" t="s">
        <v>227</v>
      </c>
      <c r="B19" s="94" t="s">
        <v>58</v>
      </c>
      <c r="C19" s="94">
        <v>34.3142</v>
      </c>
      <c r="D19" s="95">
        <f>Assumptions!C36</f>
        <v>0.125</v>
      </c>
      <c r="E19" s="96">
        <f>F19*4</f>
        <v>20</v>
      </c>
      <c r="F19" s="97">
        <v>5</v>
      </c>
    </row>
    <row r="20" spans="1:22" ht="30" x14ac:dyDescent="0.25">
      <c r="A20" s="94" t="s">
        <v>228</v>
      </c>
      <c r="B20" s="94" t="s">
        <v>58</v>
      </c>
      <c r="C20" s="94">
        <v>19.32</v>
      </c>
      <c r="D20" s="95">
        <f>Assumptions!C36</f>
        <v>0.125</v>
      </c>
      <c r="E20" s="96">
        <f>F20*4</f>
        <v>20</v>
      </c>
      <c r="F20" s="97">
        <v>5</v>
      </c>
    </row>
    <row r="21" spans="1:22" ht="30" x14ac:dyDescent="0.25">
      <c r="A21" s="128" t="s">
        <v>101</v>
      </c>
      <c r="B21" s="179" t="s">
        <v>58</v>
      </c>
      <c r="C21" s="180">
        <f>SUM(C19:C20)</f>
        <v>53.6342</v>
      </c>
      <c r="D21" s="181">
        <f>SUMPRODUCT(C19:C20,D19:D20)/C21</f>
        <v>0.125</v>
      </c>
      <c r="E21" s="182"/>
      <c r="F21" s="182">
        <f>F20</f>
        <v>5</v>
      </c>
    </row>
    <row r="23" spans="1:22" x14ac:dyDescent="0.25">
      <c r="A23" s="99" t="s">
        <v>95</v>
      </c>
      <c r="B23" s="100">
        <f>Assumptions!J$4</f>
        <v>43921</v>
      </c>
      <c r="C23" s="100">
        <f>Assumptions!K$4</f>
        <v>44286</v>
      </c>
      <c r="D23" s="100">
        <f>Assumptions!L$4</f>
        <v>44651</v>
      </c>
      <c r="E23" s="100">
        <f>Assumptions!M$4</f>
        <v>45016</v>
      </c>
      <c r="F23" s="100">
        <f>Assumptions!N$4</f>
        <v>45382</v>
      </c>
      <c r="G23" s="100">
        <f>Assumptions!O$4</f>
        <v>45747</v>
      </c>
      <c r="H23" s="100">
        <f>Assumptions!P$4</f>
        <v>46112</v>
      </c>
      <c r="I23" s="100">
        <f>Assumptions!Q$4</f>
        <v>46477</v>
      </c>
      <c r="J23" s="100">
        <f>Assumptions!R$4</f>
        <v>46843</v>
      </c>
      <c r="K23" s="100">
        <f>Assumptions!S$4</f>
        <v>47208</v>
      </c>
      <c r="L23" s="100">
        <f>Assumptions!T$4</f>
        <v>47573</v>
      </c>
      <c r="M23" s="100">
        <f>Assumptions!U$4</f>
        <v>47938</v>
      </c>
      <c r="N23" s="100">
        <f>Assumptions!V$4</f>
        <v>48304</v>
      </c>
      <c r="O23" s="100">
        <f>Assumptions!W$4</f>
        <v>48669</v>
      </c>
      <c r="P23" s="100">
        <f>Assumptions!X$4</f>
        <v>49034</v>
      </c>
      <c r="Q23" s="100">
        <f>Assumptions!Y$4</f>
        <v>49399</v>
      </c>
      <c r="R23" s="100">
        <f>Assumptions!Z$4</f>
        <v>49765</v>
      </c>
      <c r="S23" s="100">
        <f>Assumptions!AA$4</f>
        <v>50130</v>
      </c>
      <c r="T23" s="100">
        <f>Assumptions!AB$4</f>
        <v>50495</v>
      </c>
      <c r="U23" s="100">
        <f>Assumptions!AC$4</f>
        <v>50860</v>
      </c>
      <c r="V23" s="100">
        <f>Assumptions!AD$4</f>
        <v>51226</v>
      </c>
    </row>
    <row r="24" spans="1:22" x14ac:dyDescent="0.25">
      <c r="A24" s="2" t="s">
        <v>102</v>
      </c>
      <c r="B24" s="98"/>
      <c r="C24" s="98"/>
      <c r="D24" s="98"/>
      <c r="E24" s="98">
        <f>$C$21</f>
        <v>53.6342</v>
      </c>
      <c r="F24" s="98">
        <f t="shared" ref="F24" si="8">E27</f>
        <v>42.907359999999997</v>
      </c>
      <c r="G24" s="98">
        <f t="shared" ref="G24" si="9">F27</f>
        <v>32.180520000000001</v>
      </c>
      <c r="H24" s="98">
        <f t="shared" ref="H24" si="10">G27</f>
        <v>21.453680000000002</v>
      </c>
      <c r="I24" s="98">
        <f t="shared" ref="I24" si="11">H27</f>
        <v>10.726840000000003</v>
      </c>
      <c r="J24" s="98">
        <f t="shared" ref="J24" si="12">I27</f>
        <v>0</v>
      </c>
      <c r="K24" s="98">
        <f t="shared" ref="K24" si="13">J27</f>
        <v>0</v>
      </c>
      <c r="L24" s="98">
        <f t="shared" ref="L24" si="14">K27</f>
        <v>0</v>
      </c>
      <c r="M24" s="98">
        <f t="shared" ref="M24" si="15">L27</f>
        <v>0</v>
      </c>
      <c r="N24" s="98">
        <f t="shared" ref="N24" si="16">M27</f>
        <v>0</v>
      </c>
      <c r="O24" s="98">
        <f t="shared" ref="O24" si="17">N27</f>
        <v>0</v>
      </c>
      <c r="P24" s="98">
        <f t="shared" ref="P24" si="18">O27</f>
        <v>0</v>
      </c>
      <c r="Q24" s="98">
        <f t="shared" ref="Q24" si="19">P27</f>
        <v>0</v>
      </c>
      <c r="R24" s="98">
        <f t="shared" ref="R24" si="20">Q27</f>
        <v>0</v>
      </c>
      <c r="S24" s="98">
        <f t="shared" ref="S24" si="21">R27</f>
        <v>0</v>
      </c>
      <c r="T24" s="98">
        <f t="shared" ref="T24" si="22">S27</f>
        <v>0</v>
      </c>
      <c r="U24" s="98">
        <f t="shared" ref="U24:V24" si="23">T27</f>
        <v>0</v>
      </c>
      <c r="V24" s="98">
        <f t="shared" si="23"/>
        <v>0</v>
      </c>
    </row>
    <row r="25" spans="1:22" x14ac:dyDescent="0.25">
      <c r="A25" s="2" t="s">
        <v>103</v>
      </c>
      <c r="B25" s="98"/>
      <c r="C25" s="98"/>
      <c r="D25" s="98"/>
      <c r="E25" s="98">
        <f t="shared" ref="E25:I25" si="24">$C$21/$F$21</f>
        <v>10.726839999999999</v>
      </c>
      <c r="F25" s="98">
        <f t="shared" si="24"/>
        <v>10.726839999999999</v>
      </c>
      <c r="G25" s="98">
        <f t="shared" si="24"/>
        <v>10.726839999999999</v>
      </c>
      <c r="H25" s="98">
        <f t="shared" si="24"/>
        <v>10.726839999999999</v>
      </c>
      <c r="I25" s="98">
        <f t="shared" si="24"/>
        <v>10.726839999999999</v>
      </c>
      <c r="J25" s="98">
        <v>0</v>
      </c>
      <c r="K25" s="98">
        <v>0</v>
      </c>
      <c r="L25" s="98">
        <v>0</v>
      </c>
      <c r="M25" s="98">
        <f>M24</f>
        <v>0</v>
      </c>
      <c r="N25" s="98">
        <f t="shared" ref="N25:U25" si="25">N24</f>
        <v>0</v>
      </c>
      <c r="O25" s="98">
        <f t="shared" si="25"/>
        <v>0</v>
      </c>
      <c r="P25" s="98">
        <f t="shared" si="25"/>
        <v>0</v>
      </c>
      <c r="Q25" s="98">
        <f t="shared" si="25"/>
        <v>0</v>
      </c>
      <c r="R25" s="98">
        <f t="shared" si="25"/>
        <v>0</v>
      </c>
      <c r="S25" s="98">
        <f t="shared" si="25"/>
        <v>0</v>
      </c>
      <c r="T25" s="98">
        <f t="shared" si="25"/>
        <v>0</v>
      </c>
      <c r="U25" s="98">
        <f t="shared" si="25"/>
        <v>0</v>
      </c>
      <c r="V25" s="98">
        <f t="shared" ref="V25" si="26">V24</f>
        <v>0</v>
      </c>
    </row>
    <row r="26" spans="1:22" x14ac:dyDescent="0.25">
      <c r="A26" s="2" t="s">
        <v>104</v>
      </c>
      <c r="B26" s="98"/>
      <c r="C26" s="98"/>
      <c r="D26" s="98"/>
      <c r="E26" s="98">
        <f t="shared" ref="E26:H26" si="27">E24*$D$6</f>
        <v>7.6965076999999997</v>
      </c>
      <c r="F26" s="98">
        <f t="shared" si="27"/>
        <v>6.1572061599999994</v>
      </c>
      <c r="G26" s="98">
        <f t="shared" si="27"/>
        <v>4.61790462</v>
      </c>
      <c r="H26" s="98">
        <f t="shared" si="27"/>
        <v>3.0786030800000002</v>
      </c>
      <c r="I26" s="98">
        <f t="shared" ref="I26:M26" si="28">I24*$D$6</f>
        <v>1.5393015400000003</v>
      </c>
      <c r="J26" s="98">
        <f t="shared" si="28"/>
        <v>0</v>
      </c>
      <c r="K26" s="98">
        <f t="shared" si="28"/>
        <v>0</v>
      </c>
      <c r="L26" s="98">
        <f t="shared" si="28"/>
        <v>0</v>
      </c>
      <c r="M26" s="98">
        <f t="shared" si="28"/>
        <v>0</v>
      </c>
      <c r="N26" s="98">
        <f t="shared" ref="N26:U26" si="29">N24*$D$6</f>
        <v>0</v>
      </c>
      <c r="O26" s="98">
        <f t="shared" si="29"/>
        <v>0</v>
      </c>
      <c r="P26" s="98">
        <f t="shared" si="29"/>
        <v>0</v>
      </c>
      <c r="Q26" s="98">
        <f t="shared" si="29"/>
        <v>0</v>
      </c>
      <c r="R26" s="98">
        <f t="shared" si="29"/>
        <v>0</v>
      </c>
      <c r="S26" s="98">
        <f t="shared" si="29"/>
        <v>0</v>
      </c>
      <c r="T26" s="98">
        <f t="shared" si="29"/>
        <v>0</v>
      </c>
      <c r="U26" s="98">
        <f t="shared" si="29"/>
        <v>0</v>
      </c>
      <c r="V26" s="98">
        <f t="shared" ref="V26" si="30">V24*$D$6</f>
        <v>0</v>
      </c>
    </row>
    <row r="27" spans="1:22" x14ac:dyDescent="0.25">
      <c r="A27" s="2" t="s">
        <v>105</v>
      </c>
      <c r="B27" s="98"/>
      <c r="C27" s="98"/>
      <c r="D27" s="98"/>
      <c r="E27" s="98">
        <f t="shared" ref="E27:H27" si="31">E24-E25</f>
        <v>42.907359999999997</v>
      </c>
      <c r="F27" s="98">
        <f t="shared" si="31"/>
        <v>32.180520000000001</v>
      </c>
      <c r="G27" s="98">
        <f t="shared" si="31"/>
        <v>21.453680000000002</v>
      </c>
      <c r="H27" s="98">
        <f t="shared" si="31"/>
        <v>10.726840000000003</v>
      </c>
      <c r="I27" s="98">
        <f t="shared" ref="I27:M27" si="32">I24-I25</f>
        <v>0</v>
      </c>
      <c r="J27" s="98">
        <f t="shared" si="32"/>
        <v>0</v>
      </c>
      <c r="K27" s="98">
        <f t="shared" si="32"/>
        <v>0</v>
      </c>
      <c r="L27" s="98">
        <f t="shared" si="32"/>
        <v>0</v>
      </c>
      <c r="M27" s="98">
        <f t="shared" si="32"/>
        <v>0</v>
      </c>
      <c r="N27" s="98">
        <f t="shared" ref="N27:U27" si="33">N24-N25</f>
        <v>0</v>
      </c>
      <c r="O27" s="98">
        <f t="shared" si="33"/>
        <v>0</v>
      </c>
      <c r="P27" s="98">
        <f t="shared" si="33"/>
        <v>0</v>
      </c>
      <c r="Q27" s="98">
        <f t="shared" si="33"/>
        <v>0</v>
      </c>
      <c r="R27" s="98">
        <f t="shared" si="33"/>
        <v>0</v>
      </c>
      <c r="S27" s="98">
        <f t="shared" si="33"/>
        <v>0</v>
      </c>
      <c r="T27" s="98">
        <f t="shared" si="33"/>
        <v>0</v>
      </c>
      <c r="U27" s="98">
        <f t="shared" si="33"/>
        <v>0</v>
      </c>
      <c r="V27" s="98">
        <f t="shared" ref="V27" si="34">V24-V25</f>
        <v>0</v>
      </c>
    </row>
    <row r="29" spans="1:22" x14ac:dyDescent="0.25">
      <c r="A29" s="103" t="s">
        <v>108</v>
      </c>
      <c r="B29" s="97">
        <f>SUMIF($A$10:$A$28,"Interest Expense",B10:B28)</f>
        <v>0</v>
      </c>
      <c r="C29" s="97">
        <f t="shared" ref="C29:M29" si="35">SUMIF($A$10:$A$28,"Interest Expense",C10:C28)</f>
        <v>0</v>
      </c>
      <c r="D29" s="97">
        <f t="shared" si="35"/>
        <v>0</v>
      </c>
      <c r="E29" s="97">
        <f t="shared" si="35"/>
        <v>10.2615702</v>
      </c>
      <c r="F29" s="97">
        <f t="shared" si="35"/>
        <v>8.2947582433333338</v>
      </c>
      <c r="G29" s="97">
        <f t="shared" si="35"/>
        <v>6.3279462866666663</v>
      </c>
      <c r="H29" s="97">
        <f t="shared" si="35"/>
        <v>4.3611343300000005</v>
      </c>
      <c r="I29" s="97">
        <f t="shared" si="35"/>
        <v>2.3943223733333339</v>
      </c>
      <c r="J29" s="97">
        <f t="shared" si="35"/>
        <v>0.427510416666667</v>
      </c>
      <c r="K29" s="97">
        <f t="shared" si="35"/>
        <v>0</v>
      </c>
      <c r="L29" s="97">
        <f t="shared" si="35"/>
        <v>0</v>
      </c>
      <c r="M29" s="97">
        <f t="shared" si="35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workbookViewId="0">
      <pane ySplit="2" topLeftCell="A6" activePane="bottomLeft" state="frozen"/>
      <selection pane="bottomLeft" activeCell="C32" sqref="C32"/>
    </sheetView>
  </sheetViews>
  <sheetFormatPr defaultColWidth="9.140625" defaultRowHeight="12.75" x14ac:dyDescent="0.2"/>
  <cols>
    <col min="1" max="1" width="6.140625" style="69" customWidth="1"/>
    <col min="2" max="2" width="35" style="69" bestFit="1" customWidth="1"/>
    <col min="3" max="3" width="15.140625" style="69" customWidth="1"/>
    <col min="4" max="4" width="9" style="69" bestFit="1" customWidth="1"/>
    <col min="5" max="5" width="10.7109375" style="69" customWidth="1"/>
    <col min="6" max="6" width="12.85546875" style="69" bestFit="1" customWidth="1"/>
    <col min="7" max="7" width="9.85546875" style="69" bestFit="1" customWidth="1"/>
    <col min="8" max="8" width="14.28515625" style="69" customWidth="1"/>
    <col min="9" max="9" width="12" style="69" bestFit="1" customWidth="1"/>
    <col min="10" max="10" width="13.28515625" style="69" bestFit="1" customWidth="1"/>
    <col min="11" max="11" width="15.140625" style="69" bestFit="1" customWidth="1"/>
    <col min="12" max="13" width="9.140625" style="69"/>
    <col min="14" max="14" width="13.7109375" style="69" bestFit="1" customWidth="1"/>
    <col min="15" max="16384" width="9.140625" style="69"/>
  </cols>
  <sheetData>
    <row r="1" spans="1:17" ht="15" x14ac:dyDescent="0.25">
      <c r="A1" s="69" t="s">
        <v>88</v>
      </c>
      <c r="N1"/>
      <c r="O1"/>
      <c r="P1"/>
      <c r="Q1"/>
    </row>
    <row r="2" spans="1:17" ht="38.25" x14ac:dyDescent="0.2">
      <c r="A2" s="70" t="s">
        <v>68</v>
      </c>
      <c r="B2" s="70" t="s">
        <v>69</v>
      </c>
      <c r="C2" s="70" t="s">
        <v>92</v>
      </c>
      <c r="D2" s="70" t="s">
        <v>70</v>
      </c>
      <c r="E2" s="70" t="s">
        <v>71</v>
      </c>
      <c r="F2" s="70" t="s">
        <v>91</v>
      </c>
      <c r="G2" s="70" t="s">
        <v>72</v>
      </c>
      <c r="H2" s="70" t="s">
        <v>73</v>
      </c>
      <c r="I2" s="70" t="s">
        <v>74</v>
      </c>
      <c r="J2" s="70" t="s">
        <v>75</v>
      </c>
      <c r="K2" s="70" t="s">
        <v>76</v>
      </c>
    </row>
    <row r="3" spans="1:17" ht="15" x14ac:dyDescent="0.25">
      <c r="A3" s="71">
        <v>1</v>
      </c>
      <c r="B3" s="2" t="s">
        <v>87</v>
      </c>
      <c r="C3" s="90">
        <v>17.66</v>
      </c>
      <c r="D3" s="72">
        <v>0.1333</v>
      </c>
      <c r="E3" s="90">
        <v>287.31</v>
      </c>
      <c r="F3" s="73">
        <v>56.05</v>
      </c>
      <c r="G3" s="73">
        <v>230.26</v>
      </c>
      <c r="H3" s="74">
        <f>N3/$N$6</f>
        <v>0.74445603280934236</v>
      </c>
      <c r="I3" s="73">
        <f>F3/G3</f>
        <v>0.24342048119517068</v>
      </c>
      <c r="J3" s="90">
        <v>1.2</v>
      </c>
      <c r="K3" s="73">
        <f>J3/(1+(1-D3)*I3)</f>
        <v>0.99093907518915914</v>
      </c>
      <c r="L3" s="69">
        <f>K3/AVERAGE($K$3:$K$5)</f>
        <v>1.1002197414322255</v>
      </c>
      <c r="N3" s="75">
        <f>IFERROR(1/IF(L3=0,,ABS(E3-$N$1)),0)</f>
        <v>3.4805610664439108E-3</v>
      </c>
      <c r="O3" s="76">
        <f>IFERROR(1/IF(L3=0,,E3-$N$1),0)</f>
        <v>3.4805610664439108E-3</v>
      </c>
      <c r="P3"/>
    </row>
    <row r="4" spans="1:17" ht="15" x14ac:dyDescent="0.25">
      <c r="A4" s="71">
        <v>2</v>
      </c>
      <c r="B4" s="2" t="s">
        <v>89</v>
      </c>
      <c r="C4" s="90">
        <v>518.24</v>
      </c>
      <c r="D4" s="72">
        <v>0</v>
      </c>
      <c r="E4" s="90">
        <v>4465.88</v>
      </c>
      <c r="F4" s="73">
        <v>764.29</v>
      </c>
      <c r="G4" s="73">
        <v>1315.53</v>
      </c>
      <c r="H4" s="74">
        <f>N4/$N$6</f>
        <v>4.7894180494427112E-2</v>
      </c>
      <c r="I4" s="73">
        <f>F4/G4</f>
        <v>0.58097496826374162</v>
      </c>
      <c r="J4" s="90">
        <v>1.22</v>
      </c>
      <c r="K4" s="73">
        <f>J4/(1+(1-D4)*I4)</f>
        <v>0.77167572193747536</v>
      </c>
      <c r="L4" s="69">
        <f t="shared" ref="L4:L5" si="0">K4/AVERAGE($K$3:$K$5)</f>
        <v>0.85677604659752471</v>
      </c>
      <c r="N4" s="75">
        <f>IFERROR(1/IF(L4=0,,ABS(E4-$N$1)),0)</f>
        <v>2.2392003367757306E-4</v>
      </c>
      <c r="O4" s="76"/>
      <c r="P4"/>
    </row>
    <row r="5" spans="1:17" ht="15" x14ac:dyDescent="0.25">
      <c r="A5" s="71">
        <v>3</v>
      </c>
      <c r="B5" s="2" t="s">
        <v>90</v>
      </c>
      <c r="C5" s="92">
        <v>29.78</v>
      </c>
      <c r="D5" s="72">
        <v>0</v>
      </c>
      <c r="E5" s="90">
        <v>1030.05</v>
      </c>
      <c r="F5" s="73">
        <v>289.64</v>
      </c>
      <c r="G5" s="73">
        <v>734.2</v>
      </c>
      <c r="H5" s="74">
        <f>N5/$N$6</f>
        <v>0.20764978669623047</v>
      </c>
      <c r="I5" s="73">
        <f>F5/G5</f>
        <v>0.39449741214927808</v>
      </c>
      <c r="J5" s="90">
        <v>1.31</v>
      </c>
      <c r="K5" s="73">
        <f>J5/(1+(1-D5)*I5)</f>
        <v>0.93940654789810907</v>
      </c>
      <c r="L5" s="69">
        <f t="shared" si="0"/>
        <v>1.0430042119702498</v>
      </c>
      <c r="N5" s="75">
        <f>IFERROR(1/IF(L5=0,,ABS(E5-$N$1)),0)</f>
        <v>9.7082665890005349E-4</v>
      </c>
      <c r="O5" s="76"/>
      <c r="P5"/>
    </row>
    <row r="6" spans="1:17" x14ac:dyDescent="0.2">
      <c r="A6" s="77"/>
      <c r="B6" s="77" t="s">
        <v>77</v>
      </c>
      <c r="C6" s="91"/>
      <c r="D6" s="78">
        <f>0.3*1.12*1.04</f>
        <v>0.34944000000000003</v>
      </c>
      <c r="E6" s="77"/>
      <c r="F6" s="77"/>
      <c r="G6" s="77"/>
      <c r="H6" s="78">
        <f>SUM(H3:H5)</f>
        <v>0.99999999999999989</v>
      </c>
      <c r="I6" s="79">
        <f>AVERAGE(I3:I5)</f>
        <v>0.4062976205360635</v>
      </c>
      <c r="J6" s="79">
        <f>AVERAGE(J3:J5)</f>
        <v>1.2433333333333334</v>
      </c>
      <c r="K6" s="79">
        <f>SUMPRODUCT(H3:H5,K3:K5)</f>
        <v>0.96973691827280539</v>
      </c>
      <c r="N6" s="75">
        <f>SUM(N3:N5)</f>
        <v>4.6753077590215375E-3</v>
      </c>
      <c r="P6" s="80"/>
    </row>
    <row r="7" spans="1:17" x14ac:dyDescent="0.2">
      <c r="D7" s="81"/>
    </row>
    <row r="8" spans="1:17" x14ac:dyDescent="0.2">
      <c r="D8" s="81"/>
    </row>
    <row r="9" spans="1:17" x14ac:dyDescent="0.2">
      <c r="B9" s="111" t="s">
        <v>93</v>
      </c>
      <c r="C9" s="112" t="s">
        <v>124</v>
      </c>
      <c r="D9" s="81"/>
    </row>
    <row r="10" spans="1:17" x14ac:dyDescent="0.2">
      <c r="B10" s="110" t="s">
        <v>91</v>
      </c>
      <c r="C10" s="193">
        <f>SUM(Assumptions!D35:D36)</f>
        <v>71.509199999999993</v>
      </c>
      <c r="D10" s="81"/>
    </row>
    <row r="11" spans="1:17" x14ac:dyDescent="0.2">
      <c r="B11" s="110" t="s">
        <v>72</v>
      </c>
      <c r="C11" s="193">
        <v>-6.2824</v>
      </c>
      <c r="D11" s="81"/>
      <c r="F11" s="69">
        <f>1+1050-883.64</f>
        <v>167.36</v>
      </c>
    </row>
    <row r="12" spans="1:17" x14ac:dyDescent="0.2">
      <c r="B12" s="77" t="s">
        <v>94</v>
      </c>
      <c r="C12" s="91">
        <f>C10/C11</f>
        <v>-11.382465299885393</v>
      </c>
      <c r="D12" s="81"/>
    </row>
    <row r="13" spans="1:17" x14ac:dyDescent="0.2">
      <c r="D13" s="81"/>
    </row>
    <row r="14" spans="1:17" x14ac:dyDescent="0.2">
      <c r="D14" s="81"/>
      <c r="F14" s="81"/>
      <c r="H14" s="81"/>
    </row>
    <row r="15" spans="1:17" x14ac:dyDescent="0.2">
      <c r="D15" s="81"/>
    </row>
    <row r="16" spans="1:17" x14ac:dyDescent="0.2">
      <c r="D16" s="81"/>
      <c r="F16" s="81"/>
    </row>
    <row r="17" spans="2:10" ht="15" x14ac:dyDescent="0.25">
      <c r="B17" s="82" t="s">
        <v>78</v>
      </c>
      <c r="C17"/>
      <c r="E17" s="81"/>
    </row>
    <row r="18" spans="2:10" ht="15" x14ac:dyDescent="0.25">
      <c r="B18"/>
      <c r="C18"/>
      <c r="J18" s="81"/>
    </row>
    <row r="19" spans="2:10" ht="15" x14ac:dyDescent="0.25">
      <c r="B19" s="83" t="s">
        <v>79</v>
      </c>
      <c r="C19" s="84">
        <f>K6</f>
        <v>0.96973691827280539</v>
      </c>
    </row>
    <row r="20" spans="2:10" ht="15" x14ac:dyDescent="0.25">
      <c r="B20"/>
      <c r="C20"/>
    </row>
    <row r="21" spans="2:10" ht="15" x14ac:dyDescent="0.25">
      <c r="B21" t="s">
        <v>80</v>
      </c>
      <c r="C21" s="85">
        <f>C12</f>
        <v>-11.382465299885393</v>
      </c>
      <c r="E21" s="117"/>
    </row>
    <row r="22" spans="2:10" ht="15" x14ac:dyDescent="0.25">
      <c r="B22" t="s">
        <v>81</v>
      </c>
      <c r="C22" s="86">
        <v>0.25169999999999998</v>
      </c>
    </row>
    <row r="23" spans="2:10" ht="15" x14ac:dyDescent="0.25">
      <c r="B23"/>
      <c r="C23"/>
      <c r="H23" s="93"/>
    </row>
    <row r="24" spans="2:10" ht="15" x14ac:dyDescent="0.25">
      <c r="B24" s="83" t="s">
        <v>82</v>
      </c>
      <c r="C24" s="87">
        <f>C19*(1+((1-C22)*C21))</f>
        <v>-7.2899961038228591</v>
      </c>
    </row>
    <row r="25" spans="2:10" ht="15" x14ac:dyDescent="0.25">
      <c r="B25"/>
      <c r="C25"/>
    </row>
    <row r="26" spans="2:10" ht="15" x14ac:dyDescent="0.25">
      <c r="B26"/>
      <c r="C26"/>
    </row>
    <row r="27" spans="2:10" ht="15" x14ac:dyDescent="0.25">
      <c r="B27" s="82" t="s">
        <v>83</v>
      </c>
      <c r="C27" s="191"/>
    </row>
    <row r="28" spans="2:10" ht="15" x14ac:dyDescent="0.25">
      <c r="B28"/>
      <c r="C28"/>
      <c r="H28"/>
      <c r="I28" s="244" t="s">
        <v>86</v>
      </c>
      <c r="J28" s="244"/>
    </row>
    <row r="29" spans="2:10" ht="15" x14ac:dyDescent="0.25">
      <c r="B29" t="s">
        <v>84</v>
      </c>
      <c r="C29" s="86">
        <f>J29</f>
        <v>7.0999999999999994E-2</v>
      </c>
      <c r="H29" s="215" t="s">
        <v>263</v>
      </c>
      <c r="I29" s="216" t="s">
        <v>264</v>
      </c>
      <c r="J29" s="217">
        <v>7.0999999999999994E-2</v>
      </c>
    </row>
    <row r="30" spans="2:10" ht="90" x14ac:dyDescent="0.25">
      <c r="B30" t="s">
        <v>85</v>
      </c>
      <c r="C30" s="86">
        <f>J30-C29</f>
        <v>3.9000000000000007E-2</v>
      </c>
      <c r="H30" s="218" t="s">
        <v>265</v>
      </c>
      <c r="I30" s="219" t="s">
        <v>266</v>
      </c>
      <c r="J30" s="220">
        <v>0.11</v>
      </c>
    </row>
    <row r="31" spans="2:10" ht="15" x14ac:dyDescent="0.25">
      <c r="B31"/>
      <c r="C31"/>
      <c r="H31"/>
      <c r="I31" s="216" t="s">
        <v>267</v>
      </c>
      <c r="J31" s="221">
        <f>C24</f>
        <v>-7.2899961038228591</v>
      </c>
    </row>
    <row r="32" spans="2:10" ht="15" x14ac:dyDescent="0.25">
      <c r="B32" s="88" t="s">
        <v>86</v>
      </c>
      <c r="C32" s="89">
        <f>C36</f>
        <v>0.15</v>
      </c>
      <c r="H32"/>
      <c r="I32" s="216" t="s">
        <v>268</v>
      </c>
      <c r="J32" s="217">
        <f>J29+(J30-J29)*J31</f>
        <v>-0.21330984804909153</v>
      </c>
    </row>
    <row r="33" spans="1:3" ht="15" x14ac:dyDescent="0.25">
      <c r="C33"/>
    </row>
    <row r="36" spans="1:3" ht="30" x14ac:dyDescent="0.2">
      <c r="A36" s="218" t="s">
        <v>265</v>
      </c>
      <c r="B36" s="219" t="s">
        <v>270</v>
      </c>
      <c r="C36" s="93">
        <v>0.15</v>
      </c>
    </row>
  </sheetData>
  <mergeCells count="1">
    <mergeCell ref="I28:J28"/>
  </mergeCells>
  <hyperlinks>
    <hyperlink ref="H29" r:id="rId1" xr:uid="{5A3F2B17-8E91-4076-9163-07297720A4BC}"/>
    <hyperlink ref="H30" r:id="rId2" xr:uid="{2BD1F746-6743-4D43-AD4C-EABA0632FA71}"/>
    <hyperlink ref="A36" r:id="rId3" xr:uid="{2E5E0136-C091-4727-8EF3-28F09FDBC29B}"/>
  </hyperlinks>
  <pageMargins left="0.7" right="0.7" top="0.75" bottom="0.75" header="0.3" footer="0.3"/>
  <pageSetup paperSize="9" orientation="portrait" verticalDpi="0"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topLeftCell="A50" zoomScaleNormal="100" workbookViewId="0">
      <pane ySplit="4" topLeftCell="A54" activePane="bottomLeft" state="frozen"/>
      <selection activeCell="A50" sqref="A50"/>
      <selection pane="bottomLeft" activeCell="C79" sqref="C79"/>
    </sheetView>
  </sheetViews>
  <sheetFormatPr defaultColWidth="9.140625" defaultRowHeight="12" outlineLevelRow="1" x14ac:dyDescent="0.2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6.140625" style="5" bestFit="1" customWidth="1"/>
    <col min="5" max="5" width="16.140625" style="5" customWidth="1"/>
    <col min="6" max="6" width="12.5703125" style="5" bestFit="1" customWidth="1"/>
    <col min="7" max="8" width="17.7109375" style="5" bestFit="1" customWidth="1"/>
    <col min="9" max="10" width="14.42578125" style="5" bestFit="1" customWidth="1"/>
    <col min="11" max="11" width="14" style="5" bestFit="1" customWidth="1"/>
    <col min="12" max="12" width="14.7109375" style="5" bestFit="1" customWidth="1"/>
    <col min="13" max="25" width="19.42578125" style="5" bestFit="1" customWidth="1"/>
    <col min="26" max="29" width="8.140625" style="5" bestFit="1" customWidth="1"/>
    <col min="30" max="37" width="8.140625" style="5" customWidth="1"/>
    <col min="38" max="16384" width="9.140625" style="5"/>
  </cols>
  <sheetData>
    <row r="1" spans="1:15" customFormat="1" ht="15" outlineLevel="1" x14ac:dyDescent="0.25">
      <c r="A1" s="5"/>
      <c r="B1" s="5"/>
      <c r="C1" s="5"/>
      <c r="D1" s="33"/>
      <c r="E1" s="5"/>
      <c r="F1" s="5"/>
      <c r="G1" s="5"/>
      <c r="H1" s="5"/>
      <c r="I1" s="5"/>
      <c r="J1" s="5"/>
      <c r="K1" s="5"/>
      <c r="L1" s="5"/>
      <c r="M1" s="5"/>
    </row>
    <row r="2" spans="1:15" customFormat="1" ht="15" outlineLevel="1" x14ac:dyDescent="0.25">
      <c r="A2" s="5"/>
      <c r="B2" s="5"/>
      <c r="C2" s="6" t="s">
        <v>3</v>
      </c>
      <c r="D2" s="33"/>
      <c r="E2" s="5"/>
      <c r="F2" s="5"/>
      <c r="G2" s="5"/>
      <c r="H2" s="5"/>
      <c r="I2" s="5"/>
      <c r="J2" s="5"/>
      <c r="K2" s="5"/>
      <c r="L2" s="5"/>
      <c r="M2" s="5"/>
    </row>
    <row r="3" spans="1:15" ht="15" outlineLevel="1" x14ac:dyDescent="0.25">
      <c r="C3" t="s">
        <v>4</v>
      </c>
      <c r="D3" s="34" t="s">
        <v>5</v>
      </c>
      <c r="E3"/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2</v>
      </c>
      <c r="L3" t="s">
        <v>11</v>
      </c>
      <c r="M3" t="s">
        <v>12</v>
      </c>
      <c r="N3" t="s">
        <v>13</v>
      </c>
      <c r="O3" t="s">
        <v>14</v>
      </c>
    </row>
    <row r="4" spans="1:15" outlineLevel="1" x14ac:dyDescent="0.2">
      <c r="C4" s="7" t="s">
        <v>15</v>
      </c>
      <c r="D4" s="35"/>
      <c r="E4" s="8"/>
      <c r="F4" s="8"/>
      <c r="G4" s="8"/>
      <c r="H4" s="8"/>
      <c r="I4" s="8"/>
      <c r="J4" s="8" t="s">
        <v>16</v>
      </c>
      <c r="K4" s="8"/>
      <c r="L4" s="8"/>
      <c r="M4" s="8"/>
      <c r="N4" s="8"/>
      <c r="O4" s="8"/>
    </row>
    <row r="5" spans="1:15" ht="14.25" customHeight="1" outlineLevel="1" x14ac:dyDescent="0.2">
      <c r="C5" s="8" t="s">
        <v>17</v>
      </c>
      <c r="D5" s="36">
        <v>7216.69</v>
      </c>
      <c r="E5" s="9"/>
      <c r="F5" s="10">
        <v>35785.82</v>
      </c>
      <c r="G5" s="9">
        <v>8840.35</v>
      </c>
      <c r="H5" s="9">
        <v>452268.38</v>
      </c>
      <c r="I5" s="9"/>
      <c r="J5" s="9">
        <v>8180.53</v>
      </c>
      <c r="K5" s="9">
        <v>36.409999999999997</v>
      </c>
      <c r="L5" s="9">
        <v>51.51</v>
      </c>
      <c r="M5" s="9">
        <v>176.81</v>
      </c>
      <c r="N5" s="9">
        <v>75.33</v>
      </c>
      <c r="O5" s="9">
        <f>SUM(D5:N5)</f>
        <v>512631.83</v>
      </c>
    </row>
    <row r="6" spans="1:15" outlineLevel="1" x14ac:dyDescent="0.2">
      <c r="C6" s="11" t="s">
        <v>18</v>
      </c>
      <c r="D6" s="35">
        <v>131.44</v>
      </c>
      <c r="E6" s="8"/>
      <c r="F6" s="9">
        <v>6825.14</v>
      </c>
      <c r="G6" s="8"/>
      <c r="H6" s="8">
        <v>148.41999999999999</v>
      </c>
      <c r="I6" s="8"/>
      <c r="J6" s="9">
        <v>7771.89</v>
      </c>
      <c r="K6" s="8">
        <v>1.82</v>
      </c>
      <c r="L6" s="8">
        <v>0.42</v>
      </c>
      <c r="M6" s="8">
        <v>1.22</v>
      </c>
      <c r="N6" s="8"/>
      <c r="O6" s="9">
        <f>SUM(D6:N6)</f>
        <v>14880.349999999999</v>
      </c>
    </row>
    <row r="7" spans="1:15" outlineLevel="1" x14ac:dyDescent="0.2">
      <c r="C7" s="12" t="s">
        <v>19</v>
      </c>
      <c r="D7" s="35"/>
      <c r="E7" s="8"/>
      <c r="F7" s="8">
        <v>22.02</v>
      </c>
      <c r="G7" s="8"/>
      <c r="H7" s="9">
        <v>2116.39</v>
      </c>
      <c r="I7" s="9"/>
      <c r="J7" s="8"/>
      <c r="K7" s="8"/>
      <c r="L7" s="8"/>
      <c r="M7" s="8"/>
      <c r="N7" s="8"/>
      <c r="O7" s="9">
        <f>SUM(D7:N7)</f>
        <v>2138.41</v>
      </c>
    </row>
    <row r="8" spans="1:15" outlineLevel="1" x14ac:dyDescent="0.2">
      <c r="C8" s="13" t="s">
        <v>20</v>
      </c>
      <c r="D8" s="35"/>
      <c r="E8" s="8"/>
      <c r="F8" s="8"/>
      <c r="G8" s="8"/>
      <c r="H8" s="9">
        <v>1299.96</v>
      </c>
      <c r="I8" s="9"/>
      <c r="J8" s="8">
        <v>744.38</v>
      </c>
      <c r="K8" s="8"/>
      <c r="L8" s="8"/>
      <c r="M8" s="8"/>
      <c r="N8" s="8"/>
      <c r="O8" s="9">
        <f>SUM(D8:N8)</f>
        <v>2044.3400000000001</v>
      </c>
    </row>
    <row r="9" spans="1:15" outlineLevel="1" x14ac:dyDescent="0.2">
      <c r="C9" s="8" t="s">
        <v>21</v>
      </c>
      <c r="D9" s="36">
        <f>SUM(D5:D6)-D7-D8</f>
        <v>7348.1299999999992</v>
      </c>
      <c r="E9" s="9"/>
      <c r="F9" s="9">
        <f t="shared" ref="F9:O9" si="0">SUM(F5:F6)-F7-F8</f>
        <v>42588.94</v>
      </c>
      <c r="G9" s="9">
        <f t="shared" si="0"/>
        <v>8840.35</v>
      </c>
      <c r="H9" s="9">
        <f t="shared" si="0"/>
        <v>449000.44999999995</v>
      </c>
      <c r="I9" s="9"/>
      <c r="J9" s="9">
        <f t="shared" si="0"/>
        <v>15208.04</v>
      </c>
      <c r="K9" s="9">
        <f t="shared" si="0"/>
        <v>38.229999999999997</v>
      </c>
      <c r="L9" s="9">
        <f t="shared" si="0"/>
        <v>51.93</v>
      </c>
      <c r="M9" s="9">
        <f t="shared" si="0"/>
        <v>178.03</v>
      </c>
      <c r="N9" s="9">
        <f t="shared" si="0"/>
        <v>75.33</v>
      </c>
      <c r="O9" s="9">
        <f t="shared" si="0"/>
        <v>523329.43</v>
      </c>
    </row>
    <row r="10" spans="1:15" outlineLevel="1" x14ac:dyDescent="0.2">
      <c r="C10" s="14" t="s">
        <v>18</v>
      </c>
      <c r="D10" s="35">
        <v>893.49</v>
      </c>
      <c r="E10" s="8"/>
      <c r="F10" s="9">
        <v>20771.2</v>
      </c>
      <c r="G10" s="8">
        <v>378.99</v>
      </c>
      <c r="H10" s="9">
        <v>269627.37</v>
      </c>
      <c r="I10" s="9"/>
      <c r="J10" s="8"/>
      <c r="K10" s="9">
        <v>1.05</v>
      </c>
      <c r="L10" s="8">
        <v>1.1200000000000001</v>
      </c>
      <c r="M10" s="9">
        <v>12.05</v>
      </c>
      <c r="N10" s="8">
        <v>6.51</v>
      </c>
      <c r="O10" s="9">
        <f>SUM(D10:N10)</f>
        <v>291691.77999999997</v>
      </c>
    </row>
    <row r="11" spans="1:15" outlineLevel="1" x14ac:dyDescent="0.2">
      <c r="C11" s="12"/>
      <c r="D11" s="35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outlineLevel="1" x14ac:dyDescent="0.2">
      <c r="C12" s="13" t="s">
        <v>20</v>
      </c>
      <c r="D12" s="35"/>
      <c r="E12" s="8"/>
      <c r="F12" s="8"/>
      <c r="G12" s="8"/>
      <c r="H12" s="9">
        <v>706.15</v>
      </c>
      <c r="I12" s="9"/>
      <c r="J12" s="8"/>
      <c r="K12" s="8"/>
      <c r="L12" s="8"/>
      <c r="M12" s="8"/>
      <c r="N12" s="8">
        <v>3.47</v>
      </c>
      <c r="O12" s="9">
        <f>SUM(D12:N12)</f>
        <v>709.62</v>
      </c>
    </row>
    <row r="13" spans="1:15" outlineLevel="1" x14ac:dyDescent="0.2">
      <c r="C13" s="8" t="s">
        <v>22</v>
      </c>
      <c r="D13" s="36">
        <f>SUM(D9:D10)-D11-D12</f>
        <v>8241.619999999999</v>
      </c>
      <c r="E13" s="9"/>
      <c r="F13" s="9">
        <f t="shared" ref="F13:O13" si="1">SUM(F9:F10)-F11-F12</f>
        <v>63360.14</v>
      </c>
      <c r="G13" s="9">
        <f t="shared" si="1"/>
        <v>9219.34</v>
      </c>
      <c r="H13" s="9">
        <f t="shared" si="1"/>
        <v>717921.66999999993</v>
      </c>
      <c r="I13" s="9"/>
      <c r="J13" s="9">
        <f t="shared" si="1"/>
        <v>15208.04</v>
      </c>
      <c r="K13" s="9">
        <f t="shared" si="1"/>
        <v>39.279999999999994</v>
      </c>
      <c r="L13" s="9">
        <f t="shared" si="1"/>
        <v>53.05</v>
      </c>
      <c r="M13" s="9">
        <f t="shared" si="1"/>
        <v>190.08</v>
      </c>
      <c r="N13" s="9">
        <f t="shared" si="1"/>
        <v>78.37</v>
      </c>
      <c r="O13" s="9">
        <f t="shared" si="1"/>
        <v>814311.59</v>
      </c>
    </row>
    <row r="14" spans="1:15" outlineLevel="1" x14ac:dyDescent="0.2">
      <c r="C14" s="14" t="s">
        <v>18</v>
      </c>
      <c r="D14" s="37">
        <v>43.27</v>
      </c>
      <c r="E14" s="15"/>
      <c r="F14" s="9">
        <v>59088.59</v>
      </c>
      <c r="G14" s="8">
        <v>378.99</v>
      </c>
      <c r="H14" s="9">
        <v>373366.79</v>
      </c>
      <c r="I14" s="9">
        <v>2418.4499999999998</v>
      </c>
      <c r="J14" s="8"/>
      <c r="K14" s="9">
        <v>0.6</v>
      </c>
      <c r="L14" s="8">
        <v>6.02</v>
      </c>
      <c r="M14" s="9">
        <v>0.28000000000000003</v>
      </c>
      <c r="N14" s="8"/>
      <c r="O14" s="9">
        <f>SUM(D14:N14)</f>
        <v>435302.99</v>
      </c>
    </row>
    <row r="15" spans="1:15" outlineLevel="1" x14ac:dyDescent="0.2">
      <c r="C15" s="12" t="s">
        <v>19</v>
      </c>
      <c r="D15" s="35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outlineLevel="1" x14ac:dyDescent="0.2">
      <c r="C16" s="13" t="s">
        <v>20</v>
      </c>
      <c r="D16" s="35"/>
      <c r="E16" s="8"/>
      <c r="F16" s="8"/>
      <c r="G16" s="8"/>
      <c r="H16" s="9"/>
      <c r="I16" s="9"/>
      <c r="J16" s="8"/>
      <c r="K16" s="8"/>
      <c r="L16" s="8"/>
      <c r="M16" s="8"/>
      <c r="N16" s="8">
        <v>9.09</v>
      </c>
      <c r="O16" s="9">
        <f>SUM(D16:N16)</f>
        <v>9.09</v>
      </c>
    </row>
    <row r="17" spans="3:15" outlineLevel="1" x14ac:dyDescent="0.2">
      <c r="C17" s="8" t="s">
        <v>23</v>
      </c>
      <c r="D17" s="36">
        <f t="shared" ref="D17:N17" si="2">SUM(D13:D14)-D15-D16</f>
        <v>8284.89</v>
      </c>
      <c r="E17" s="9"/>
      <c r="F17" s="9">
        <f t="shared" si="2"/>
        <v>122448.73</v>
      </c>
      <c r="G17" s="9">
        <f t="shared" si="2"/>
        <v>9598.33</v>
      </c>
      <c r="H17" s="9">
        <f t="shared" si="2"/>
        <v>1091288.46</v>
      </c>
      <c r="I17" s="9">
        <f t="shared" si="2"/>
        <v>2418.4499999999998</v>
      </c>
      <c r="J17" s="9">
        <f t="shared" si="2"/>
        <v>15208.04</v>
      </c>
      <c r="K17" s="9">
        <f t="shared" si="2"/>
        <v>39.879999999999995</v>
      </c>
      <c r="L17" s="9">
        <f t="shared" si="2"/>
        <v>59.069999999999993</v>
      </c>
      <c r="M17" s="9">
        <f t="shared" si="2"/>
        <v>190.36</v>
      </c>
      <c r="N17" s="9">
        <f t="shared" si="2"/>
        <v>69.28</v>
      </c>
      <c r="O17" s="9">
        <f>SUM(D17:N17)</f>
        <v>1249605.49</v>
      </c>
    </row>
    <row r="18" spans="3:15" outlineLevel="1" x14ac:dyDescent="0.2">
      <c r="C18" s="8"/>
      <c r="D18" s="35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3:15" outlineLevel="1" x14ac:dyDescent="0.2">
      <c r="C19" s="7" t="s">
        <v>24</v>
      </c>
      <c r="D19" s="35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3:15" outlineLevel="1" x14ac:dyDescent="0.2">
      <c r="C20" s="8" t="s">
        <v>25</v>
      </c>
      <c r="D20" s="35"/>
      <c r="E20" s="8"/>
      <c r="F20" s="8">
        <v>891.28</v>
      </c>
      <c r="G20" s="8">
        <v>274.19</v>
      </c>
      <c r="H20" s="9">
        <v>2484.2600000000002</v>
      </c>
      <c r="I20" s="9"/>
      <c r="J20" s="8">
        <v>530.86</v>
      </c>
      <c r="K20" s="8">
        <v>12.24</v>
      </c>
      <c r="L20" s="8">
        <v>6.01</v>
      </c>
      <c r="M20" s="8">
        <v>40.17</v>
      </c>
      <c r="N20" s="8">
        <v>9.9600000000000009</v>
      </c>
      <c r="O20" s="9">
        <f t="shared" ref="O20:O29" si="3">SUM(D20:N20)</f>
        <v>4248.97</v>
      </c>
    </row>
    <row r="21" spans="3:15" outlineLevel="1" x14ac:dyDescent="0.2">
      <c r="C21" s="14" t="s">
        <v>26</v>
      </c>
      <c r="D21" s="35"/>
      <c r="E21" s="8"/>
      <c r="F21" s="8">
        <v>1252.18</v>
      </c>
      <c r="G21" s="8">
        <v>280.74</v>
      </c>
      <c r="H21" s="16">
        <v>10725.99</v>
      </c>
      <c r="I21" s="16"/>
      <c r="J21" s="8">
        <v>530.86</v>
      </c>
      <c r="K21" s="8">
        <v>11.78</v>
      </c>
      <c r="L21" s="8">
        <v>6.15</v>
      </c>
      <c r="M21" s="8">
        <v>35.200000000000003</v>
      </c>
      <c r="N21" s="8">
        <v>12.39</v>
      </c>
      <c r="O21" s="9">
        <f t="shared" si="3"/>
        <v>12855.29</v>
      </c>
    </row>
    <row r="22" spans="3:15" outlineLevel="1" x14ac:dyDescent="0.2">
      <c r="C22" s="13" t="s">
        <v>27</v>
      </c>
      <c r="D22" s="35"/>
      <c r="E22" s="8"/>
      <c r="F22" s="8"/>
      <c r="G22" s="8"/>
      <c r="H22" s="8">
        <v>22.75</v>
      </c>
      <c r="I22" s="8"/>
      <c r="J22" s="8">
        <v>630.03</v>
      </c>
      <c r="K22" s="8"/>
      <c r="L22" s="8"/>
      <c r="M22" s="8"/>
      <c r="N22" s="8"/>
      <c r="O22" s="9">
        <f t="shared" si="3"/>
        <v>652.78</v>
      </c>
    </row>
    <row r="23" spans="3:15" outlineLevel="1" x14ac:dyDescent="0.2">
      <c r="C23" s="8" t="s">
        <v>21</v>
      </c>
      <c r="D23" s="35"/>
      <c r="E23" s="8"/>
      <c r="F23" s="9">
        <f>SUM(F20:F21)-F22</f>
        <v>2143.46</v>
      </c>
      <c r="G23" s="9">
        <f t="shared" ref="G23:N23" si="4">SUM(G20:G21)-G22</f>
        <v>554.93000000000006</v>
      </c>
      <c r="H23" s="9">
        <f t="shared" si="4"/>
        <v>13187.5</v>
      </c>
      <c r="I23" s="9"/>
      <c r="J23" s="9">
        <f t="shared" si="4"/>
        <v>431.69000000000005</v>
      </c>
      <c r="K23" s="9">
        <f t="shared" si="4"/>
        <v>24.02</v>
      </c>
      <c r="L23" s="9">
        <f t="shared" si="4"/>
        <v>12.16</v>
      </c>
      <c r="M23" s="9">
        <f t="shared" si="4"/>
        <v>75.37</v>
      </c>
      <c r="N23" s="9">
        <f t="shared" si="4"/>
        <v>22.35</v>
      </c>
      <c r="O23" s="9">
        <f t="shared" si="3"/>
        <v>16451.48</v>
      </c>
    </row>
    <row r="24" spans="3:15" outlineLevel="1" x14ac:dyDescent="0.2">
      <c r="C24" s="14" t="s">
        <v>26</v>
      </c>
      <c r="D24" s="35"/>
      <c r="E24" s="8"/>
      <c r="F24" s="9">
        <v>1379.83</v>
      </c>
      <c r="G24" s="8">
        <v>285.27999999999997</v>
      </c>
      <c r="H24" s="9">
        <v>13087.89</v>
      </c>
      <c r="I24" s="9"/>
      <c r="J24" s="8">
        <v>361.19</v>
      </c>
      <c r="K24" s="9">
        <v>9.02</v>
      </c>
      <c r="L24" s="8">
        <v>6.06</v>
      </c>
      <c r="M24" s="9">
        <v>39.130000000000003</v>
      </c>
      <c r="N24" s="8">
        <v>10.58</v>
      </c>
      <c r="O24" s="9">
        <f t="shared" si="3"/>
        <v>15178.98</v>
      </c>
    </row>
    <row r="25" spans="3:15" outlineLevel="1" x14ac:dyDescent="0.2">
      <c r="C25" s="13" t="s">
        <v>27</v>
      </c>
      <c r="D25" s="35"/>
      <c r="E25" s="8"/>
      <c r="F25" s="9"/>
      <c r="G25" s="8"/>
      <c r="H25" s="9">
        <v>24</v>
      </c>
      <c r="I25" s="9"/>
      <c r="J25" s="8"/>
      <c r="K25" s="8"/>
      <c r="L25" s="8"/>
      <c r="M25" s="8"/>
      <c r="N25" s="8">
        <v>0.95</v>
      </c>
      <c r="O25" s="9">
        <f t="shared" si="3"/>
        <v>24.95</v>
      </c>
    </row>
    <row r="26" spans="3:15" outlineLevel="1" x14ac:dyDescent="0.2">
      <c r="C26" s="8" t="s">
        <v>28</v>
      </c>
      <c r="D26" s="35"/>
      <c r="E26" s="8"/>
      <c r="F26" s="9">
        <f t="shared" ref="F26:N26" si="5">SUM(F23:F24)-F25</f>
        <v>3523.29</v>
      </c>
      <c r="G26" s="9">
        <f t="shared" si="5"/>
        <v>840.21</v>
      </c>
      <c r="H26" s="9">
        <f t="shared" si="5"/>
        <v>26251.39</v>
      </c>
      <c r="I26" s="9"/>
      <c r="J26" s="9">
        <f t="shared" si="5"/>
        <v>792.88000000000011</v>
      </c>
      <c r="K26" s="9">
        <f t="shared" si="5"/>
        <v>33.04</v>
      </c>
      <c r="L26" s="9">
        <f t="shared" si="5"/>
        <v>18.22</v>
      </c>
      <c r="M26" s="9">
        <f t="shared" si="5"/>
        <v>114.5</v>
      </c>
      <c r="N26" s="9">
        <f t="shared" si="5"/>
        <v>31.98</v>
      </c>
      <c r="O26" s="9">
        <f t="shared" si="3"/>
        <v>31605.510000000002</v>
      </c>
    </row>
    <row r="27" spans="3:15" outlineLevel="1" x14ac:dyDescent="0.2">
      <c r="C27" s="14" t="s">
        <v>26</v>
      </c>
      <c r="D27" s="35"/>
      <c r="E27" s="8"/>
      <c r="F27" s="9">
        <v>4835.26</v>
      </c>
      <c r="G27" s="8">
        <v>293.14</v>
      </c>
      <c r="H27" s="9">
        <v>17342.169999999998</v>
      </c>
      <c r="I27" s="9">
        <v>483.69</v>
      </c>
      <c r="J27" s="8">
        <v>361.19</v>
      </c>
      <c r="K27" s="9">
        <v>2.44</v>
      </c>
      <c r="L27" s="8">
        <v>6.06</v>
      </c>
      <c r="M27" s="9">
        <v>38.43</v>
      </c>
      <c r="N27" s="8">
        <v>8.85</v>
      </c>
      <c r="O27" s="9">
        <f t="shared" si="3"/>
        <v>23371.229999999996</v>
      </c>
    </row>
    <row r="28" spans="3:15" outlineLevel="1" x14ac:dyDescent="0.2">
      <c r="C28" s="13" t="s">
        <v>27</v>
      </c>
      <c r="D28" s="35"/>
      <c r="E28" s="8"/>
      <c r="F28" s="9"/>
      <c r="G28" s="8"/>
      <c r="H28" s="9"/>
      <c r="I28" s="9"/>
      <c r="J28" s="8"/>
      <c r="K28" s="8"/>
      <c r="L28" s="8"/>
      <c r="M28" s="8"/>
      <c r="N28" s="8">
        <v>4.57</v>
      </c>
      <c r="O28" s="9">
        <f t="shared" si="3"/>
        <v>4.57</v>
      </c>
    </row>
    <row r="29" spans="3:15" outlineLevel="1" x14ac:dyDescent="0.2">
      <c r="C29" s="8" t="s">
        <v>29</v>
      </c>
      <c r="D29" s="35"/>
      <c r="E29" s="8"/>
      <c r="F29" s="9">
        <f t="shared" ref="F29:N29" si="6">SUM(F26:F27)-F28</f>
        <v>8358.5499999999993</v>
      </c>
      <c r="G29" s="9">
        <f t="shared" si="6"/>
        <v>1133.3499999999999</v>
      </c>
      <c r="H29" s="9">
        <f t="shared" si="6"/>
        <v>43593.56</v>
      </c>
      <c r="I29" s="9">
        <f t="shared" si="6"/>
        <v>483.69</v>
      </c>
      <c r="J29" s="9">
        <f t="shared" si="6"/>
        <v>1154.0700000000002</v>
      </c>
      <c r="K29" s="9">
        <f t="shared" si="6"/>
        <v>35.479999999999997</v>
      </c>
      <c r="L29" s="9">
        <f t="shared" si="6"/>
        <v>24.279999999999998</v>
      </c>
      <c r="M29" s="9">
        <f t="shared" si="6"/>
        <v>152.93</v>
      </c>
      <c r="N29" s="9">
        <f t="shared" si="6"/>
        <v>36.26</v>
      </c>
      <c r="O29" s="9">
        <f t="shared" si="3"/>
        <v>54972.170000000006</v>
      </c>
    </row>
    <row r="30" spans="3:15" outlineLevel="1" x14ac:dyDescent="0.2">
      <c r="C30" s="8"/>
      <c r="D30" s="35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3:15" outlineLevel="1" x14ac:dyDescent="0.2">
      <c r="C31" s="8" t="s">
        <v>30</v>
      </c>
      <c r="D31" s="35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3:15" outlineLevel="1" x14ac:dyDescent="0.2">
      <c r="C32" s="14" t="s">
        <v>31</v>
      </c>
      <c r="D32" s="36">
        <f>D9-D23</f>
        <v>7348.1299999999992</v>
      </c>
      <c r="E32" s="9"/>
      <c r="F32" s="9">
        <f t="shared" ref="F32:N32" si="7">F9-F23</f>
        <v>40445.480000000003</v>
      </c>
      <c r="G32" s="9">
        <f t="shared" si="7"/>
        <v>8285.42</v>
      </c>
      <c r="H32" s="9">
        <f t="shared" si="7"/>
        <v>435812.94999999995</v>
      </c>
      <c r="I32" s="9">
        <f t="shared" si="7"/>
        <v>0</v>
      </c>
      <c r="J32" s="9">
        <f t="shared" si="7"/>
        <v>14776.35</v>
      </c>
      <c r="K32" s="9">
        <f t="shared" si="7"/>
        <v>14.209999999999997</v>
      </c>
      <c r="L32" s="9">
        <f t="shared" si="7"/>
        <v>39.769999999999996</v>
      </c>
      <c r="M32" s="9">
        <f t="shared" si="7"/>
        <v>102.66</v>
      </c>
      <c r="N32" s="9">
        <f t="shared" si="7"/>
        <v>52.98</v>
      </c>
      <c r="O32" s="9">
        <f>SUM(D32:N32)</f>
        <v>506877.94999999995</v>
      </c>
    </row>
    <row r="33" spans="3:15" outlineLevel="1" x14ac:dyDescent="0.2">
      <c r="C33" s="13" t="s">
        <v>32</v>
      </c>
      <c r="D33" s="36">
        <f>D13-D26</f>
        <v>8241.619999999999</v>
      </c>
      <c r="E33" s="9"/>
      <c r="F33" s="9">
        <f t="shared" ref="F33:N33" si="8">F13-F26</f>
        <v>59836.85</v>
      </c>
      <c r="G33" s="9">
        <f t="shared" si="8"/>
        <v>8379.130000000001</v>
      </c>
      <c r="H33" s="9">
        <f t="shared" si="8"/>
        <v>691670.27999999991</v>
      </c>
      <c r="I33" s="9">
        <f t="shared" si="8"/>
        <v>0</v>
      </c>
      <c r="J33" s="9">
        <f t="shared" si="8"/>
        <v>14415.16</v>
      </c>
      <c r="K33" s="9">
        <f t="shared" si="8"/>
        <v>6.2399999999999949</v>
      </c>
      <c r="L33" s="9">
        <f t="shared" si="8"/>
        <v>34.83</v>
      </c>
      <c r="M33" s="9">
        <f t="shared" si="8"/>
        <v>75.580000000000013</v>
      </c>
      <c r="N33" s="9">
        <f t="shared" si="8"/>
        <v>46.39</v>
      </c>
      <c r="O33" s="9">
        <f>SUM(D33:N33)</f>
        <v>782706.07999999984</v>
      </c>
    </row>
    <row r="34" spans="3:15" outlineLevel="1" x14ac:dyDescent="0.2">
      <c r="C34" s="13" t="s">
        <v>33</v>
      </c>
      <c r="D34" s="36">
        <f>D17-D29</f>
        <v>8284.89</v>
      </c>
      <c r="E34" s="9"/>
      <c r="F34" s="9">
        <f t="shared" ref="F34:N34" si="9">F17-F29</f>
        <v>114090.18</v>
      </c>
      <c r="G34" s="9">
        <f t="shared" si="9"/>
        <v>8464.98</v>
      </c>
      <c r="H34" s="9">
        <f t="shared" si="9"/>
        <v>1047694.8999999999</v>
      </c>
      <c r="I34" s="9">
        <f t="shared" si="9"/>
        <v>1934.7599999999998</v>
      </c>
      <c r="J34" s="9">
        <f t="shared" si="9"/>
        <v>14053.970000000001</v>
      </c>
      <c r="K34" s="9">
        <f t="shared" si="9"/>
        <v>4.3999999999999986</v>
      </c>
      <c r="L34" s="9">
        <f t="shared" si="9"/>
        <v>34.789999999999992</v>
      </c>
      <c r="M34" s="9">
        <f t="shared" si="9"/>
        <v>37.430000000000007</v>
      </c>
      <c r="N34" s="9">
        <f t="shared" si="9"/>
        <v>33.020000000000003</v>
      </c>
      <c r="O34" s="9">
        <f>SUM(D34:N34)</f>
        <v>1194633.3199999998</v>
      </c>
    </row>
    <row r="35" spans="3:15" outlineLevel="1" x14ac:dyDescent="0.2">
      <c r="D35" s="33"/>
    </row>
    <row r="36" spans="3:15" outlineLevel="1" x14ac:dyDescent="0.2">
      <c r="C36" s="5" t="s">
        <v>34</v>
      </c>
      <c r="D36" s="38" t="e">
        <f>D21/D9/(1-100%)</f>
        <v>#DIV/0!</v>
      </c>
      <c r="E36" s="17"/>
      <c r="F36" s="17">
        <f t="shared" ref="F36:O36" si="10">F21/F9/(1-5%)</f>
        <v>3.094897901958386E-2</v>
      </c>
      <c r="G36" s="17">
        <f t="shared" si="10"/>
        <v>3.3428064440173093E-2</v>
      </c>
      <c r="H36" s="17">
        <f t="shared" si="10"/>
        <v>2.5145889696711183E-2</v>
      </c>
      <c r="I36" s="17" t="e">
        <f t="shared" si="10"/>
        <v>#DIV/0!</v>
      </c>
      <c r="J36" s="17">
        <f t="shared" si="10"/>
        <v>3.6743722399467646E-2</v>
      </c>
      <c r="K36" s="17">
        <f t="shared" si="10"/>
        <v>0.32435260266806176</v>
      </c>
      <c r="L36" s="17">
        <f t="shared" si="10"/>
        <v>0.12466174100763174</v>
      </c>
      <c r="M36" s="17">
        <f t="shared" si="10"/>
        <v>0.20812577418944769</v>
      </c>
      <c r="N36" s="17">
        <f t="shared" si="10"/>
        <v>0.17313295185394792</v>
      </c>
      <c r="O36" s="17">
        <f t="shared" si="10"/>
        <v>2.5857296446191298E-2</v>
      </c>
    </row>
    <row r="37" spans="3:15" outlineLevel="1" x14ac:dyDescent="0.2">
      <c r="D37" s="38" t="e">
        <f>D24/D9/(1-100%)</f>
        <v>#DIV/0!</v>
      </c>
      <c r="E37" s="17"/>
      <c r="F37" s="17">
        <f t="shared" ref="F37:O37" si="11">F24/F9/(1-5%)</f>
        <v>3.4103986424150197E-2</v>
      </c>
      <c r="G37" s="17">
        <f t="shared" si="11"/>
        <v>3.3968647942910088E-2</v>
      </c>
      <c r="H37" s="17">
        <f t="shared" si="11"/>
        <v>3.0683101354997473E-2</v>
      </c>
      <c r="I37" s="17" t="e">
        <f t="shared" si="11"/>
        <v>#DIV/0!</v>
      </c>
      <c r="J37" s="17">
        <f t="shared" si="11"/>
        <v>2.4999934245307085E-2</v>
      </c>
      <c r="K37" s="17">
        <f t="shared" si="11"/>
        <v>0.24835827470848193</v>
      </c>
      <c r="L37" s="17">
        <f t="shared" si="11"/>
        <v>0.12283742284654443</v>
      </c>
      <c r="M37" s="17">
        <f t="shared" si="11"/>
        <v>0.23136254386457636</v>
      </c>
      <c r="N37" s="17">
        <f t="shared" si="11"/>
        <v>0.14784072886317748</v>
      </c>
      <c r="O37" s="17">
        <f t="shared" si="11"/>
        <v>3.0531196543275862E-2</v>
      </c>
    </row>
    <row r="38" spans="3:15" outlineLevel="1" x14ac:dyDescent="0.2">
      <c r="D38" s="38" t="e">
        <f>D27/D13/(1-100%)</f>
        <v>#DIV/0!</v>
      </c>
      <c r="E38" s="17"/>
      <c r="F38" s="17">
        <f t="shared" ref="F38:O38" si="12">F27/F13/(1-5%)</f>
        <v>8.0330431220970361E-2</v>
      </c>
      <c r="G38" s="17">
        <f t="shared" si="12"/>
        <v>3.346968666440673E-2</v>
      </c>
      <c r="H38" s="17">
        <f t="shared" si="12"/>
        <v>2.542744780147629E-2</v>
      </c>
      <c r="I38" s="17" t="e">
        <f t="shared" si="12"/>
        <v>#DIV/0!</v>
      </c>
      <c r="J38" s="17">
        <f t="shared" si="12"/>
        <v>2.4999934245307085E-2</v>
      </c>
      <c r="K38" s="17">
        <f t="shared" si="12"/>
        <v>6.5387501339907825E-2</v>
      </c>
      <c r="L38" s="17">
        <f t="shared" si="12"/>
        <v>0.12024405972518479</v>
      </c>
      <c r="M38" s="17">
        <f t="shared" si="12"/>
        <v>0.21281897926634766</v>
      </c>
      <c r="N38" s="17">
        <f t="shared" si="12"/>
        <v>0.11886933104101327</v>
      </c>
      <c r="O38" s="17">
        <f t="shared" si="12"/>
        <v>3.021115631774577E-2</v>
      </c>
    </row>
    <row r="39" spans="3:15" outlineLevel="1" x14ac:dyDescent="0.2">
      <c r="D39" s="33"/>
    </row>
    <row r="40" spans="3:15" outlineLevel="1" x14ac:dyDescent="0.2">
      <c r="C40" s="5" t="s">
        <v>35</v>
      </c>
      <c r="D40" s="39" t="e">
        <f>1/D36</f>
        <v>#DIV/0!</v>
      </c>
      <c r="E40" s="18"/>
      <c r="F40" s="18">
        <f t="shared" ref="F40:O40" si="13">1/F36</f>
        <v>32.311243591176989</v>
      </c>
      <c r="G40" s="18">
        <f t="shared" si="13"/>
        <v>29.914983614732492</v>
      </c>
      <c r="H40" s="18">
        <f t="shared" si="13"/>
        <v>39.767930745786636</v>
      </c>
      <c r="I40" s="18" t="e">
        <f t="shared" si="13"/>
        <v>#DIV/0!</v>
      </c>
      <c r="J40" s="18">
        <f t="shared" si="13"/>
        <v>27.215533285612029</v>
      </c>
      <c r="K40" s="18">
        <f t="shared" si="13"/>
        <v>3.0830645161290318</v>
      </c>
      <c r="L40" s="18">
        <f t="shared" si="13"/>
        <v>8.0217073170731705</v>
      </c>
      <c r="M40" s="18">
        <f t="shared" si="13"/>
        <v>4.8047869318181808</v>
      </c>
      <c r="N40" s="18">
        <f t="shared" si="13"/>
        <v>5.775907990314769</v>
      </c>
      <c r="O40" s="18">
        <f t="shared" si="13"/>
        <v>38.673803430338786</v>
      </c>
    </row>
    <row r="41" spans="3:15" outlineLevel="1" x14ac:dyDescent="0.2">
      <c r="D41" s="39" t="e">
        <f t="shared" ref="D41:O42" si="14">1/D37</f>
        <v>#DIV/0!</v>
      </c>
      <c r="E41" s="18"/>
      <c r="F41" s="18">
        <f t="shared" si="14"/>
        <v>29.32208532935217</v>
      </c>
      <c r="G41" s="18">
        <f t="shared" si="14"/>
        <v>29.438910894559736</v>
      </c>
      <c r="H41" s="18">
        <f t="shared" si="14"/>
        <v>32.591229564123779</v>
      </c>
      <c r="I41" s="18" t="e">
        <f t="shared" si="14"/>
        <v>#DIV/0!</v>
      </c>
      <c r="J41" s="18">
        <f t="shared" si="14"/>
        <v>40.000105207785381</v>
      </c>
      <c r="K41" s="18">
        <f t="shared" si="14"/>
        <v>4.0264412416851441</v>
      </c>
      <c r="L41" s="18">
        <f t="shared" si="14"/>
        <v>8.1408415841584159</v>
      </c>
      <c r="M41" s="18">
        <f t="shared" si="14"/>
        <v>4.3222208024533604</v>
      </c>
      <c r="N41" s="18">
        <f t="shared" si="14"/>
        <v>6.7640359168241959</v>
      </c>
      <c r="O41" s="18">
        <f t="shared" si="14"/>
        <v>32.753383857149821</v>
      </c>
    </row>
    <row r="42" spans="3:15" outlineLevel="1" x14ac:dyDescent="0.2">
      <c r="D42" s="39" t="e">
        <f t="shared" si="14"/>
        <v>#DIV/0!</v>
      </c>
      <c r="E42" s="18"/>
      <c r="F42" s="18">
        <f t="shared" si="14"/>
        <v>12.448582496080872</v>
      </c>
      <c r="G42" s="18">
        <f t="shared" si="14"/>
        <v>29.877781947192471</v>
      </c>
      <c r="H42" s="18">
        <f t="shared" si="14"/>
        <v>39.32758048733232</v>
      </c>
      <c r="I42" s="18" t="e">
        <f t="shared" si="14"/>
        <v>#DIV/0!</v>
      </c>
      <c r="J42" s="18">
        <f t="shared" si="14"/>
        <v>40.000105207785381</v>
      </c>
      <c r="K42" s="18">
        <f t="shared" si="14"/>
        <v>15.293442622950817</v>
      </c>
      <c r="L42" s="18">
        <f t="shared" si="14"/>
        <v>8.3164191419141904</v>
      </c>
      <c r="M42" s="18">
        <f t="shared" si="14"/>
        <v>4.6988290398126473</v>
      </c>
      <c r="N42" s="18">
        <f t="shared" si="14"/>
        <v>8.4125988700564971</v>
      </c>
      <c r="O42" s="18">
        <f t="shared" si="14"/>
        <v>33.100355030522572</v>
      </c>
    </row>
    <row r="43" spans="3:15" outlineLevel="1" x14ac:dyDescent="0.2">
      <c r="D43" s="33"/>
    </row>
    <row r="44" spans="3:15" outlineLevel="1" x14ac:dyDescent="0.2">
      <c r="C44" s="5" t="s">
        <v>36</v>
      </c>
      <c r="D44" s="39">
        <f>D32/D9</f>
        <v>1</v>
      </c>
      <c r="E44" s="18"/>
      <c r="F44" s="18">
        <f t="shared" ref="F44:O44" si="15">F32/F9</f>
        <v>0.94967097091404484</v>
      </c>
      <c r="G44" s="18">
        <f t="shared" si="15"/>
        <v>0.93722759845481229</v>
      </c>
      <c r="H44" s="18">
        <f t="shared" si="15"/>
        <v>0.97062920538275632</v>
      </c>
      <c r="I44" s="18" t="e">
        <f t="shared" si="15"/>
        <v>#DIV/0!</v>
      </c>
      <c r="J44" s="18">
        <f t="shared" si="15"/>
        <v>0.97161435661663165</v>
      </c>
      <c r="K44" s="18">
        <f t="shared" si="15"/>
        <v>0.37169761967041587</v>
      </c>
      <c r="L44" s="18">
        <f t="shared" si="15"/>
        <v>0.76583862892355081</v>
      </c>
      <c r="M44" s="18">
        <f t="shared" si="15"/>
        <v>0.57664438577767785</v>
      </c>
      <c r="N44" s="18">
        <f t="shared" si="15"/>
        <v>0.70330545599362804</v>
      </c>
      <c r="O44" s="18">
        <f t="shared" si="15"/>
        <v>0.96856381648553558</v>
      </c>
    </row>
    <row r="45" spans="3:15" outlineLevel="1" x14ac:dyDescent="0.2">
      <c r="D45" s="39">
        <f>D33/D13</f>
        <v>1</v>
      </c>
      <c r="E45" s="18"/>
      <c r="F45" s="18">
        <f t="shared" ref="F45:O45" si="16">F33/F13</f>
        <v>0.94439264180918792</v>
      </c>
      <c r="G45" s="18">
        <f t="shared" si="16"/>
        <v>0.90886440894901377</v>
      </c>
      <c r="H45" s="18">
        <f t="shared" si="16"/>
        <v>0.96343418635071987</v>
      </c>
      <c r="I45" s="18" t="e">
        <f t="shared" si="16"/>
        <v>#DIV/0!</v>
      </c>
      <c r="J45" s="18">
        <f t="shared" si="16"/>
        <v>0.94786441908358998</v>
      </c>
      <c r="K45" s="18">
        <f t="shared" si="16"/>
        <v>0.15885947046843166</v>
      </c>
      <c r="L45" s="18">
        <f t="shared" si="16"/>
        <v>0.65655042412818099</v>
      </c>
      <c r="M45" s="18">
        <f t="shared" si="16"/>
        <v>0.3976220538720539</v>
      </c>
      <c r="N45" s="18">
        <f t="shared" si="16"/>
        <v>0.59193568967717236</v>
      </c>
      <c r="O45" s="18">
        <f t="shared" si="16"/>
        <v>0.96118744914339227</v>
      </c>
    </row>
    <row r="46" spans="3:15" outlineLevel="1" x14ac:dyDescent="0.2">
      <c r="D46" s="39">
        <f>D34/D17</f>
        <v>1</v>
      </c>
      <c r="E46" s="18"/>
      <c r="F46" s="18">
        <f t="shared" ref="F46:O46" si="17">F34/F17</f>
        <v>0.93173836919337583</v>
      </c>
      <c r="G46" s="18">
        <f t="shared" si="17"/>
        <v>0.88192216771042464</v>
      </c>
      <c r="H46" s="18">
        <f t="shared" si="17"/>
        <v>0.96005312839100299</v>
      </c>
      <c r="I46" s="18">
        <f t="shared" si="17"/>
        <v>0.79999999999999993</v>
      </c>
      <c r="J46" s="18">
        <f t="shared" si="17"/>
        <v>0.92411448155054832</v>
      </c>
      <c r="K46" s="18">
        <f t="shared" si="17"/>
        <v>0.11033099297893678</v>
      </c>
      <c r="L46" s="18">
        <f t="shared" si="17"/>
        <v>0.58896224818012521</v>
      </c>
      <c r="M46" s="18">
        <f t="shared" si="17"/>
        <v>0.19662744274007146</v>
      </c>
      <c r="N46" s="18">
        <f t="shared" si="17"/>
        <v>0.47661662817551964</v>
      </c>
      <c r="O46" s="18">
        <f t="shared" si="17"/>
        <v>0.95600837989276111</v>
      </c>
    </row>
    <row r="47" spans="3:15" outlineLevel="1" x14ac:dyDescent="0.2">
      <c r="D47" s="33"/>
    </row>
    <row r="48" spans="3:15" outlineLevel="1" x14ac:dyDescent="0.2">
      <c r="D48" s="33"/>
    </row>
    <row r="49" spans="1:25" outlineLevel="1" x14ac:dyDescent="0.2">
      <c r="D49" s="33"/>
    </row>
    <row r="50" spans="1:25" outlineLevel="1" x14ac:dyDescent="0.2">
      <c r="A50" s="5" t="str">
        <f>Assumptions!A1</f>
        <v>Plant Year</v>
      </c>
      <c r="D50" s="33">
        <f>Assumptions!I1</f>
        <v>4</v>
      </c>
      <c r="E50" s="5">
        <f>Assumptions!J1</f>
        <v>5</v>
      </c>
      <c r="F50" s="5">
        <f>Assumptions!K1</f>
        <v>6</v>
      </c>
      <c r="G50" s="5">
        <f>Assumptions!L1</f>
        <v>7</v>
      </c>
      <c r="H50" s="5">
        <f>Assumptions!M1</f>
        <v>8</v>
      </c>
      <c r="I50" s="5">
        <f>Assumptions!N1</f>
        <v>9</v>
      </c>
      <c r="J50" s="5">
        <f>Assumptions!O1</f>
        <v>10</v>
      </c>
      <c r="K50" s="5">
        <f>Assumptions!P1</f>
        <v>11</v>
      </c>
      <c r="L50" s="5">
        <f>Assumptions!Q1</f>
        <v>12</v>
      </c>
      <c r="M50" s="5">
        <f>Assumptions!R1</f>
        <v>13</v>
      </c>
      <c r="N50" s="5">
        <f>Assumptions!S1</f>
        <v>14</v>
      </c>
      <c r="O50" s="5">
        <f>Assumptions!T1</f>
        <v>15</v>
      </c>
      <c r="P50" s="5">
        <f>Assumptions!U1</f>
        <v>16</v>
      </c>
      <c r="Q50" s="5">
        <f>Assumptions!V1</f>
        <v>17</v>
      </c>
      <c r="R50" s="5">
        <f>Assumptions!W1</f>
        <v>18</v>
      </c>
      <c r="S50" s="5">
        <f>Assumptions!X1</f>
        <v>19</v>
      </c>
      <c r="T50" s="5">
        <f>Assumptions!Y1</f>
        <v>20</v>
      </c>
      <c r="U50" s="5">
        <f>Assumptions!Z1</f>
        <v>21</v>
      </c>
      <c r="V50" s="5">
        <f>Assumptions!AA1</f>
        <v>22</v>
      </c>
      <c r="W50" s="5">
        <f>Assumptions!AB1</f>
        <v>23</v>
      </c>
      <c r="X50" s="5">
        <f>Assumptions!AC1</f>
        <v>24</v>
      </c>
      <c r="Y50" s="5">
        <f>Assumptions!AD1</f>
        <v>25</v>
      </c>
    </row>
    <row r="51" spans="1:25" outlineLevel="1" x14ac:dyDescent="0.2">
      <c r="A51" s="5" t="s">
        <v>37</v>
      </c>
      <c r="D51" s="33">
        <f>Assumptions!I3</f>
        <v>365</v>
      </c>
      <c r="E51" s="5">
        <f>Assumptions!J3</f>
        <v>366</v>
      </c>
      <c r="F51" s="5">
        <f>Assumptions!K3</f>
        <v>365</v>
      </c>
      <c r="G51" s="5">
        <f>Assumptions!L3</f>
        <v>365</v>
      </c>
      <c r="H51" s="5">
        <f>Assumptions!M3</f>
        <v>365</v>
      </c>
      <c r="I51" s="5">
        <f>Assumptions!N3</f>
        <v>366</v>
      </c>
      <c r="J51" s="5">
        <f>Assumptions!O3</f>
        <v>365</v>
      </c>
      <c r="K51" s="5">
        <f>Assumptions!P3</f>
        <v>365</v>
      </c>
      <c r="L51" s="5">
        <f>Assumptions!Q3</f>
        <v>365</v>
      </c>
      <c r="M51" s="5">
        <f>Assumptions!R3</f>
        <v>366</v>
      </c>
      <c r="N51" s="5">
        <f>Assumptions!S3</f>
        <v>365</v>
      </c>
      <c r="O51" s="5">
        <f>Assumptions!T3</f>
        <v>365</v>
      </c>
      <c r="P51" s="5">
        <f>Assumptions!U3</f>
        <v>365</v>
      </c>
      <c r="Q51" s="5">
        <f>Assumptions!V3</f>
        <v>366</v>
      </c>
      <c r="R51" s="5">
        <f>Assumptions!W3</f>
        <v>365</v>
      </c>
      <c r="S51" s="5">
        <f>Assumptions!X3</f>
        <v>365</v>
      </c>
      <c r="T51" s="5">
        <f>Assumptions!Y3</f>
        <v>365</v>
      </c>
      <c r="U51" s="5">
        <f>Assumptions!Z3</f>
        <v>366</v>
      </c>
      <c r="V51" s="5">
        <f>Assumptions!AA3</f>
        <v>365</v>
      </c>
      <c r="W51" s="5">
        <f>Assumptions!AB3</f>
        <v>365</v>
      </c>
      <c r="X51" s="5">
        <f>Assumptions!AC3</f>
        <v>365</v>
      </c>
      <c r="Y51" s="5">
        <f>Assumptions!AD3</f>
        <v>366</v>
      </c>
    </row>
    <row r="52" spans="1:25" outlineLevel="1" x14ac:dyDescent="0.2">
      <c r="A52" s="5" t="s">
        <v>38</v>
      </c>
      <c r="B52" s="5">
        <f>SUM(D51:V51)</f>
        <v>6940</v>
      </c>
      <c r="D52" s="33"/>
    </row>
    <row r="53" spans="1:25" x14ac:dyDescent="0.2">
      <c r="A53" s="19" t="s">
        <v>39</v>
      </c>
      <c r="B53" s="19" t="s">
        <v>40</v>
      </c>
      <c r="D53" s="48">
        <f>Assumptions!I4</f>
        <v>43555</v>
      </c>
      <c r="E53" s="27">
        <f>Assumptions!J4</f>
        <v>43921</v>
      </c>
      <c r="F53" s="27">
        <f>Assumptions!K4</f>
        <v>44286</v>
      </c>
      <c r="G53" s="27">
        <f>Assumptions!L4</f>
        <v>44651</v>
      </c>
      <c r="H53" s="27">
        <f>Assumptions!M4</f>
        <v>45016</v>
      </c>
      <c r="I53" s="27">
        <f>Assumptions!N4</f>
        <v>45382</v>
      </c>
      <c r="J53" s="27">
        <f>Assumptions!O4</f>
        <v>45747</v>
      </c>
      <c r="K53" s="27">
        <f>Assumptions!P4</f>
        <v>46112</v>
      </c>
      <c r="L53" s="27">
        <f>Assumptions!Q4</f>
        <v>46477</v>
      </c>
      <c r="M53" s="27">
        <f>Assumptions!R4</f>
        <v>46843</v>
      </c>
      <c r="N53" s="27">
        <f>Assumptions!S4</f>
        <v>47208</v>
      </c>
      <c r="O53" s="27">
        <f>Assumptions!T4</f>
        <v>47573</v>
      </c>
      <c r="P53" s="27">
        <f>Assumptions!U4</f>
        <v>47938</v>
      </c>
      <c r="Q53" s="27">
        <f>Assumptions!V4</f>
        <v>48304</v>
      </c>
      <c r="R53" s="27">
        <f>Assumptions!W4</f>
        <v>48669</v>
      </c>
      <c r="S53" s="27">
        <f>Assumptions!X4</f>
        <v>49034</v>
      </c>
      <c r="T53" s="27">
        <f>Assumptions!Y4</f>
        <v>49399</v>
      </c>
      <c r="U53" s="27">
        <f>Assumptions!Z4</f>
        <v>49765</v>
      </c>
      <c r="V53" s="27">
        <f>Assumptions!AA4</f>
        <v>50130</v>
      </c>
      <c r="W53" s="27">
        <f>Assumptions!AB4</f>
        <v>50495</v>
      </c>
      <c r="X53" s="27">
        <f>Assumptions!AC4</f>
        <v>50860</v>
      </c>
      <c r="Y53" s="27">
        <f>Assumptions!AD4</f>
        <v>51226</v>
      </c>
    </row>
    <row r="54" spans="1:25" x14ac:dyDescent="0.2">
      <c r="A54" s="19" t="s">
        <v>53</v>
      </c>
      <c r="C54" s="31" t="s">
        <v>41</v>
      </c>
      <c r="D54" s="33"/>
    </row>
    <row r="55" spans="1:25" x14ac:dyDescent="0.2">
      <c r="C55" s="5" t="s">
        <v>42</v>
      </c>
      <c r="D55" s="40">
        <v>258.27</v>
      </c>
      <c r="E55" s="40">
        <v>258.27</v>
      </c>
      <c r="F55" s="40">
        <v>258.27</v>
      </c>
      <c r="G55" s="40">
        <f t="shared" ref="G55:V55" si="18">F55+F56-F57</f>
        <v>258.27</v>
      </c>
      <c r="H55" s="28">
        <f t="shared" si="18"/>
        <v>258.27</v>
      </c>
      <c r="I55" s="28">
        <f t="shared" si="18"/>
        <v>258.27</v>
      </c>
      <c r="J55" s="28">
        <f t="shared" si="18"/>
        <v>258.27</v>
      </c>
      <c r="K55" s="28">
        <f t="shared" si="18"/>
        <v>258.27</v>
      </c>
      <c r="L55" s="28">
        <f t="shared" si="18"/>
        <v>258.27</v>
      </c>
      <c r="M55" s="28">
        <f t="shared" si="18"/>
        <v>258.27</v>
      </c>
      <c r="N55" s="28">
        <f t="shared" si="18"/>
        <v>258.27</v>
      </c>
      <c r="O55" s="28">
        <f t="shared" si="18"/>
        <v>258.27</v>
      </c>
      <c r="P55" s="28">
        <f t="shared" si="18"/>
        <v>258.27</v>
      </c>
      <c r="Q55" s="28">
        <f t="shared" si="18"/>
        <v>258.27</v>
      </c>
      <c r="R55" s="28">
        <f t="shared" si="18"/>
        <v>258.27</v>
      </c>
      <c r="S55" s="28">
        <f t="shared" si="18"/>
        <v>258.27</v>
      </c>
      <c r="T55" s="28">
        <f t="shared" si="18"/>
        <v>258.27</v>
      </c>
      <c r="U55" s="28">
        <f t="shared" si="18"/>
        <v>258.27</v>
      </c>
      <c r="V55" s="28">
        <f t="shared" si="18"/>
        <v>258.27</v>
      </c>
      <c r="W55" s="28">
        <f t="shared" ref="W55" si="19">V55+V56-V57</f>
        <v>258.27</v>
      </c>
      <c r="X55" s="28">
        <f t="shared" ref="X55:Y55" si="20">W55+W56-W57</f>
        <v>258.27</v>
      </c>
      <c r="Y55" s="28">
        <f t="shared" si="20"/>
        <v>258.27</v>
      </c>
    </row>
    <row r="56" spans="1:25" x14ac:dyDescent="0.2">
      <c r="C56" s="5" t="s">
        <v>43</v>
      </c>
      <c r="D56" s="3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x14ac:dyDescent="0.2">
      <c r="C57" s="5" t="s">
        <v>44</v>
      </c>
      <c r="D57" s="3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x14ac:dyDescent="0.2">
      <c r="C58" s="5" t="s">
        <v>34</v>
      </c>
      <c r="D58" s="3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x14ac:dyDescent="0.2">
      <c r="C59" s="5" t="s">
        <v>45</v>
      </c>
      <c r="D59" s="3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>
        <f t="shared" ref="Y59" si="21">Y55</f>
        <v>258.27</v>
      </c>
    </row>
    <row r="60" spans="1:25" x14ac:dyDescent="0.2">
      <c r="C60" s="5" t="s">
        <v>46</v>
      </c>
      <c r="D60" s="41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>
        <f t="shared" ref="Y60" si="22">Y58+X60+Y59-Y57</f>
        <v>258.27</v>
      </c>
    </row>
    <row r="61" spans="1:25" x14ac:dyDescent="0.2">
      <c r="C61" s="5" t="s">
        <v>47</v>
      </c>
      <c r="D61" s="42">
        <f>D55</f>
        <v>258.27</v>
      </c>
      <c r="E61" s="30">
        <f>E55</f>
        <v>258.27</v>
      </c>
      <c r="F61" s="30">
        <f t="shared" ref="F61:U61" si="23">F55</f>
        <v>258.27</v>
      </c>
      <c r="G61" s="30">
        <f t="shared" si="23"/>
        <v>258.27</v>
      </c>
      <c r="H61" s="30">
        <f t="shared" si="23"/>
        <v>258.27</v>
      </c>
      <c r="I61" s="30">
        <f t="shared" si="23"/>
        <v>258.27</v>
      </c>
      <c r="J61" s="30">
        <f t="shared" si="23"/>
        <v>258.27</v>
      </c>
      <c r="K61" s="30">
        <f t="shared" si="23"/>
        <v>258.27</v>
      </c>
      <c r="L61" s="30">
        <f t="shared" si="23"/>
        <v>258.27</v>
      </c>
      <c r="M61" s="30">
        <f t="shared" si="23"/>
        <v>258.27</v>
      </c>
      <c r="N61" s="30">
        <f t="shared" si="23"/>
        <v>258.27</v>
      </c>
      <c r="O61" s="30">
        <f t="shared" si="23"/>
        <v>258.27</v>
      </c>
      <c r="P61" s="30">
        <f t="shared" si="23"/>
        <v>258.27</v>
      </c>
      <c r="Q61" s="30">
        <f t="shared" si="23"/>
        <v>258.27</v>
      </c>
      <c r="R61" s="30">
        <f t="shared" si="23"/>
        <v>258.27</v>
      </c>
      <c r="S61" s="30">
        <f t="shared" si="23"/>
        <v>258.27</v>
      </c>
      <c r="T61" s="30">
        <f t="shared" si="23"/>
        <v>258.27</v>
      </c>
      <c r="U61" s="30">
        <f t="shared" si="23"/>
        <v>258.27</v>
      </c>
      <c r="V61" s="30">
        <f>V55+V56-V60-V57</f>
        <v>258.27</v>
      </c>
      <c r="W61" s="30">
        <f t="shared" ref="W61:X61" si="24">W55+W56-W60-W57</f>
        <v>258.27</v>
      </c>
      <c r="X61" s="30">
        <f t="shared" si="24"/>
        <v>258.27</v>
      </c>
      <c r="Y61" s="30">
        <f t="shared" ref="Y61" si="25">Y55+Y56-Y60-Y57</f>
        <v>0</v>
      </c>
    </row>
    <row r="62" spans="1:25" x14ac:dyDescent="0.2">
      <c r="D62" s="43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2">
      <c r="C63" s="31" t="s">
        <v>245</v>
      </c>
      <c r="D63" s="33"/>
    </row>
    <row r="64" spans="1:25" x14ac:dyDescent="0.2">
      <c r="A64" s="21">
        <v>0.05</v>
      </c>
      <c r="C64" s="5" t="s">
        <v>42</v>
      </c>
      <c r="D64" s="44">
        <v>4950.0200000000004</v>
      </c>
      <c r="E64" s="44">
        <v>4950.0200000000004</v>
      </c>
      <c r="F64" s="44">
        <v>4950.0200000000004</v>
      </c>
      <c r="G64" s="44">
        <v>4950.0200000000004</v>
      </c>
      <c r="H64" s="23">
        <f t="shared" ref="H64:V64" si="26">G64+G65-G66</f>
        <v>4950.0200000000004</v>
      </c>
      <c r="I64" s="23">
        <f t="shared" si="26"/>
        <v>4950.0200000000004</v>
      </c>
      <c r="J64" s="23">
        <f t="shared" si="26"/>
        <v>4950.0200000000004</v>
      </c>
      <c r="K64" s="23">
        <f t="shared" si="26"/>
        <v>4950.0200000000004</v>
      </c>
      <c r="L64" s="23">
        <f t="shared" si="26"/>
        <v>4950.0200000000004</v>
      </c>
      <c r="M64" s="23">
        <f t="shared" si="26"/>
        <v>4950.0200000000004</v>
      </c>
      <c r="N64" s="23">
        <f t="shared" si="26"/>
        <v>4950.0200000000004</v>
      </c>
      <c r="O64" s="23">
        <f t="shared" si="26"/>
        <v>4950.0200000000004</v>
      </c>
      <c r="P64" s="23">
        <f t="shared" si="26"/>
        <v>4950.0200000000004</v>
      </c>
      <c r="Q64" s="23">
        <f t="shared" si="26"/>
        <v>4950.0200000000004</v>
      </c>
      <c r="R64" s="23">
        <f t="shared" si="26"/>
        <v>4950.0200000000004</v>
      </c>
      <c r="S64" s="23">
        <f t="shared" si="26"/>
        <v>4950.0200000000004</v>
      </c>
      <c r="T64" s="23">
        <f t="shared" si="26"/>
        <v>4950.0200000000004</v>
      </c>
      <c r="U64" s="23">
        <f t="shared" si="26"/>
        <v>4950.0200000000004</v>
      </c>
      <c r="V64" s="23">
        <f t="shared" si="26"/>
        <v>4950.0200000000004</v>
      </c>
      <c r="W64" s="23">
        <f t="shared" ref="W64" si="27">V64+V65-V66</f>
        <v>4950.0200000000004</v>
      </c>
      <c r="X64" s="23">
        <f t="shared" ref="X64:Y64" si="28">W64+W65-W66</f>
        <v>4950.0200000000004</v>
      </c>
      <c r="Y64" s="23">
        <f t="shared" si="28"/>
        <v>0</v>
      </c>
    </row>
    <row r="65" spans="1:25" x14ac:dyDescent="0.2">
      <c r="B65" s="5">
        <v>22</v>
      </c>
      <c r="C65" s="5" t="s">
        <v>43</v>
      </c>
      <c r="D65" s="45"/>
      <c r="E65" s="24"/>
      <c r="F65" s="24"/>
      <c r="G65" s="24"/>
      <c r="H65" s="24"/>
      <c r="I65" s="24"/>
      <c r="J65" s="24"/>
      <c r="K65" s="24"/>
      <c r="L65" s="18"/>
      <c r="M65" s="24"/>
      <c r="N65" s="24"/>
      <c r="O65" s="24"/>
      <c r="P65" s="24"/>
      <c r="Q65" s="24"/>
      <c r="R65" s="24"/>
      <c r="S65" s="24"/>
      <c r="T65" s="24"/>
      <c r="U65" s="24"/>
      <c r="V65" s="18"/>
      <c r="X65" s="18"/>
      <c r="Y65" s="18"/>
    </row>
    <row r="66" spans="1:25" x14ac:dyDescent="0.2">
      <c r="A66" s="21"/>
      <c r="B66" s="17">
        <f>1/B65</f>
        <v>4.5454545454545456E-2</v>
      </c>
      <c r="C66" s="5" t="s">
        <v>44</v>
      </c>
      <c r="D66" s="45"/>
      <c r="E66" s="24"/>
      <c r="F66" s="24"/>
      <c r="G66" s="24"/>
      <c r="H66" s="24"/>
      <c r="I66" s="24"/>
      <c r="J66" s="24"/>
      <c r="K66" s="24"/>
      <c r="L66" s="18"/>
      <c r="M66" s="24"/>
      <c r="N66" s="24"/>
      <c r="O66" s="24"/>
      <c r="P66" s="24"/>
      <c r="Q66" s="24"/>
      <c r="R66" s="24"/>
      <c r="S66" s="24"/>
      <c r="T66" s="24"/>
      <c r="U66" s="24"/>
      <c r="V66" s="18"/>
      <c r="W66" s="18"/>
      <c r="X66" s="18">
        <f>X64</f>
        <v>4950.0200000000004</v>
      </c>
      <c r="Y66" s="18">
        <f>Y64</f>
        <v>0</v>
      </c>
    </row>
    <row r="67" spans="1:25" x14ac:dyDescent="0.2">
      <c r="B67" s="22"/>
      <c r="C67" s="5" t="s">
        <v>34</v>
      </c>
      <c r="D67" s="45">
        <v>214.11</v>
      </c>
      <c r="E67" s="45">
        <v>214.7</v>
      </c>
      <c r="F67" s="45">
        <v>214.43</v>
      </c>
      <c r="G67" s="45">
        <v>214.11</v>
      </c>
      <c r="H67" s="18">
        <f t="shared" ref="H67:I67" si="29">(H64*(1-$A$64))*$B$66</f>
        <v>213.75086363636365</v>
      </c>
      <c r="I67" s="18">
        <f t="shared" si="29"/>
        <v>213.75086363636365</v>
      </c>
      <c r="J67" s="24">
        <f>J64*(1-$A$64)/$B$65</f>
        <v>213.75086363636365</v>
      </c>
      <c r="K67" s="24">
        <f t="shared" ref="K67:W67" si="30">K64*(1-$A$64)/$B$65</f>
        <v>213.75086363636365</v>
      </c>
      <c r="L67" s="24">
        <f t="shared" si="30"/>
        <v>213.75086363636365</v>
      </c>
      <c r="M67" s="24">
        <f t="shared" si="30"/>
        <v>213.75086363636365</v>
      </c>
      <c r="N67" s="24">
        <f t="shared" si="30"/>
        <v>213.75086363636365</v>
      </c>
      <c r="O67" s="24">
        <f t="shared" si="30"/>
        <v>213.75086363636365</v>
      </c>
      <c r="P67" s="24">
        <f t="shared" si="30"/>
        <v>213.75086363636365</v>
      </c>
      <c r="Q67" s="24">
        <f t="shared" si="30"/>
        <v>213.75086363636365</v>
      </c>
      <c r="R67" s="24">
        <f t="shared" si="30"/>
        <v>213.75086363636365</v>
      </c>
      <c r="S67" s="24">
        <f t="shared" ref="S67" si="31">S64*(1-$A$64)/$B$65</f>
        <v>213.75086363636365</v>
      </c>
      <c r="T67" s="24">
        <f t="shared" si="30"/>
        <v>213.75086363636365</v>
      </c>
      <c r="U67" s="24">
        <f t="shared" si="30"/>
        <v>213.75086363636365</v>
      </c>
      <c r="V67" s="24">
        <f t="shared" si="30"/>
        <v>213.75086363636365</v>
      </c>
      <c r="W67" s="24">
        <f t="shared" si="30"/>
        <v>213.75086363636365</v>
      </c>
      <c r="X67" s="24">
        <f t="shared" ref="X67" si="32">X64*(1-$A$64)/$B$65</f>
        <v>213.75086363636365</v>
      </c>
      <c r="Y67" s="24">
        <f t="shared" ref="Y67" si="33">Y64*(1-$A$64)/$B$65</f>
        <v>0</v>
      </c>
    </row>
    <row r="68" spans="1:25" x14ac:dyDescent="0.2">
      <c r="C68" s="5" t="s">
        <v>45</v>
      </c>
      <c r="D68" s="45"/>
      <c r="E68" s="24"/>
      <c r="F68" s="24"/>
      <c r="G68" s="24"/>
      <c r="H68" s="24"/>
      <c r="I68" s="24"/>
      <c r="J68" s="24"/>
      <c r="K68" s="24"/>
      <c r="L68" s="18"/>
      <c r="M68" s="24"/>
      <c r="N68" s="24"/>
      <c r="O68" s="24"/>
      <c r="P68" s="24"/>
      <c r="Q68" s="24"/>
      <c r="R68" s="24"/>
      <c r="S68" s="24"/>
      <c r="T68" s="24"/>
      <c r="U68" s="24"/>
      <c r="V68" s="18"/>
      <c r="W68" s="18"/>
      <c r="X68" s="18">
        <f>W70-X67</f>
        <v>-160.65468181818142</v>
      </c>
      <c r="Y68" s="18">
        <f>X70-Y67</f>
        <v>0</v>
      </c>
    </row>
    <row r="69" spans="1:25" x14ac:dyDescent="0.2">
      <c r="C69" s="5" t="s">
        <v>46</v>
      </c>
      <c r="D69" s="45">
        <v>619.54999999999995</v>
      </c>
      <c r="E69" s="45">
        <v>1048.3699999999999</v>
      </c>
      <c r="F69" s="45">
        <v>1262.8</v>
      </c>
      <c r="G69" s="45">
        <v>1476.91</v>
      </c>
      <c r="H69" s="24">
        <f t="shared" ref="H69:V69" si="34">G69+H67+H68-H66</f>
        <v>1690.6608636363637</v>
      </c>
      <c r="I69" s="24">
        <f t="shared" si="34"/>
        <v>1904.4117272727274</v>
      </c>
      <c r="J69" s="24">
        <f t="shared" si="34"/>
        <v>2118.1625909090908</v>
      </c>
      <c r="K69" s="24">
        <f t="shared" si="34"/>
        <v>2331.9134545454544</v>
      </c>
      <c r="L69" s="24">
        <f t="shared" si="34"/>
        <v>2545.6643181818181</v>
      </c>
      <c r="M69" s="24">
        <f t="shared" si="34"/>
        <v>2759.4151818181817</v>
      </c>
      <c r="N69" s="24">
        <f t="shared" si="34"/>
        <v>2973.1660454545454</v>
      </c>
      <c r="O69" s="24">
        <f t="shared" si="34"/>
        <v>3186.916909090909</v>
      </c>
      <c r="P69" s="24">
        <f t="shared" si="34"/>
        <v>3400.6677727272727</v>
      </c>
      <c r="Q69" s="24">
        <f t="shared" si="34"/>
        <v>3614.4186363636363</v>
      </c>
      <c r="R69" s="24">
        <f t="shared" si="34"/>
        <v>3828.1695</v>
      </c>
      <c r="S69" s="24">
        <f t="shared" si="34"/>
        <v>4041.9203636363636</v>
      </c>
      <c r="T69" s="24">
        <f t="shared" si="34"/>
        <v>4255.6712272727273</v>
      </c>
      <c r="U69" s="24">
        <f t="shared" si="34"/>
        <v>4469.4220909090909</v>
      </c>
      <c r="V69" s="24">
        <f t="shared" si="34"/>
        <v>4683.1729545454546</v>
      </c>
      <c r="W69" s="24">
        <f t="shared" ref="W69:Y69" si="35">V69+W67+W68-W66</f>
        <v>4896.9238181818182</v>
      </c>
      <c r="X69" s="24">
        <f t="shared" si="35"/>
        <v>0</v>
      </c>
      <c r="Y69" s="24">
        <f t="shared" si="35"/>
        <v>0</v>
      </c>
    </row>
    <row r="70" spans="1:25" x14ac:dyDescent="0.2">
      <c r="C70" s="5" t="s">
        <v>47</v>
      </c>
      <c r="D70" s="46">
        <f>D64+D65-D69-D66</f>
        <v>4330.47</v>
      </c>
      <c r="E70" s="25">
        <f>E64+E65-E69-E66</f>
        <v>3901.6500000000005</v>
      </c>
      <c r="F70" s="25">
        <f>F64+F65-F69-F66+0.31</f>
        <v>3687.53</v>
      </c>
      <c r="G70" s="25">
        <f>G64+G65-G69-G66+0.31</f>
        <v>3473.4200000000005</v>
      </c>
      <c r="H70" s="25">
        <f t="shared" ref="H70:V70" si="36">H64+H65-H69-H66</f>
        <v>3259.3591363636369</v>
      </c>
      <c r="I70" s="25">
        <f t="shared" si="36"/>
        <v>3045.6082727272733</v>
      </c>
      <c r="J70" s="25">
        <f t="shared" si="36"/>
        <v>2831.8574090909096</v>
      </c>
      <c r="K70" s="25">
        <f t="shared" si="36"/>
        <v>2618.106545454546</v>
      </c>
      <c r="L70" s="25">
        <f t="shared" si="36"/>
        <v>2404.3556818181823</v>
      </c>
      <c r="M70" s="25">
        <f t="shared" si="36"/>
        <v>2190.6048181818187</v>
      </c>
      <c r="N70" s="25">
        <f t="shared" si="36"/>
        <v>1976.8539545454551</v>
      </c>
      <c r="O70" s="25">
        <f t="shared" si="36"/>
        <v>1763.1030909090914</v>
      </c>
      <c r="P70" s="25">
        <f t="shared" si="36"/>
        <v>1549.3522272727278</v>
      </c>
      <c r="Q70" s="25">
        <f t="shared" si="36"/>
        <v>1335.6013636363641</v>
      </c>
      <c r="R70" s="25">
        <f t="shared" si="36"/>
        <v>1121.8505000000005</v>
      </c>
      <c r="S70" s="25">
        <f t="shared" si="36"/>
        <v>908.09963636363682</v>
      </c>
      <c r="T70" s="25">
        <f t="shared" si="36"/>
        <v>694.34877272727317</v>
      </c>
      <c r="U70" s="25">
        <f t="shared" si="36"/>
        <v>480.59790909090952</v>
      </c>
      <c r="V70" s="25">
        <f t="shared" si="36"/>
        <v>266.84704545454588</v>
      </c>
      <c r="W70" s="25">
        <f t="shared" ref="W70:X70" si="37">W64+W65-W69-W66</f>
        <v>53.096181818182231</v>
      </c>
      <c r="X70" s="25">
        <f t="shared" si="37"/>
        <v>0</v>
      </c>
      <c r="Y70" s="25">
        <f t="shared" ref="Y70" si="38">Y64+Y65-Y69-Y66</f>
        <v>0</v>
      </c>
    </row>
    <row r="71" spans="1:25" x14ac:dyDescent="0.2">
      <c r="D71" s="43">
        <f>IF(D69=0,(D68-D66)/D64,D70/D64)</f>
        <v>0.87483888953984024</v>
      </c>
      <c r="E71" s="20">
        <f>IF(E69=0,(E68-E66)/E64,E70/E64)</f>
        <v>0.78820893652954938</v>
      </c>
      <c r="F71" s="20">
        <f t="shared" ref="F71:V71" si="39">IF(F69=0,(F68-F66)/F64,F70/F64)</f>
        <v>0.74495254564628022</v>
      </c>
      <c r="G71" s="20">
        <f t="shared" si="39"/>
        <v>0.70169817495686893</v>
      </c>
      <c r="H71" s="20">
        <f t="shared" si="39"/>
        <v>0.65845373076545888</v>
      </c>
      <c r="I71" s="20">
        <f t="shared" si="39"/>
        <v>0.61527191258364067</v>
      </c>
      <c r="J71" s="20">
        <f t="shared" si="39"/>
        <v>0.57209009440182246</v>
      </c>
      <c r="K71" s="20">
        <f t="shared" si="39"/>
        <v>0.52890827622000436</v>
      </c>
      <c r="L71" s="20">
        <f t="shared" si="39"/>
        <v>0.48572645803818615</v>
      </c>
      <c r="M71" s="20">
        <f t="shared" si="39"/>
        <v>0.44254463985636794</v>
      </c>
      <c r="N71" s="20">
        <f t="shared" si="39"/>
        <v>0.39936282167454978</v>
      </c>
      <c r="O71" s="20">
        <f t="shared" si="39"/>
        <v>0.35618100349273157</v>
      </c>
      <c r="P71" s="20">
        <f t="shared" si="39"/>
        <v>0.31299918531091342</v>
      </c>
      <c r="Q71" s="20">
        <f t="shared" si="39"/>
        <v>0.26981736712909521</v>
      </c>
      <c r="R71" s="20">
        <f t="shared" si="39"/>
        <v>0.22663554894727705</v>
      </c>
      <c r="S71" s="20">
        <f t="shared" si="39"/>
        <v>0.18345373076545887</v>
      </c>
      <c r="T71" s="20">
        <f t="shared" si="39"/>
        <v>0.14027191258364069</v>
      </c>
      <c r="U71" s="20">
        <f t="shared" si="39"/>
        <v>9.7090094401822508E-2</v>
      </c>
      <c r="V71" s="20">
        <f t="shared" si="39"/>
        <v>5.3908276220004332E-2</v>
      </c>
      <c r="W71" s="20">
        <f t="shared" ref="W71:X71" si="40">IF(W69=0,(W68-W66)/W64,W70/W64)</f>
        <v>1.0726458038186153E-2</v>
      </c>
      <c r="X71" s="20">
        <f t="shared" si="40"/>
        <v>-1.0324553601436319</v>
      </c>
      <c r="Y71" s="20" t="e">
        <f t="shared" ref="Y71" si="41">IF(Y69=0,(Y68-Y66)/Y64,Y70/Y64)</f>
        <v>#DIV/0!</v>
      </c>
    </row>
    <row r="72" spans="1:25" x14ac:dyDescent="0.2">
      <c r="C72" s="26" t="s">
        <v>54</v>
      </c>
      <c r="D72" s="33"/>
    </row>
    <row r="73" spans="1:25" x14ac:dyDescent="0.2">
      <c r="C73" s="32" t="s">
        <v>48</v>
      </c>
      <c r="D73" s="47">
        <f>SUMIF($C54:$C71,"Addition",D54:D71)/(10^7)</f>
        <v>0</v>
      </c>
      <c r="E73" s="68">
        <f t="shared" ref="E73:Y73" si="42">SUMIF($C54:$C71,"Addition",E54:E71)/(10^2)</f>
        <v>0</v>
      </c>
      <c r="F73" s="68">
        <f t="shared" si="42"/>
        <v>0</v>
      </c>
      <c r="G73" s="68">
        <f t="shared" si="42"/>
        <v>0</v>
      </c>
      <c r="H73" s="68">
        <f t="shared" si="42"/>
        <v>0</v>
      </c>
      <c r="I73" s="68">
        <f t="shared" si="42"/>
        <v>0</v>
      </c>
      <c r="J73" s="68">
        <f t="shared" si="42"/>
        <v>0</v>
      </c>
      <c r="K73" s="68">
        <f t="shared" si="42"/>
        <v>0</v>
      </c>
      <c r="L73" s="68">
        <f t="shared" si="42"/>
        <v>0</v>
      </c>
      <c r="M73" s="68">
        <f t="shared" si="42"/>
        <v>0</v>
      </c>
      <c r="N73" s="68">
        <f t="shared" si="42"/>
        <v>0</v>
      </c>
      <c r="O73" s="68">
        <f t="shared" si="42"/>
        <v>0</v>
      </c>
      <c r="P73" s="68">
        <f t="shared" si="42"/>
        <v>0</v>
      </c>
      <c r="Q73" s="68">
        <f t="shared" si="42"/>
        <v>0</v>
      </c>
      <c r="R73" s="68">
        <f t="shared" si="42"/>
        <v>0</v>
      </c>
      <c r="S73" s="68">
        <f t="shared" si="42"/>
        <v>0</v>
      </c>
      <c r="T73" s="68">
        <f t="shared" si="42"/>
        <v>0</v>
      </c>
      <c r="U73" s="68">
        <f t="shared" si="42"/>
        <v>0</v>
      </c>
      <c r="V73" s="68">
        <f t="shared" si="42"/>
        <v>0</v>
      </c>
      <c r="W73" s="68">
        <f t="shared" si="42"/>
        <v>0</v>
      </c>
      <c r="X73" s="68">
        <f t="shared" si="42"/>
        <v>0</v>
      </c>
      <c r="Y73" s="68">
        <f t="shared" si="42"/>
        <v>0</v>
      </c>
    </row>
    <row r="74" spans="1:25" x14ac:dyDescent="0.2">
      <c r="C74" s="32" t="s">
        <v>49</v>
      </c>
      <c r="D74" s="47">
        <f>SUMIF($C54:$C71,"Asset Write off (Net block)",D54:D71)/(10^7)</f>
        <v>0</v>
      </c>
      <c r="E74" s="68">
        <f t="shared" ref="E74:Y74" si="43">SUMIF($C54:$C71,"Asset Write off (Net block)",E54:E71)/(10^2)</f>
        <v>0</v>
      </c>
      <c r="F74" s="68">
        <f t="shared" si="43"/>
        <v>0</v>
      </c>
      <c r="G74" s="68">
        <f t="shared" si="43"/>
        <v>0</v>
      </c>
      <c r="H74" s="68">
        <f t="shared" si="43"/>
        <v>0</v>
      </c>
      <c r="I74" s="68">
        <f t="shared" si="43"/>
        <v>0</v>
      </c>
      <c r="J74" s="68">
        <f t="shared" si="43"/>
        <v>0</v>
      </c>
      <c r="K74" s="68">
        <f t="shared" si="43"/>
        <v>0</v>
      </c>
      <c r="L74" s="68">
        <f t="shared" si="43"/>
        <v>0</v>
      </c>
      <c r="M74" s="68">
        <f t="shared" si="43"/>
        <v>0</v>
      </c>
      <c r="N74" s="68">
        <f t="shared" si="43"/>
        <v>0</v>
      </c>
      <c r="O74" s="68">
        <f t="shared" si="43"/>
        <v>0</v>
      </c>
      <c r="P74" s="68">
        <f t="shared" si="43"/>
        <v>0</v>
      </c>
      <c r="Q74" s="68">
        <f t="shared" si="43"/>
        <v>0</v>
      </c>
      <c r="R74" s="68">
        <f t="shared" si="43"/>
        <v>0</v>
      </c>
      <c r="S74" s="68">
        <f t="shared" si="43"/>
        <v>0</v>
      </c>
      <c r="T74" s="68">
        <f t="shared" si="43"/>
        <v>0</v>
      </c>
      <c r="U74" s="68">
        <f t="shared" si="43"/>
        <v>0</v>
      </c>
      <c r="V74" s="68">
        <f t="shared" si="43"/>
        <v>0</v>
      </c>
      <c r="W74" s="68">
        <f t="shared" si="43"/>
        <v>0</v>
      </c>
      <c r="X74" s="68">
        <f t="shared" si="43"/>
        <v>-1.6065468181818141</v>
      </c>
      <c r="Y74" s="68">
        <f t="shared" si="43"/>
        <v>2.5827</v>
      </c>
    </row>
    <row r="75" spans="1:25" x14ac:dyDescent="0.2">
      <c r="C75" s="32" t="s">
        <v>50</v>
      </c>
      <c r="D75" s="47">
        <f>SUMIF($C54:$C72,"Depreciation",D54:D72)/(10^7)</f>
        <v>2.1411000000000002E-5</v>
      </c>
      <c r="E75" s="68">
        <f t="shared" ref="E75:Y75" si="44">SUMIF($C54:$C72,"Depreciation",E54:E72)/(10^2)</f>
        <v>2.1469999999999998</v>
      </c>
      <c r="F75" s="68">
        <f t="shared" si="44"/>
        <v>2.1442999999999999</v>
      </c>
      <c r="G75" s="68">
        <f t="shared" si="44"/>
        <v>2.1411000000000002</v>
      </c>
      <c r="H75" s="68">
        <f t="shared" si="44"/>
        <v>2.1375086363636364</v>
      </c>
      <c r="I75" s="68">
        <f t="shared" si="44"/>
        <v>2.1375086363636364</v>
      </c>
      <c r="J75" s="68">
        <f t="shared" si="44"/>
        <v>2.1375086363636364</v>
      </c>
      <c r="K75" s="68">
        <f t="shared" si="44"/>
        <v>2.1375086363636364</v>
      </c>
      <c r="L75" s="68">
        <f t="shared" si="44"/>
        <v>2.1375086363636364</v>
      </c>
      <c r="M75" s="68">
        <f t="shared" si="44"/>
        <v>2.1375086363636364</v>
      </c>
      <c r="N75" s="68">
        <f t="shared" si="44"/>
        <v>2.1375086363636364</v>
      </c>
      <c r="O75" s="68">
        <f t="shared" si="44"/>
        <v>2.1375086363636364</v>
      </c>
      <c r="P75" s="68">
        <f t="shared" si="44"/>
        <v>2.1375086363636364</v>
      </c>
      <c r="Q75" s="68">
        <f t="shared" si="44"/>
        <v>2.1375086363636364</v>
      </c>
      <c r="R75" s="68">
        <f t="shared" si="44"/>
        <v>2.1375086363636364</v>
      </c>
      <c r="S75" s="68">
        <f t="shared" si="44"/>
        <v>2.1375086363636364</v>
      </c>
      <c r="T75" s="68">
        <f t="shared" si="44"/>
        <v>2.1375086363636364</v>
      </c>
      <c r="U75" s="68">
        <f t="shared" si="44"/>
        <v>2.1375086363636364</v>
      </c>
      <c r="V75" s="68">
        <f t="shared" si="44"/>
        <v>2.1375086363636364</v>
      </c>
      <c r="W75" s="68">
        <f t="shared" si="44"/>
        <v>2.1375086363636364</v>
      </c>
      <c r="X75" s="68">
        <f t="shared" si="44"/>
        <v>2.1375086363636364</v>
      </c>
      <c r="Y75" s="68">
        <f t="shared" si="44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Y58"/>
  <sheetViews>
    <sheetView tabSelected="1" workbookViewId="0">
      <selection activeCell="R5" sqref="R5:Y21"/>
    </sheetView>
  </sheetViews>
  <sheetFormatPr defaultColWidth="15" defaultRowHeight="12" outlineLevelRow="1" outlineLevelCol="1" x14ac:dyDescent="0.2"/>
  <cols>
    <col min="1" max="1" width="29" style="5" bestFit="1" customWidth="1"/>
    <col min="2" max="2" width="11.85546875" style="5" bestFit="1" customWidth="1"/>
    <col min="3" max="3" width="24.28515625" style="5" bestFit="1" customWidth="1"/>
    <col min="4" max="4" width="24.7109375" style="5" bestFit="1" customWidth="1"/>
    <col min="5" max="5" width="14.42578125" style="5" hidden="1" customWidth="1" outlineLevel="1"/>
    <col min="6" max="6" width="7.7109375" style="5" hidden="1" customWidth="1" outlineLevel="1" collapsed="1"/>
    <col min="7" max="7" width="7.7109375" style="5" hidden="1" customWidth="1" outlineLevel="1"/>
    <col min="8" max="8" width="12.28515625" style="5" bestFit="1" customWidth="1" outlineLevel="1"/>
    <col min="9" max="14" width="8.5703125" style="5" bestFit="1" customWidth="1" outlineLevel="1"/>
    <col min="15" max="20" width="8.5703125" style="5" bestFit="1" customWidth="1"/>
    <col min="21" max="25" width="7.7109375" style="5" bestFit="1" customWidth="1"/>
    <col min="26" max="16384" width="15" style="5"/>
  </cols>
  <sheetData>
    <row r="1" spans="4:25" x14ac:dyDescent="0.2">
      <c r="E1" s="5">
        <f>Assumptions!J3</f>
        <v>366</v>
      </c>
      <c r="F1" s="5">
        <f>Assumptions!K3</f>
        <v>365</v>
      </c>
      <c r="G1" s="5">
        <f>Assumptions!L3</f>
        <v>365</v>
      </c>
      <c r="H1" s="5">
        <f>Assumptions!M3</f>
        <v>365</v>
      </c>
      <c r="I1" s="5">
        <f>Assumptions!N3</f>
        <v>366</v>
      </c>
      <c r="J1" s="5">
        <f>Assumptions!O3</f>
        <v>365</v>
      </c>
      <c r="K1" s="5">
        <f>Assumptions!P3</f>
        <v>365</v>
      </c>
      <c r="L1" s="5">
        <f>Assumptions!Q3</f>
        <v>365</v>
      </c>
      <c r="M1" s="5">
        <f>Assumptions!R3</f>
        <v>366</v>
      </c>
      <c r="N1" s="5">
        <f>Assumptions!S3</f>
        <v>365</v>
      </c>
      <c r="O1" s="5">
        <f>Assumptions!T3</f>
        <v>365</v>
      </c>
      <c r="P1" s="5">
        <f>Assumptions!U3</f>
        <v>365</v>
      </c>
      <c r="Q1" s="5">
        <f>Assumptions!V3</f>
        <v>366</v>
      </c>
      <c r="R1" s="5">
        <f>Assumptions!W3</f>
        <v>365</v>
      </c>
      <c r="S1" s="5">
        <f>Assumptions!X3</f>
        <v>365</v>
      </c>
      <c r="T1" s="5">
        <f>Assumptions!Y3</f>
        <v>365</v>
      </c>
      <c r="U1" s="5">
        <f>Assumptions!Z3</f>
        <v>366</v>
      </c>
      <c r="V1" s="5">
        <f>Assumptions!AA3</f>
        <v>365</v>
      </c>
      <c r="W1" s="5">
        <f>Assumptions!AB3</f>
        <v>365</v>
      </c>
      <c r="X1" s="5">
        <f>Assumptions!AC3</f>
        <v>365</v>
      </c>
      <c r="Y1" s="5">
        <f>Assumptions!AD3</f>
        <v>366</v>
      </c>
    </row>
    <row r="2" spans="4:25" x14ac:dyDescent="0.2">
      <c r="E2" s="5">
        <f>Assumptions!J1</f>
        <v>5</v>
      </c>
      <c r="F2" s="5">
        <f>Assumptions!K1</f>
        <v>6</v>
      </c>
      <c r="G2" s="5">
        <f>Assumptions!L1</f>
        <v>7</v>
      </c>
      <c r="H2" s="5">
        <f>Assumptions!M1</f>
        <v>8</v>
      </c>
      <c r="I2" s="5">
        <f>Assumptions!N1</f>
        <v>9</v>
      </c>
      <c r="J2" s="5">
        <f>Assumptions!O1</f>
        <v>10</v>
      </c>
      <c r="K2" s="5">
        <f>Assumptions!P1</f>
        <v>11</v>
      </c>
      <c r="L2" s="5">
        <f>Assumptions!Q1</f>
        <v>12</v>
      </c>
      <c r="M2" s="5">
        <f>Assumptions!R1</f>
        <v>13</v>
      </c>
      <c r="N2" s="5">
        <f>Assumptions!S1</f>
        <v>14</v>
      </c>
      <c r="O2" s="5">
        <f>Assumptions!T1</f>
        <v>15</v>
      </c>
      <c r="P2" s="5">
        <f>Assumptions!U1</f>
        <v>16</v>
      </c>
      <c r="Q2" s="5">
        <f>Assumptions!V1</f>
        <v>17</v>
      </c>
      <c r="R2" s="5">
        <f>Assumptions!W1</f>
        <v>18</v>
      </c>
      <c r="S2" s="5">
        <f>Assumptions!X1</f>
        <v>19</v>
      </c>
      <c r="T2" s="5">
        <f>Assumptions!Y1</f>
        <v>20</v>
      </c>
      <c r="U2" s="5">
        <f>Assumptions!Z1</f>
        <v>21</v>
      </c>
      <c r="V2" s="5">
        <f>Assumptions!AA1</f>
        <v>22</v>
      </c>
      <c r="W2" s="5">
        <f>Assumptions!AB1</f>
        <v>23</v>
      </c>
      <c r="X2" s="5">
        <f>Assumptions!AC1</f>
        <v>24</v>
      </c>
      <c r="Y2" s="5">
        <f>Assumptions!AD1</f>
        <v>25</v>
      </c>
    </row>
    <row r="3" spans="4:25" x14ac:dyDescent="0.2">
      <c r="D3" s="245" t="s">
        <v>183</v>
      </c>
      <c r="E3" s="178">
        <f>Assumptions!J4</f>
        <v>43921</v>
      </c>
      <c r="F3" s="178">
        <f>Assumptions!K4</f>
        <v>44286</v>
      </c>
      <c r="G3" s="178">
        <f>Assumptions!L4</f>
        <v>44651</v>
      </c>
      <c r="H3" s="178">
        <f>Assumptions!M4</f>
        <v>45016</v>
      </c>
      <c r="I3" s="178">
        <f>Assumptions!N4</f>
        <v>45382</v>
      </c>
      <c r="J3" s="178">
        <f>Assumptions!O4</f>
        <v>45747</v>
      </c>
      <c r="K3" s="178">
        <f>Assumptions!P4</f>
        <v>46112</v>
      </c>
      <c r="L3" s="178">
        <f>Assumptions!Q4</f>
        <v>46477</v>
      </c>
      <c r="M3" s="178">
        <f>Assumptions!R4</f>
        <v>46843</v>
      </c>
      <c r="N3" s="178">
        <f>Assumptions!S4</f>
        <v>47208</v>
      </c>
      <c r="O3" s="178">
        <f>Assumptions!T4</f>
        <v>47573</v>
      </c>
      <c r="P3" s="178">
        <f>Assumptions!U4</f>
        <v>47938</v>
      </c>
      <c r="Q3" s="178">
        <f>Assumptions!V4</f>
        <v>48304</v>
      </c>
      <c r="R3" s="178">
        <f>Assumptions!W4</f>
        <v>48669</v>
      </c>
      <c r="S3" s="178">
        <f>Assumptions!X4</f>
        <v>49034</v>
      </c>
      <c r="T3" s="178">
        <f>Assumptions!Y4</f>
        <v>49399</v>
      </c>
      <c r="U3" s="178">
        <f>Assumptions!Z4</f>
        <v>49765</v>
      </c>
      <c r="V3" s="178">
        <f>Assumptions!AA4</f>
        <v>50130</v>
      </c>
      <c r="W3" s="178">
        <f>Assumptions!AB4</f>
        <v>50495</v>
      </c>
      <c r="X3" s="178">
        <f>Assumptions!AC4</f>
        <v>50860</v>
      </c>
      <c r="Y3" s="178">
        <f>Assumptions!AD4</f>
        <v>51226</v>
      </c>
    </row>
    <row r="4" spans="4:25" x14ac:dyDescent="0.2">
      <c r="D4" s="245"/>
      <c r="E4" s="198" t="s">
        <v>184</v>
      </c>
      <c r="F4" s="198" t="s">
        <v>184</v>
      </c>
      <c r="G4" s="198" t="s">
        <v>184</v>
      </c>
      <c r="H4" s="198" t="s">
        <v>184</v>
      </c>
      <c r="I4" s="198" t="s">
        <v>184</v>
      </c>
      <c r="J4" s="198" t="s">
        <v>184</v>
      </c>
      <c r="K4" s="198" t="s">
        <v>184</v>
      </c>
      <c r="L4" s="198" t="s">
        <v>184</v>
      </c>
      <c r="M4" s="198" t="s">
        <v>184</v>
      </c>
      <c r="N4" s="198" t="s">
        <v>184</v>
      </c>
      <c r="O4" s="198" t="s">
        <v>184</v>
      </c>
      <c r="P4" s="198" t="s">
        <v>184</v>
      </c>
      <c r="Q4" s="198" t="s">
        <v>184</v>
      </c>
      <c r="R4" s="198" t="s">
        <v>184</v>
      </c>
      <c r="S4" s="198" t="s">
        <v>184</v>
      </c>
      <c r="T4" s="198" t="s">
        <v>184</v>
      </c>
      <c r="U4" s="198" t="s">
        <v>184</v>
      </c>
      <c r="V4" s="198" t="s">
        <v>184</v>
      </c>
      <c r="W4" s="198" t="s">
        <v>184</v>
      </c>
      <c r="X4" s="198" t="s">
        <v>184</v>
      </c>
      <c r="Y4" s="198" t="s">
        <v>184</v>
      </c>
    </row>
    <row r="5" spans="4:25" ht="15" x14ac:dyDescent="0.25">
      <c r="D5" s="7" t="s">
        <v>185</v>
      </c>
      <c r="E5" s="155">
        <f>'RKA P&amp;L'!J22</f>
        <v>0</v>
      </c>
      <c r="F5" s="155">
        <f>'RKA P&amp;L'!K22</f>
        <v>0</v>
      </c>
      <c r="G5" s="155">
        <f>'RKA P&amp;L'!L22</f>
        <v>0</v>
      </c>
      <c r="H5" s="238">
        <f>'RKA P&amp;L'!M22</f>
        <v>7.1655994080000003</v>
      </c>
      <c r="I5" s="238">
        <f>'RKA P&amp;L'!N22</f>
        <v>7.1852311872000012</v>
      </c>
      <c r="J5" s="238">
        <f>'RKA P&amp;L'!O22</f>
        <v>7.1655994080000003</v>
      </c>
      <c r="K5" s="238">
        <f>'RKA P&amp;L'!P22</f>
        <v>6.5877284880000007</v>
      </c>
      <c r="L5" s="238">
        <f>'RKA P&amp;L'!Q22</f>
        <v>6.5877284880000007</v>
      </c>
      <c r="M5" s="238">
        <f>'RKA P&amp;L'!R22</f>
        <v>6.6057770592000011</v>
      </c>
      <c r="N5" s="238">
        <f>'RKA P&amp;L'!S22</f>
        <v>3.1782900600000001</v>
      </c>
      <c r="O5" s="238">
        <f>'RKA P&amp;L'!T22</f>
        <v>3.1782900600000001</v>
      </c>
      <c r="P5" s="238">
        <f>'RKA P&amp;L'!U22</f>
        <v>3.1782900600000001</v>
      </c>
      <c r="Q5" s="238">
        <f>'RKA P&amp;L'!V22</f>
        <v>3.1869977040000004</v>
      </c>
      <c r="R5" s="238">
        <f>'RKA P&amp;L'!W22</f>
        <v>3.1782900600000001</v>
      </c>
      <c r="S5" s="238">
        <f>'RKA P&amp;L'!X22</f>
        <v>3.1782900600000001</v>
      </c>
      <c r="T5" s="238">
        <f>'RKA P&amp;L'!Y22</f>
        <v>3.1782900600000001</v>
      </c>
      <c r="U5" s="238">
        <f>'RKA P&amp;L'!Z22</f>
        <v>3.1869977040000004</v>
      </c>
      <c r="V5" s="238">
        <f>'RKA P&amp;L'!AA22</f>
        <v>3.1782900600000001</v>
      </c>
      <c r="W5" s="238">
        <f>'RKA P&amp;L'!AB22</f>
        <v>3.1782900600000001</v>
      </c>
      <c r="X5" s="238">
        <f>'RKA P&amp;L'!AC22</f>
        <v>3.1782900600000001</v>
      </c>
      <c r="Y5" s="238">
        <f>'RKA P&amp;L'!AD22</f>
        <v>6.0118979629179385</v>
      </c>
    </row>
    <row r="6" spans="4:25" x14ac:dyDescent="0.2">
      <c r="D6" s="156" t="s">
        <v>186</v>
      </c>
      <c r="E6" s="156" t="e">
        <f>E5/D5-1</f>
        <v>#VALUE!</v>
      </c>
      <c r="F6" s="156" t="e">
        <f>F5/E5-1</f>
        <v>#DIV/0!</v>
      </c>
      <c r="G6" s="156" t="e">
        <f t="shared" ref="G6:V6" si="0">G5/F5-1</f>
        <v>#DIV/0!</v>
      </c>
      <c r="H6" s="235" t="e">
        <f t="shared" si="0"/>
        <v>#DIV/0!</v>
      </c>
      <c r="I6" s="236">
        <f t="shared" si="0"/>
        <v>2.73972602739736E-3</v>
      </c>
      <c r="J6" s="236">
        <f t="shared" si="0"/>
        <v>-2.732240437158584E-3</v>
      </c>
      <c r="K6" s="236">
        <f t="shared" si="0"/>
        <v>-8.0645161290322509E-2</v>
      </c>
      <c r="L6" s="236">
        <f t="shared" si="0"/>
        <v>0</v>
      </c>
      <c r="M6" s="236">
        <f t="shared" si="0"/>
        <v>2.73972602739736E-3</v>
      </c>
      <c r="N6" s="236">
        <f t="shared" si="0"/>
        <v>-0.51886204582494488</v>
      </c>
      <c r="O6" s="236">
        <f t="shared" si="0"/>
        <v>0</v>
      </c>
      <c r="P6" s="236">
        <f t="shared" si="0"/>
        <v>0</v>
      </c>
      <c r="Q6" s="236">
        <f t="shared" si="0"/>
        <v>2.73972602739736E-3</v>
      </c>
      <c r="R6" s="236">
        <f t="shared" si="0"/>
        <v>-2.732240437158584E-3</v>
      </c>
      <c r="S6" s="236">
        <f t="shared" si="0"/>
        <v>0</v>
      </c>
      <c r="T6" s="236">
        <f t="shared" si="0"/>
        <v>0</v>
      </c>
      <c r="U6" s="236">
        <f t="shared" si="0"/>
        <v>2.73972602739736E-3</v>
      </c>
      <c r="V6" s="236">
        <f t="shared" si="0"/>
        <v>-2.732240437158584E-3</v>
      </c>
      <c r="W6" s="236">
        <f t="shared" ref="W6" si="1">W5/V5-1</f>
        <v>0</v>
      </c>
      <c r="X6" s="236">
        <f t="shared" ref="X6:Y6" si="2">X5/W5-1</f>
        <v>0</v>
      </c>
      <c r="Y6" s="236">
        <f t="shared" si="2"/>
        <v>0.89155106973399967</v>
      </c>
    </row>
    <row r="7" spans="4:25" ht="15" x14ac:dyDescent="0.25">
      <c r="D7" s="7" t="s">
        <v>187</v>
      </c>
      <c r="E7" s="155">
        <f>'RKA P&amp;L'!J27</f>
        <v>0</v>
      </c>
      <c r="F7" s="155">
        <f>'RKA P&amp;L'!K27</f>
        <v>0</v>
      </c>
      <c r="G7" s="155">
        <f>'RKA P&amp;L'!L27</f>
        <v>0</v>
      </c>
      <c r="H7" s="238">
        <f>'RKA P&amp;L'!M27</f>
        <v>5.662566408</v>
      </c>
      <c r="I7" s="238">
        <f>'RKA P&amp;L'!N27</f>
        <v>5.6070465372000005</v>
      </c>
      <c r="J7" s="238">
        <f>'RKA P&amp;L'!O27</f>
        <v>5.5085055255000004</v>
      </c>
      <c r="K7" s="238">
        <f>'RKA P&amp;L'!P27</f>
        <v>4.8477799113749995</v>
      </c>
      <c r="L7" s="238">
        <f>'RKA P&amp;L'!Q27</f>
        <v>4.7607824825437497</v>
      </c>
      <c r="M7" s="238">
        <f>'RKA P&amp;L'!R27</f>
        <v>4.6874837534709375</v>
      </c>
      <c r="N7" s="238">
        <f>'RKA P&amp;L'!S27</f>
        <v>1.1640820889844834</v>
      </c>
      <c r="O7" s="238">
        <f>'RKA P&amp;L'!T27</f>
        <v>1.0633716904337076</v>
      </c>
      <c r="P7" s="238">
        <f>'RKA P&amp;L'!U27</f>
        <v>0.95762577195539267</v>
      </c>
      <c r="Q7" s="238">
        <f>'RKA P&amp;L'!V27</f>
        <v>0.85530020155316233</v>
      </c>
      <c r="R7" s="238">
        <f>'RKA P&amp;L'!W27</f>
        <v>0.73000768243082037</v>
      </c>
      <c r="S7" s="238">
        <f>'RKA P&amp;L'!X27</f>
        <v>0.60759356355236127</v>
      </c>
      <c r="T7" s="238">
        <f>'RKA P&amp;L'!Y27</f>
        <v>0.47905873872997917</v>
      </c>
      <c r="U7" s="238">
        <f>'RKA P&amp;L'!Z27</f>
        <v>0.35280481666647834</v>
      </c>
      <c r="V7" s="238">
        <f>'RKA P&amp;L'!AA27</f>
        <v>0.202387528299802</v>
      </c>
      <c r="W7" s="238">
        <f>'RKA P&amp;L'!AB27</f>
        <v>5.3592401714791738E-2</v>
      </c>
      <c r="X7" s="238">
        <f>'RKA P&amp;L'!AC27</f>
        <v>-0.10264248119946906</v>
      </c>
      <c r="Y7" s="238">
        <f>'RKA P&amp;L'!AD27</f>
        <v>2.5669187946584962</v>
      </c>
    </row>
    <row r="8" spans="4:25" x14ac:dyDescent="0.2">
      <c r="D8" s="156" t="s">
        <v>188</v>
      </c>
      <c r="E8" s="156" t="e">
        <f t="shared" ref="E8" si="3">E7/E$5</f>
        <v>#DIV/0!</v>
      </c>
      <c r="F8" s="156" t="e">
        <f t="shared" ref="F8:V8" si="4">F7/F$5</f>
        <v>#DIV/0!</v>
      </c>
      <c r="G8" s="156" t="e">
        <f t="shared" si="4"/>
        <v>#DIV/0!</v>
      </c>
      <c r="H8" s="235">
        <f t="shared" si="4"/>
        <v>0.79024322817684367</v>
      </c>
      <c r="I8" s="235">
        <f t="shared" si="4"/>
        <v>0.78035715081632595</v>
      </c>
      <c r="J8" s="235">
        <f t="shared" si="4"/>
        <v>0.76874315906497015</v>
      </c>
      <c r="K8" s="235">
        <f t="shared" si="4"/>
        <v>0.73588034482683418</v>
      </c>
      <c r="L8" s="235">
        <f t="shared" si="4"/>
        <v>0.72267436206817592</v>
      </c>
      <c r="M8" s="235">
        <f t="shared" si="4"/>
        <v>0.70960368650991379</v>
      </c>
      <c r="N8" s="235">
        <f t="shared" si="4"/>
        <v>0.36626049448252163</v>
      </c>
      <c r="O8" s="235">
        <f t="shared" si="4"/>
        <v>0.33457351920664774</v>
      </c>
      <c r="P8" s="235">
        <f t="shared" si="4"/>
        <v>0.30130219516698004</v>
      </c>
      <c r="Q8" s="235">
        <f t="shared" si="4"/>
        <v>0.26837176584083355</v>
      </c>
      <c r="R8" s="235">
        <f t="shared" si="4"/>
        <v>0.22968567017159547</v>
      </c>
      <c r="S8" s="235">
        <f t="shared" si="4"/>
        <v>0.1911699536801752</v>
      </c>
      <c r="T8" s="235">
        <f t="shared" si="4"/>
        <v>0.15072845136418392</v>
      </c>
      <c r="U8" s="235">
        <f t="shared" si="4"/>
        <v>0.11070130870306968</v>
      </c>
      <c r="V8" s="235">
        <f t="shared" si="4"/>
        <v>6.3678117629012751E-2</v>
      </c>
      <c r="W8" s="235">
        <f t="shared" ref="W8:X8" si="5">W7/W$5</f>
        <v>1.6862023510463276E-2</v>
      </c>
      <c r="X8" s="235">
        <f t="shared" si="5"/>
        <v>-3.2294875314013677E-2</v>
      </c>
      <c r="Y8" s="235">
        <f t="shared" ref="Y8" si="6">Y7/Y$5</f>
        <v>0.42697311406340216</v>
      </c>
    </row>
    <row r="9" spans="4:25" ht="15" x14ac:dyDescent="0.25">
      <c r="D9" s="7" t="s">
        <v>159</v>
      </c>
      <c r="E9" s="155">
        <f>'RKA P&amp;L'!J30</f>
        <v>0</v>
      </c>
      <c r="F9" s="155">
        <f>'RKA P&amp;L'!K30</f>
        <v>0</v>
      </c>
      <c r="G9" s="155">
        <f>'RKA P&amp;L'!L30</f>
        <v>0</v>
      </c>
      <c r="H9" s="238">
        <f>'RKA P&amp;L'!M30</f>
        <v>3.5250577716363636</v>
      </c>
      <c r="I9" s="238">
        <f>'RKA P&amp;L'!N30</f>
        <v>3.469537900836364</v>
      </c>
      <c r="J9" s="238">
        <f>'RKA P&amp;L'!O30</f>
        <v>3.370996889136364</v>
      </c>
      <c r="K9" s="238">
        <f>'RKA P&amp;L'!P30</f>
        <v>2.7102712750113631</v>
      </c>
      <c r="L9" s="238">
        <f>'RKA P&amp;L'!Q30</f>
        <v>2.6232738461801133</v>
      </c>
      <c r="M9" s="238">
        <f>'RKA P&amp;L'!R30</f>
        <v>2.5499751171073011</v>
      </c>
      <c r="N9" s="238">
        <f>'RKA P&amp;L'!S30</f>
        <v>-0.97342654737915302</v>
      </c>
      <c r="O9" s="238">
        <f>'RKA P&amp;L'!T30</f>
        <v>-1.0741369459299288</v>
      </c>
      <c r="P9" s="238">
        <f>'RKA P&amp;L'!U30</f>
        <v>-1.1798828644082437</v>
      </c>
      <c r="Q9" s="238">
        <f>'RKA P&amp;L'!V30</f>
        <v>-1.2822084348104741</v>
      </c>
      <c r="R9" s="238">
        <f>'RKA P&amp;L'!W30</f>
        <v>-1.407500953932816</v>
      </c>
      <c r="S9" s="238">
        <f>'RKA P&amp;L'!X30</f>
        <v>-1.5299150728112751</v>
      </c>
      <c r="T9" s="238">
        <f>'RKA P&amp;L'!Y30</f>
        <v>-1.6584498976336572</v>
      </c>
      <c r="U9" s="238">
        <f>'RKA P&amp;L'!Z30</f>
        <v>-1.7847038196971581</v>
      </c>
      <c r="V9" s="238">
        <f>'RKA P&amp;L'!AA30</f>
        <v>-1.9351211080638344</v>
      </c>
      <c r="W9" s="238">
        <f>'RKA P&amp;L'!AB30</f>
        <v>-2.0839162346488447</v>
      </c>
      <c r="X9" s="238">
        <f>'RKA P&amp;L'!AC30</f>
        <v>-2.2401511175631055</v>
      </c>
      <c r="Y9" s="238">
        <f>'RKA P&amp;L'!AD30</f>
        <v>2.5669187946584962</v>
      </c>
    </row>
    <row r="10" spans="4:25" x14ac:dyDescent="0.2">
      <c r="D10" s="156" t="s">
        <v>188</v>
      </c>
      <c r="E10" s="156" t="e">
        <f t="shared" ref="E10" si="7">E9/E$5</f>
        <v>#DIV/0!</v>
      </c>
      <c r="F10" s="156" t="e">
        <f t="shared" ref="F10:V10" si="8">F9/F$5</f>
        <v>#DIV/0!</v>
      </c>
      <c r="G10" s="156" t="e">
        <f t="shared" si="8"/>
        <v>#DIV/0!</v>
      </c>
      <c r="H10" s="235">
        <f t="shared" si="8"/>
        <v>0.49194178615411144</v>
      </c>
      <c r="I10" s="235">
        <f t="shared" si="8"/>
        <v>0.48287074005595099</v>
      </c>
      <c r="J10" s="235">
        <f t="shared" si="8"/>
        <v>0.47044171704223797</v>
      </c>
      <c r="K10" s="235">
        <f t="shared" si="8"/>
        <v>0.41141210964421321</v>
      </c>
      <c r="L10" s="235">
        <f t="shared" si="8"/>
        <v>0.39820612688555496</v>
      </c>
      <c r="M10" s="235">
        <f t="shared" si="8"/>
        <v>0.38602197656003218</v>
      </c>
      <c r="N10" s="235">
        <f t="shared" si="8"/>
        <v>-0.30627366571418374</v>
      </c>
      <c r="O10" s="235">
        <f t="shared" si="8"/>
        <v>-0.33796064099005763</v>
      </c>
      <c r="P10" s="235">
        <f t="shared" si="8"/>
        <v>-0.37123196502972533</v>
      </c>
      <c r="Q10" s="235">
        <f t="shared" si="8"/>
        <v>-0.40232486932801187</v>
      </c>
      <c r="R10" s="235">
        <f t="shared" si="8"/>
        <v>-0.4428484900251099</v>
      </c>
      <c r="S10" s="235">
        <f t="shared" si="8"/>
        <v>-0.48136420651653017</v>
      </c>
      <c r="T10" s="235">
        <f t="shared" si="8"/>
        <v>-0.52180570883252142</v>
      </c>
      <c r="U10" s="235">
        <f t="shared" si="8"/>
        <v>-0.55999532646577577</v>
      </c>
      <c r="V10" s="235">
        <f t="shared" si="8"/>
        <v>-0.60885604256769266</v>
      </c>
      <c r="W10" s="235">
        <f t="shared" ref="W10:X10" si="9">W9/W$5</f>
        <v>-0.65567213668624214</v>
      </c>
      <c r="X10" s="235">
        <f t="shared" si="9"/>
        <v>-0.70482903551071907</v>
      </c>
      <c r="Y10" s="235">
        <f t="shared" ref="Y10" si="10">Y9/Y$5</f>
        <v>0.42697311406340216</v>
      </c>
    </row>
    <row r="11" spans="4:25" hidden="1" x14ac:dyDescent="0.2">
      <c r="D11" s="157" t="s">
        <v>269</v>
      </c>
      <c r="E11" s="9">
        <f>'RKA P&amp;L'!J35</f>
        <v>0</v>
      </c>
      <c r="F11" s="9">
        <f>'RKA P&amp;L'!K35</f>
        <v>0</v>
      </c>
      <c r="G11" s="9">
        <f>'RKA P&amp;L'!L35</f>
        <v>0</v>
      </c>
      <c r="H11" s="237">
        <f>1-$B$36</f>
        <v>0.74829999999999997</v>
      </c>
      <c r="I11" s="237">
        <f t="shared" ref="I11:Y11" si="11">1-$B$36</f>
        <v>0.74829999999999997</v>
      </c>
      <c r="J11" s="237">
        <f t="shared" si="11"/>
        <v>0.74829999999999997</v>
      </c>
      <c r="K11" s="237">
        <f t="shared" si="11"/>
        <v>0.74829999999999997</v>
      </c>
      <c r="L11" s="237">
        <f t="shared" si="11"/>
        <v>0.74829999999999997</v>
      </c>
      <c r="M11" s="237">
        <f t="shared" si="11"/>
        <v>0.74829999999999997</v>
      </c>
      <c r="N11" s="237">
        <f t="shared" si="11"/>
        <v>0.74829999999999997</v>
      </c>
      <c r="O11" s="237">
        <f t="shared" si="11"/>
        <v>0.74829999999999997</v>
      </c>
      <c r="P11" s="237">
        <f t="shared" si="11"/>
        <v>0.74829999999999997</v>
      </c>
      <c r="Q11" s="237">
        <f t="shared" si="11"/>
        <v>0.74829999999999997</v>
      </c>
      <c r="R11" s="237">
        <f t="shared" si="11"/>
        <v>0.74829999999999997</v>
      </c>
      <c r="S11" s="237">
        <f t="shared" si="11"/>
        <v>0.74829999999999997</v>
      </c>
      <c r="T11" s="237">
        <f t="shared" si="11"/>
        <v>0.74829999999999997</v>
      </c>
      <c r="U11" s="237">
        <f t="shared" si="11"/>
        <v>0.74829999999999997</v>
      </c>
      <c r="V11" s="237">
        <f t="shared" si="11"/>
        <v>0.74829999999999997</v>
      </c>
      <c r="W11" s="237">
        <f t="shared" si="11"/>
        <v>0.74829999999999997</v>
      </c>
      <c r="X11" s="237">
        <f t="shared" si="11"/>
        <v>0.74829999999999997</v>
      </c>
      <c r="Y11" s="237">
        <f t="shared" si="11"/>
        <v>0.74829999999999997</v>
      </c>
    </row>
    <row r="12" spans="4:25" ht="15" x14ac:dyDescent="0.25">
      <c r="D12" s="7" t="s">
        <v>189</v>
      </c>
      <c r="E12" s="155">
        <f t="shared" ref="E12" si="12">E9-E11</f>
        <v>0</v>
      </c>
      <c r="F12" s="155">
        <f t="shared" ref="F12:G12" si="13">F9-F11</f>
        <v>0</v>
      </c>
      <c r="G12" s="155">
        <f t="shared" si="13"/>
        <v>0</v>
      </c>
      <c r="H12" s="238">
        <f>H9*H11</f>
        <v>2.6378007305154907</v>
      </c>
      <c r="I12" s="238">
        <f t="shared" ref="I12:Y12" si="14">I9*I11</f>
        <v>2.5962552111958512</v>
      </c>
      <c r="J12" s="238">
        <f t="shared" si="14"/>
        <v>2.5225169721407412</v>
      </c>
      <c r="K12" s="238">
        <f t="shared" si="14"/>
        <v>2.0280959950910029</v>
      </c>
      <c r="L12" s="238">
        <f t="shared" si="14"/>
        <v>1.9629958190965786</v>
      </c>
      <c r="M12" s="238">
        <f t="shared" si="14"/>
        <v>1.9081463801313934</v>
      </c>
      <c r="N12" s="238">
        <f t="shared" si="14"/>
        <v>-0.72841508540382016</v>
      </c>
      <c r="O12" s="238">
        <f t="shared" si="14"/>
        <v>-0.80377667663936569</v>
      </c>
      <c r="P12" s="238">
        <f t="shared" si="14"/>
        <v>-0.88290634743668872</v>
      </c>
      <c r="Q12" s="238">
        <f t="shared" si="14"/>
        <v>-0.95947657176867773</v>
      </c>
      <c r="R12" s="238">
        <f t="shared" si="14"/>
        <v>-1.0532329638279263</v>
      </c>
      <c r="S12" s="238">
        <f t="shared" si="14"/>
        <v>-1.144835448984677</v>
      </c>
      <c r="T12" s="238">
        <f t="shared" si="14"/>
        <v>-1.2410180583992656</v>
      </c>
      <c r="U12" s="238">
        <f t="shared" si="14"/>
        <v>-1.3354938682793833</v>
      </c>
      <c r="V12" s="238">
        <f t="shared" si="14"/>
        <v>-1.4480511251641672</v>
      </c>
      <c r="W12" s="238">
        <f t="shared" si="14"/>
        <v>-1.5593945183877305</v>
      </c>
      <c r="X12" s="238">
        <f t="shared" si="14"/>
        <v>-1.6763050812724718</v>
      </c>
      <c r="Y12" s="238">
        <f t="shared" si="14"/>
        <v>1.9208253340429526</v>
      </c>
    </row>
    <row r="13" spans="4:25" x14ac:dyDescent="0.2">
      <c r="D13" s="156" t="s">
        <v>188</v>
      </c>
      <c r="E13" s="156" t="e">
        <f t="shared" ref="E13" si="15">E12/E$5</f>
        <v>#DIV/0!</v>
      </c>
      <c r="F13" s="156" t="e">
        <f t="shared" ref="F13:V13" si="16">F12/F$5</f>
        <v>#DIV/0!</v>
      </c>
      <c r="G13" s="156" t="e">
        <f t="shared" si="16"/>
        <v>#DIV/0!</v>
      </c>
      <c r="H13" s="235">
        <f t="shared" si="16"/>
        <v>0.36812003857912157</v>
      </c>
      <c r="I13" s="235">
        <f t="shared" si="16"/>
        <v>0.36133217478386814</v>
      </c>
      <c r="J13" s="235">
        <f t="shared" si="16"/>
        <v>0.35203153686270666</v>
      </c>
      <c r="K13" s="235">
        <f t="shared" si="16"/>
        <v>0.30785968164676475</v>
      </c>
      <c r="L13" s="235">
        <f t="shared" si="16"/>
        <v>0.29797764474846072</v>
      </c>
      <c r="M13" s="235">
        <f t="shared" si="16"/>
        <v>0.28886024505987207</v>
      </c>
      <c r="N13" s="235">
        <f t="shared" si="16"/>
        <v>-0.22918458405392367</v>
      </c>
      <c r="O13" s="235">
        <f t="shared" si="16"/>
        <v>-0.25289594765286011</v>
      </c>
      <c r="P13" s="235">
        <f t="shared" si="16"/>
        <v>-0.27779287943174347</v>
      </c>
      <c r="Q13" s="235">
        <f t="shared" si="16"/>
        <v>-0.30105969971815127</v>
      </c>
      <c r="R13" s="235">
        <f t="shared" si="16"/>
        <v>-0.33138352508578978</v>
      </c>
      <c r="S13" s="235">
        <f t="shared" si="16"/>
        <v>-0.36020483573631951</v>
      </c>
      <c r="T13" s="235">
        <f t="shared" si="16"/>
        <v>-0.39046721191937578</v>
      </c>
      <c r="U13" s="235">
        <f t="shared" si="16"/>
        <v>-0.41904450279434002</v>
      </c>
      <c r="V13" s="235">
        <f t="shared" si="16"/>
        <v>-0.45560697665340438</v>
      </c>
      <c r="W13" s="235">
        <f t="shared" ref="W13:X13" si="17">W12/W$5</f>
        <v>-0.49063945988231494</v>
      </c>
      <c r="X13" s="235">
        <f t="shared" si="17"/>
        <v>-0.52742356727267103</v>
      </c>
      <c r="Y13" s="235">
        <f t="shared" ref="Y13" si="18">Y12/Y$5</f>
        <v>0.31950398125364382</v>
      </c>
    </row>
    <row r="14" spans="4:25" ht="15" x14ac:dyDescent="0.25">
      <c r="D14" s="8" t="s">
        <v>190</v>
      </c>
      <c r="E14" s="51">
        <v>0</v>
      </c>
      <c r="F14" s="51">
        <v>0</v>
      </c>
      <c r="G14" s="51">
        <v>0</v>
      </c>
      <c r="H14" s="97">
        <f>'Depreciation Schedule'!H75</f>
        <v>2.1375086363636364</v>
      </c>
      <c r="I14" s="97">
        <f>'Depreciation Schedule'!I75</f>
        <v>2.1375086363636364</v>
      </c>
      <c r="J14" s="97">
        <f>'Depreciation Schedule'!J75</f>
        <v>2.1375086363636364</v>
      </c>
      <c r="K14" s="97">
        <f>'Depreciation Schedule'!K75</f>
        <v>2.1375086363636364</v>
      </c>
      <c r="L14" s="97">
        <f>'Depreciation Schedule'!L75</f>
        <v>2.1375086363636364</v>
      </c>
      <c r="M14" s="97">
        <f>'Depreciation Schedule'!M75</f>
        <v>2.1375086363636364</v>
      </c>
      <c r="N14" s="97">
        <f>'Depreciation Schedule'!N75</f>
        <v>2.1375086363636364</v>
      </c>
      <c r="O14" s="97">
        <f>'Depreciation Schedule'!O75</f>
        <v>2.1375086363636364</v>
      </c>
      <c r="P14" s="97">
        <f>'Depreciation Schedule'!P75</f>
        <v>2.1375086363636364</v>
      </c>
      <c r="Q14" s="97">
        <f>'Depreciation Schedule'!Q75</f>
        <v>2.1375086363636364</v>
      </c>
      <c r="R14" s="97">
        <f>'Depreciation Schedule'!R75</f>
        <v>2.1375086363636364</v>
      </c>
      <c r="S14" s="97">
        <f>'Depreciation Schedule'!S75</f>
        <v>2.1375086363636364</v>
      </c>
      <c r="T14" s="97">
        <f>'Depreciation Schedule'!T75</f>
        <v>2.1375086363636364</v>
      </c>
      <c r="U14" s="97">
        <f>'Depreciation Schedule'!U75</f>
        <v>2.1375086363636364</v>
      </c>
      <c r="V14" s="97">
        <f>'Depreciation Schedule'!V75</f>
        <v>2.1375086363636364</v>
      </c>
      <c r="W14" s="97">
        <f>'Depreciation Schedule'!W75</f>
        <v>2.1375086363636364</v>
      </c>
      <c r="X14" s="97">
        <f>'Depreciation Schedule'!X75</f>
        <v>2.1375086363636364</v>
      </c>
      <c r="Y14" s="97">
        <f>'Depreciation Schedule'!Y75</f>
        <v>0</v>
      </c>
    </row>
    <row r="15" spans="4:25" x14ac:dyDescent="0.2">
      <c r="D15" s="156" t="s">
        <v>188</v>
      </c>
      <c r="E15" s="156" t="e">
        <f t="shared" ref="E15" si="19">E14/E$5</f>
        <v>#DIV/0!</v>
      </c>
      <c r="F15" s="156" t="e">
        <f t="shared" ref="F15:V15" si="20">F14/F$5</f>
        <v>#DIV/0!</v>
      </c>
      <c r="G15" s="156" t="e">
        <f t="shared" si="20"/>
        <v>#DIV/0!</v>
      </c>
      <c r="H15" s="235">
        <f t="shared" si="20"/>
        <v>0.29830144202273223</v>
      </c>
      <c r="I15" s="235">
        <f t="shared" si="20"/>
        <v>0.29748641076037502</v>
      </c>
      <c r="J15" s="235">
        <f t="shared" si="20"/>
        <v>0.29830144202273223</v>
      </c>
      <c r="K15" s="235">
        <f t="shared" si="20"/>
        <v>0.32446823518262097</v>
      </c>
      <c r="L15" s="235">
        <f t="shared" si="20"/>
        <v>0.32446823518262097</v>
      </c>
      <c r="M15" s="235">
        <f t="shared" si="20"/>
        <v>0.32358170994988156</v>
      </c>
      <c r="N15" s="235">
        <f t="shared" si="20"/>
        <v>0.67253416019670542</v>
      </c>
      <c r="O15" s="235">
        <f t="shared" si="20"/>
        <v>0.67253416019670542</v>
      </c>
      <c r="P15" s="235">
        <f t="shared" si="20"/>
        <v>0.67253416019670542</v>
      </c>
      <c r="Q15" s="235">
        <f t="shared" si="20"/>
        <v>0.67069663516884548</v>
      </c>
      <c r="R15" s="235">
        <f t="shared" si="20"/>
        <v>0.67253416019670542</v>
      </c>
      <c r="S15" s="235">
        <f t="shared" si="20"/>
        <v>0.67253416019670542</v>
      </c>
      <c r="T15" s="235">
        <f t="shared" si="20"/>
        <v>0.67253416019670542</v>
      </c>
      <c r="U15" s="235">
        <f t="shared" si="20"/>
        <v>0.67069663516884548</v>
      </c>
      <c r="V15" s="235">
        <f t="shared" si="20"/>
        <v>0.67253416019670542</v>
      </c>
      <c r="W15" s="235">
        <f t="shared" ref="W15:X15" si="21">W14/W$5</f>
        <v>0.67253416019670542</v>
      </c>
      <c r="X15" s="235">
        <f t="shared" si="21"/>
        <v>0.67253416019670542</v>
      </c>
      <c r="Y15" s="235">
        <f t="shared" ref="Y15" si="22">Y14/Y$5</f>
        <v>0</v>
      </c>
    </row>
    <row r="16" spans="4:25" ht="15" x14ac:dyDescent="0.25">
      <c r="D16" s="8" t="s">
        <v>191</v>
      </c>
      <c r="E16" s="51">
        <f>'RKA P&amp;L'!J93</f>
        <v>0</v>
      </c>
      <c r="F16" s="51">
        <f>'RKA P&amp;L'!K93</f>
        <v>0</v>
      </c>
      <c r="G16" s="51">
        <f>'RKA P&amp;L'!L93</f>
        <v>0</v>
      </c>
      <c r="H16" s="97">
        <f>'RKA P&amp;L'!M93</f>
        <v>4.5801767649055956</v>
      </c>
      <c r="I16" s="97">
        <f>'RKA P&amp;L'!N93</f>
        <v>-4.7873263146336775E-2</v>
      </c>
      <c r="J16" s="97">
        <f>'RKA P&amp;L'!O93</f>
        <v>-5.6240676965829905E-2</v>
      </c>
      <c r="K16" s="97">
        <f>'RKA P&amp;L'!P93</f>
        <v>-0.50727705922789923</v>
      </c>
      <c r="L16" s="97">
        <f>'RKA P&amp;L'!Q93</f>
        <v>-5.8792634108462138E-2</v>
      </c>
      <c r="M16" s="97">
        <f>'RKA P&amp;L'!R93</f>
        <v>-5.8190250562266677E-2</v>
      </c>
      <c r="N16" s="97">
        <f>'RKA P&amp;L'!S93</f>
        <v>-2.7309369330961157</v>
      </c>
      <c r="O16" s="97">
        <f>'RKA P&amp;L'!T93</f>
        <v>-6.8059823059807956E-2</v>
      </c>
      <c r="P16" s="97">
        <f>'RKA P&amp;L'!U93</f>
        <v>-7.1462814212798209E-2</v>
      </c>
      <c r="Q16" s="97">
        <f>'RKA P&amp;L'!V93</f>
        <v>-7.0730613247502516E-2</v>
      </c>
      <c r="R16" s="97">
        <f>'RKA P&amp;L'!W93</f>
        <v>-8.3093094345545682E-2</v>
      </c>
      <c r="S16" s="97">
        <f>'RKA P&amp;L'!X93</f>
        <v>-8.2727140303090474E-2</v>
      </c>
      <c r="T16" s="97">
        <f>'RKA P&amp;L'!Y93</f>
        <v>-8.6863497318244942E-2</v>
      </c>
      <c r="U16" s="97">
        <f>'RKA P&amp;L'!Z93</f>
        <v>-8.5973502468672303E-2</v>
      </c>
      <c r="V16" s="97">
        <f>'RKA P&amp;L'!AA93</f>
        <v>-0.1010001755088501</v>
      </c>
      <c r="W16" s="97">
        <f>'RKA P&amp;L'!AB93</f>
        <v>-0.10055535608303368</v>
      </c>
      <c r="X16" s="97">
        <f>'RKA P&amp;L'!AC93</f>
        <v>-0.10558312388718472</v>
      </c>
      <c r="Y16" s="97">
        <f>'RKA P&amp;L'!AD93</f>
        <v>-0.10450132958506186</v>
      </c>
    </row>
    <row r="17" spans="1:25" x14ac:dyDescent="0.2">
      <c r="D17" s="156" t="s">
        <v>188</v>
      </c>
      <c r="E17" s="156" t="e">
        <f t="shared" ref="E17" si="23">E16/E$5</f>
        <v>#DIV/0!</v>
      </c>
      <c r="F17" s="156" t="e">
        <f t="shared" ref="F17:V17" si="24">F16/F$5</f>
        <v>#DIV/0!</v>
      </c>
      <c r="G17" s="156" t="e">
        <f t="shared" si="24"/>
        <v>#DIV/0!</v>
      </c>
      <c r="H17" s="235">
        <f t="shared" si="24"/>
        <v>0.63918962031174653</v>
      </c>
      <c r="I17" s="235">
        <f t="shared" si="24"/>
        <v>-6.66273107977649E-3</v>
      </c>
      <c r="J17" s="235">
        <f t="shared" si="24"/>
        <v>-7.8487051485239684E-3</v>
      </c>
      <c r="K17" s="235">
        <f t="shared" si="24"/>
        <v>-7.7003334328659592E-2</v>
      </c>
      <c r="L17" s="235">
        <f t="shared" si="24"/>
        <v>-8.9245684936100442E-3</v>
      </c>
      <c r="M17" s="235">
        <f t="shared" si="24"/>
        <v>-8.8089940124794139E-3</v>
      </c>
      <c r="N17" s="235">
        <f t="shared" si="24"/>
        <v>-0.85924723091388189</v>
      </c>
      <c r="O17" s="235">
        <f t="shared" si="24"/>
        <v>-2.1413974739551603E-2</v>
      </c>
      <c r="P17" s="235">
        <f t="shared" si="24"/>
        <v>-2.2484673476529139E-2</v>
      </c>
      <c r="Q17" s="235">
        <f t="shared" si="24"/>
        <v>-2.2193493631554404E-2</v>
      </c>
      <c r="R17" s="235">
        <f t="shared" si="24"/>
        <v>-2.6143961934533336E-2</v>
      </c>
      <c r="S17" s="235">
        <f t="shared" si="24"/>
        <v>-2.6028820133267027E-2</v>
      </c>
      <c r="T17" s="235">
        <f t="shared" si="24"/>
        <v>-2.733026113993036E-2</v>
      </c>
      <c r="U17" s="235">
        <f t="shared" si="24"/>
        <v>-2.6976330218489636E-2</v>
      </c>
      <c r="V17" s="235">
        <f t="shared" si="24"/>
        <v>-3.1778149131187254E-2</v>
      </c>
      <c r="W17" s="235">
        <f t="shared" ref="W17:X17" si="25">W16/W$5</f>
        <v>-3.1638193552112004E-2</v>
      </c>
      <c r="X17" s="235">
        <f t="shared" si="25"/>
        <v>-3.3220103229717399E-2</v>
      </c>
      <c r="Y17" s="235">
        <f t="shared" ref="Y17" si="26">Y16/Y$5</f>
        <v>-1.7382419034660566E-2</v>
      </c>
    </row>
    <row r="18" spans="1:25" ht="15" x14ac:dyDescent="0.25">
      <c r="D18" s="8" t="s">
        <v>192</v>
      </c>
      <c r="E18" s="51">
        <f>'Depreciation Schedule'!E73-'Depreciation Schedule'!E74</f>
        <v>0</v>
      </c>
      <c r="F18" s="51">
        <f>'Depreciation Schedule'!F73-'Depreciation Schedule'!F74</f>
        <v>0</v>
      </c>
      <c r="G18" s="51">
        <f>'Depreciation Schedule'!G73-'Depreciation Schedule'!G74</f>
        <v>0</v>
      </c>
      <c r="H18" s="97">
        <f>'Depreciation Schedule'!H73-'Depreciation Schedule'!H74</f>
        <v>0</v>
      </c>
      <c r="I18" s="97">
        <f>'Depreciation Schedule'!I73-'Depreciation Schedule'!I74</f>
        <v>0</v>
      </c>
      <c r="J18" s="97">
        <f>'Depreciation Schedule'!J73-'Depreciation Schedule'!J74</f>
        <v>0</v>
      </c>
      <c r="K18" s="97">
        <f>'Depreciation Schedule'!K73-'Depreciation Schedule'!K74</f>
        <v>0</v>
      </c>
      <c r="L18" s="97">
        <f>'Depreciation Schedule'!L73-'Depreciation Schedule'!L74</f>
        <v>0</v>
      </c>
      <c r="M18" s="97">
        <f>'Depreciation Schedule'!M73-'Depreciation Schedule'!M74</f>
        <v>0</v>
      </c>
      <c r="N18" s="97">
        <f>'Depreciation Schedule'!N73-'Depreciation Schedule'!N74</f>
        <v>0</v>
      </c>
      <c r="O18" s="97">
        <f>'Depreciation Schedule'!O73-'Depreciation Schedule'!O74</f>
        <v>0</v>
      </c>
      <c r="P18" s="97">
        <f>'Depreciation Schedule'!P73-'Depreciation Schedule'!P74</f>
        <v>0</v>
      </c>
      <c r="Q18" s="97">
        <f>'Depreciation Schedule'!Q73-'Depreciation Schedule'!Q74</f>
        <v>0</v>
      </c>
      <c r="R18" s="97">
        <f>'Depreciation Schedule'!R73-'Depreciation Schedule'!R74</f>
        <v>0</v>
      </c>
      <c r="S18" s="97">
        <f>'Depreciation Schedule'!S73-'Depreciation Schedule'!S74</f>
        <v>0</v>
      </c>
      <c r="T18" s="97">
        <f>'Depreciation Schedule'!T73-'Depreciation Schedule'!T74</f>
        <v>0</v>
      </c>
      <c r="U18" s="97">
        <f>'Depreciation Schedule'!U73-'Depreciation Schedule'!U74</f>
        <v>0</v>
      </c>
      <c r="V18" s="97">
        <f>'Depreciation Schedule'!V73-'Depreciation Schedule'!V74</f>
        <v>0</v>
      </c>
      <c r="W18" s="97">
        <f>'Depreciation Schedule'!W73-'Depreciation Schedule'!W74</f>
        <v>0</v>
      </c>
      <c r="X18" s="97">
        <f>'Depreciation Schedule'!X73-'Depreciation Schedule'!X74</f>
        <v>1.6065468181818141</v>
      </c>
      <c r="Y18" s="97">
        <f>'Depreciation Schedule'!Y73-'Depreciation Schedule'!Y74</f>
        <v>-2.5827</v>
      </c>
    </row>
    <row r="19" spans="1:25" x14ac:dyDescent="0.2">
      <c r="D19" s="156" t="s">
        <v>188</v>
      </c>
      <c r="E19" s="156" t="e">
        <f t="shared" ref="E19" si="27">E18/E$5</f>
        <v>#DIV/0!</v>
      </c>
      <c r="F19" s="156" t="e">
        <f t="shared" ref="F19:V19" si="28">F18/F$5</f>
        <v>#DIV/0!</v>
      </c>
      <c r="G19" s="156" t="e">
        <f t="shared" si="28"/>
        <v>#DIV/0!</v>
      </c>
      <c r="H19" s="235">
        <f t="shared" si="28"/>
        <v>0</v>
      </c>
      <c r="I19" s="235">
        <f t="shared" si="28"/>
        <v>0</v>
      </c>
      <c r="J19" s="235">
        <f t="shared" si="28"/>
        <v>0</v>
      </c>
      <c r="K19" s="235">
        <f t="shared" si="28"/>
        <v>0</v>
      </c>
      <c r="L19" s="235">
        <f t="shared" si="28"/>
        <v>0</v>
      </c>
      <c r="M19" s="235">
        <f t="shared" si="28"/>
        <v>0</v>
      </c>
      <c r="N19" s="235">
        <f t="shared" si="28"/>
        <v>0</v>
      </c>
      <c r="O19" s="235">
        <f t="shared" si="28"/>
        <v>0</v>
      </c>
      <c r="P19" s="235">
        <f t="shared" si="28"/>
        <v>0</v>
      </c>
      <c r="Q19" s="235">
        <f t="shared" si="28"/>
        <v>0</v>
      </c>
      <c r="R19" s="235">
        <f t="shared" si="28"/>
        <v>0</v>
      </c>
      <c r="S19" s="235">
        <f t="shared" si="28"/>
        <v>0</v>
      </c>
      <c r="T19" s="235">
        <f t="shared" si="28"/>
        <v>0</v>
      </c>
      <c r="U19" s="235">
        <f t="shared" si="28"/>
        <v>0</v>
      </c>
      <c r="V19" s="235">
        <f t="shared" si="28"/>
        <v>0</v>
      </c>
      <c r="W19" s="235">
        <f t="shared" ref="W19:X19" si="29">W18/W$5</f>
        <v>0</v>
      </c>
      <c r="X19" s="235">
        <f t="shared" si="29"/>
        <v>0.50547520454499173</v>
      </c>
      <c r="Y19" s="235">
        <f t="shared" ref="Y19" si="30">Y18/Y$5</f>
        <v>-0.42959810960371975</v>
      </c>
    </row>
    <row r="20" spans="1:25" ht="15" x14ac:dyDescent="0.25">
      <c r="D20" s="32" t="s">
        <v>193</v>
      </c>
      <c r="E20" s="188">
        <f t="shared" ref="E20" si="31">E12+E14-E16-E18</f>
        <v>0</v>
      </c>
      <c r="F20" s="188">
        <f t="shared" ref="F20:V20" si="32">F12+F14-F16-F18</f>
        <v>0</v>
      </c>
      <c r="G20" s="188">
        <f t="shared" si="32"/>
        <v>0</v>
      </c>
      <c r="H20" s="239">
        <f t="shared" si="32"/>
        <v>0.19513260197353155</v>
      </c>
      <c r="I20" s="239">
        <f t="shared" si="32"/>
        <v>4.781637110705824</v>
      </c>
      <c r="J20" s="239">
        <f t="shared" si="32"/>
        <v>4.7162662854702075</v>
      </c>
      <c r="K20" s="239">
        <f t="shared" si="32"/>
        <v>4.672881690682539</v>
      </c>
      <c r="L20" s="239">
        <f t="shared" si="32"/>
        <v>4.1592970895686774</v>
      </c>
      <c r="M20" s="239">
        <f t="shared" si="32"/>
        <v>4.103845267057296</v>
      </c>
      <c r="N20" s="239">
        <f t="shared" si="32"/>
        <v>4.1400304840559325</v>
      </c>
      <c r="O20" s="239">
        <f t="shared" si="32"/>
        <v>1.4017917827840787</v>
      </c>
      <c r="P20" s="239">
        <f t="shared" si="32"/>
        <v>1.3260651031397459</v>
      </c>
      <c r="Q20" s="239">
        <f t="shared" si="32"/>
        <v>1.2487626778424612</v>
      </c>
      <c r="R20" s="239">
        <f t="shared" si="32"/>
        <v>1.1673687668812558</v>
      </c>
      <c r="S20" s="239">
        <f t="shared" si="32"/>
        <v>1.0754003276820499</v>
      </c>
      <c r="T20" s="239">
        <f t="shared" si="32"/>
        <v>0.98335407528261576</v>
      </c>
      <c r="U20" s="239">
        <f t="shared" si="32"/>
        <v>0.8879882705529254</v>
      </c>
      <c r="V20" s="239">
        <f t="shared" si="32"/>
        <v>0.79045768670831928</v>
      </c>
      <c r="W20" s="239">
        <f t="shared" ref="W20:X20" si="33">W12+W14-W16-W18</f>
        <v>0.67866947405893963</v>
      </c>
      <c r="X20" s="239">
        <f t="shared" si="33"/>
        <v>-1.0397601392034648</v>
      </c>
      <c r="Y20" s="239">
        <f t="shared" ref="Y20" si="34">Y12+Y14-Y16-Y18</f>
        <v>4.6080266636280145</v>
      </c>
    </row>
    <row r="21" spans="1:25" x14ac:dyDescent="0.2">
      <c r="D21" s="156" t="s">
        <v>186</v>
      </c>
      <c r="E21" s="156" t="e">
        <f>E20/D20-1</f>
        <v>#VALUE!</v>
      </c>
      <c r="F21" s="156" t="e">
        <f>F20/E20-1</f>
        <v>#DIV/0!</v>
      </c>
      <c r="G21" s="156" t="e">
        <f t="shared" ref="G21:V21" si="35">G20/F20-1</f>
        <v>#DIV/0!</v>
      </c>
      <c r="H21" s="235" t="e">
        <f t="shared" si="35"/>
        <v>#DIV/0!</v>
      </c>
      <c r="I21" s="235">
        <f t="shared" si="35"/>
        <v>23.504552608561134</v>
      </c>
      <c r="J21" s="235">
        <f t="shared" si="35"/>
        <v>-1.3671222579658915E-2</v>
      </c>
      <c r="K21" s="235">
        <f t="shared" si="35"/>
        <v>-9.1989281693714009E-3</v>
      </c>
      <c r="L21" s="235">
        <f t="shared" si="35"/>
        <v>-0.10990746933266471</v>
      </c>
      <c r="M21" s="235">
        <f t="shared" si="35"/>
        <v>-1.3332017722526235E-2</v>
      </c>
      <c r="N21" s="235">
        <f t="shared" si="35"/>
        <v>8.8173931139912121E-3</v>
      </c>
      <c r="O21" s="235">
        <f t="shared" si="35"/>
        <v>-0.66140544419113501</v>
      </c>
      <c r="P21" s="235">
        <f t="shared" si="35"/>
        <v>-5.4021346518334568E-2</v>
      </c>
      <c r="Q21" s="235">
        <f t="shared" si="35"/>
        <v>-5.8294592862940475E-2</v>
      </c>
      <c r="R21" s="235">
        <f t="shared" si="35"/>
        <v>-6.5179647346470193E-2</v>
      </c>
      <c r="S21" s="235">
        <f t="shared" si="35"/>
        <v>-7.8782679311276249E-2</v>
      </c>
      <c r="T21" s="235">
        <f t="shared" si="35"/>
        <v>-8.5592546356976995E-2</v>
      </c>
      <c r="U21" s="235">
        <f t="shared" si="35"/>
        <v>-9.6980128650285269E-2</v>
      </c>
      <c r="V21" s="235">
        <f t="shared" si="35"/>
        <v>-0.10983318933241826</v>
      </c>
      <c r="W21" s="235">
        <f t="shared" ref="W21" si="36">W20/V20-1</f>
        <v>-0.14142213369433621</v>
      </c>
      <c r="X21" s="235">
        <f t="shared" ref="X21:Y21" si="37">X20/W20-1</f>
        <v>-2.5320567359320569</v>
      </c>
      <c r="Y21" s="235">
        <f t="shared" si="37"/>
        <v>-5.4318170026772838</v>
      </c>
    </row>
    <row r="22" spans="1:25" x14ac:dyDescent="0.2"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</row>
    <row r="23" spans="1:25" x14ac:dyDescent="0.2">
      <c r="D23" s="8" t="s">
        <v>194</v>
      </c>
      <c r="E23" s="51">
        <v>0</v>
      </c>
      <c r="F23" s="51">
        <v>0</v>
      </c>
      <c r="G23" s="51">
        <v>0</v>
      </c>
      <c r="H23" s="51">
        <f t="shared" ref="H23:V23" si="38">(H3-$B$31)/365</f>
        <v>-7.1232876712328766E-2</v>
      </c>
      <c r="I23" s="51">
        <f t="shared" si="38"/>
        <v>0.93150684931506844</v>
      </c>
      <c r="J23" s="51">
        <f t="shared" si="38"/>
        <v>1.9315068493150684</v>
      </c>
      <c r="K23" s="51">
        <f t="shared" si="38"/>
        <v>2.9315068493150687</v>
      </c>
      <c r="L23" s="51">
        <f t="shared" si="38"/>
        <v>3.9315068493150687</v>
      </c>
      <c r="M23" s="51">
        <f t="shared" si="38"/>
        <v>4.934246575342466</v>
      </c>
      <c r="N23" s="51">
        <f t="shared" si="38"/>
        <v>5.934246575342466</v>
      </c>
      <c r="O23" s="51">
        <f t="shared" si="38"/>
        <v>6.934246575342466</v>
      </c>
      <c r="P23" s="51">
        <f t="shared" si="38"/>
        <v>7.934246575342466</v>
      </c>
      <c r="Q23" s="51">
        <f t="shared" si="38"/>
        <v>8.9369863013698634</v>
      </c>
      <c r="R23" s="51">
        <f t="shared" si="38"/>
        <v>9.9369863013698634</v>
      </c>
      <c r="S23" s="51">
        <f t="shared" si="38"/>
        <v>10.936986301369863</v>
      </c>
      <c r="T23" s="51">
        <f t="shared" si="38"/>
        <v>11.936986301369863</v>
      </c>
      <c r="U23" s="51">
        <f t="shared" si="38"/>
        <v>12.93972602739726</v>
      </c>
      <c r="V23" s="51">
        <f t="shared" si="38"/>
        <v>13.93972602739726</v>
      </c>
      <c r="W23" s="51">
        <f t="shared" ref="W23:X23" si="39">(W3-$B$31)/365</f>
        <v>14.93972602739726</v>
      </c>
      <c r="X23" s="51">
        <f t="shared" si="39"/>
        <v>15.93972602739726</v>
      </c>
      <c r="Y23" s="51">
        <f t="shared" ref="Y23" si="40">(Y3-$B$31)/365</f>
        <v>16.942465753424656</v>
      </c>
    </row>
    <row r="25" spans="1:25" x14ac:dyDescent="0.2">
      <c r="C25" s="62" t="s">
        <v>195</v>
      </c>
      <c r="D25" s="158" t="s">
        <v>196</v>
      </c>
      <c r="E25" s="159" t="s">
        <v>197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pans="1:25" x14ac:dyDescent="0.2">
      <c r="C26" s="8" t="s">
        <v>198</v>
      </c>
      <c r="D26" s="162">
        <f>B49</f>
        <v>8.7728912348364052E-2</v>
      </c>
      <c r="E26" s="51">
        <f t="shared" ref="E26:N28" si="41">E$20/(1+$D26)^E$23</f>
        <v>0</v>
      </c>
      <c r="F26" s="51">
        <f t="shared" si="41"/>
        <v>0</v>
      </c>
      <c r="G26" s="51">
        <f t="shared" si="41"/>
        <v>0</v>
      </c>
      <c r="H26" s="51">
        <f t="shared" si="41"/>
        <v>0.19630497592063337</v>
      </c>
      <c r="I26" s="51">
        <f t="shared" si="41"/>
        <v>4.4213750575977482</v>
      </c>
      <c r="J26" s="51">
        <f t="shared" si="41"/>
        <v>4.0092061593380848</v>
      </c>
      <c r="K26" s="51">
        <f t="shared" si="41"/>
        <v>3.651944629554837</v>
      </c>
      <c r="L26" s="51">
        <f t="shared" si="41"/>
        <v>2.9883995913647263</v>
      </c>
      <c r="M26" s="51">
        <f t="shared" si="41"/>
        <v>2.7101228299561932</v>
      </c>
      <c r="N26" s="51">
        <f t="shared" si="41"/>
        <v>2.5135114248572097</v>
      </c>
      <c r="O26" s="51">
        <f t="shared" ref="O26:Y28" si="42">O$20/(1+$D26)^O$23</f>
        <v>0.78242039423465026</v>
      </c>
      <c r="P26" s="51">
        <f t="shared" si="42"/>
        <v>0.68045721925026981</v>
      </c>
      <c r="Q26" s="51">
        <f t="shared" si="42"/>
        <v>0.58897269480780479</v>
      </c>
      <c r="R26" s="51">
        <f t="shared" si="42"/>
        <v>0.5061772800309623</v>
      </c>
      <c r="S26" s="51">
        <f t="shared" si="42"/>
        <v>0.42869070814428117</v>
      </c>
      <c r="T26" s="51">
        <f t="shared" si="42"/>
        <v>0.3603820532712772</v>
      </c>
      <c r="U26" s="51">
        <f t="shared" si="42"/>
        <v>0.29911606132869473</v>
      </c>
      <c r="V26" s="51">
        <f t="shared" si="42"/>
        <v>0.24478818877541939</v>
      </c>
      <c r="W26" s="51">
        <f t="shared" si="42"/>
        <v>0.19321884196484165</v>
      </c>
      <c r="X26" s="51">
        <f t="shared" si="42"/>
        <v>-0.27214706254532373</v>
      </c>
      <c r="Y26" s="51">
        <f t="shared" si="42"/>
        <v>1.1085741344930771</v>
      </c>
    </row>
    <row r="27" spans="1:25" x14ac:dyDescent="0.2">
      <c r="C27" s="8" t="s">
        <v>199</v>
      </c>
      <c r="D27" s="162">
        <f>B50</f>
        <v>0.10772891234836406</v>
      </c>
      <c r="E27" s="51">
        <f t="shared" si="41"/>
        <v>0</v>
      </c>
      <c r="F27" s="51">
        <f t="shared" si="41"/>
        <v>0</v>
      </c>
      <c r="G27" s="51">
        <f t="shared" si="41"/>
        <v>0</v>
      </c>
      <c r="H27" s="51">
        <f t="shared" si="41"/>
        <v>0.19655991743155837</v>
      </c>
      <c r="I27" s="51">
        <f t="shared" si="41"/>
        <v>4.3469686895317219</v>
      </c>
      <c r="J27" s="51">
        <f t="shared" si="41"/>
        <v>3.870568209636077</v>
      </c>
      <c r="K27" s="51">
        <f t="shared" si="41"/>
        <v>3.4620050880236883</v>
      </c>
      <c r="L27" s="51">
        <f t="shared" si="41"/>
        <v>2.7818221909992982</v>
      </c>
      <c r="M27" s="51">
        <f t="shared" si="41"/>
        <v>2.4771093344987398</v>
      </c>
      <c r="N27" s="51">
        <f t="shared" si="41"/>
        <v>2.2559228647283605</v>
      </c>
      <c r="O27" s="51">
        <f t="shared" si="42"/>
        <v>0.68955787991705342</v>
      </c>
      <c r="P27" s="51">
        <f t="shared" si="42"/>
        <v>0.58886883556982172</v>
      </c>
      <c r="Q27" s="51">
        <f t="shared" si="42"/>
        <v>0.50047041354922694</v>
      </c>
      <c r="R27" s="51">
        <f t="shared" si="42"/>
        <v>0.42235056183097486</v>
      </c>
      <c r="S27" s="51">
        <f t="shared" si="42"/>
        <v>0.35123814917539059</v>
      </c>
      <c r="T27" s="51">
        <f t="shared" si="42"/>
        <v>0.28993987430451085</v>
      </c>
      <c r="U27" s="51">
        <f t="shared" si="42"/>
        <v>0.23629254873250391</v>
      </c>
      <c r="V27" s="51">
        <f t="shared" si="42"/>
        <v>0.18988380834423726</v>
      </c>
      <c r="W27" s="51">
        <f t="shared" si="42"/>
        <v>0.14717502919425321</v>
      </c>
      <c r="X27" s="51">
        <f t="shared" si="42"/>
        <v>-0.20355205350742214</v>
      </c>
      <c r="Y27" s="51">
        <f t="shared" si="42"/>
        <v>0.81414560094205279</v>
      </c>
    </row>
    <row r="28" spans="1:25" x14ac:dyDescent="0.2">
      <c r="C28" s="8" t="s">
        <v>200</v>
      </c>
      <c r="D28" s="162">
        <f>B51</f>
        <v>0.12772891234836406</v>
      </c>
      <c r="E28" s="51">
        <f t="shared" si="41"/>
        <v>0</v>
      </c>
      <c r="F28" s="51">
        <f t="shared" si="41"/>
        <v>0</v>
      </c>
      <c r="G28" s="51">
        <f t="shared" si="41"/>
        <v>0</v>
      </c>
      <c r="H28" s="51">
        <f t="shared" si="41"/>
        <v>0.19681061917597273</v>
      </c>
      <c r="I28" s="51">
        <f t="shared" si="41"/>
        <v>4.275112659918153</v>
      </c>
      <c r="J28" s="51">
        <f t="shared" si="41"/>
        <v>3.7390782456845746</v>
      </c>
      <c r="K28" s="51">
        <f t="shared" si="41"/>
        <v>3.2850826940033779</v>
      </c>
      <c r="L28" s="51">
        <f t="shared" si="41"/>
        <v>2.5928461499386297</v>
      </c>
      <c r="M28" s="51">
        <f t="shared" si="41"/>
        <v>2.2677754109207453</v>
      </c>
      <c r="N28" s="51">
        <f t="shared" si="41"/>
        <v>2.0286535648439301</v>
      </c>
      <c r="O28" s="51">
        <f t="shared" si="42"/>
        <v>0.60909234937324641</v>
      </c>
      <c r="P28" s="51">
        <f t="shared" si="42"/>
        <v>0.51092807340218205</v>
      </c>
      <c r="Q28" s="51">
        <f t="shared" si="42"/>
        <v>0.42650790866501309</v>
      </c>
      <c r="R28" s="51">
        <f t="shared" si="42"/>
        <v>0.35354974872239775</v>
      </c>
      <c r="S28" s="51">
        <f t="shared" si="42"/>
        <v>0.28880713146743264</v>
      </c>
      <c r="T28" s="51">
        <f t="shared" si="42"/>
        <v>0.23417630849700358</v>
      </c>
      <c r="U28" s="51">
        <f t="shared" si="42"/>
        <v>0.18745305442678689</v>
      </c>
      <c r="V28" s="51">
        <f t="shared" si="42"/>
        <v>0.14796507013508561</v>
      </c>
      <c r="W28" s="51">
        <f t="shared" si="42"/>
        <v>0.11265077343792194</v>
      </c>
      <c r="X28" s="51">
        <f t="shared" si="42"/>
        <v>-0.15303977255857637</v>
      </c>
      <c r="Y28" s="51">
        <f t="shared" si="42"/>
        <v>0.60122688053154061</v>
      </c>
    </row>
    <row r="30" spans="1:25" x14ac:dyDescent="0.2">
      <c r="A30" s="246" t="s">
        <v>201</v>
      </c>
      <c r="B30" s="246"/>
    </row>
    <row r="31" spans="1:25" x14ac:dyDescent="0.2">
      <c r="A31" s="7" t="s">
        <v>202</v>
      </c>
      <c r="B31" s="163">
        <v>45042</v>
      </c>
    </row>
    <row r="32" spans="1:25" x14ac:dyDescent="0.2">
      <c r="A32" s="7" t="s">
        <v>86</v>
      </c>
      <c r="B32" s="164">
        <f>'RKA CAPM'!C32</f>
        <v>0.15</v>
      </c>
    </row>
    <row r="33" spans="1:6" x14ac:dyDescent="0.2">
      <c r="A33" s="7" t="s">
        <v>128</v>
      </c>
      <c r="B33" s="164">
        <f>Assumptions!C37</f>
        <v>0.12962440497166797</v>
      </c>
    </row>
    <row r="34" spans="1:6" x14ac:dyDescent="0.2">
      <c r="A34" s="7" t="s">
        <v>196</v>
      </c>
      <c r="B34" s="164">
        <f>D45</f>
        <v>0.10772891234836406</v>
      </c>
      <c r="D34" s="165"/>
    </row>
    <row r="35" spans="1:6" x14ac:dyDescent="0.2">
      <c r="A35" s="7" t="s">
        <v>203</v>
      </c>
      <c r="B35" s="166">
        <v>0.02</v>
      </c>
    </row>
    <row r="36" spans="1:6" x14ac:dyDescent="0.2">
      <c r="A36" s="7" t="s">
        <v>70</v>
      </c>
      <c r="B36" s="164">
        <v>0.25169999999999998</v>
      </c>
    </row>
    <row r="38" spans="1:6" outlineLevel="1" x14ac:dyDescent="0.2">
      <c r="A38" s="247" t="s">
        <v>204</v>
      </c>
      <c r="B38" s="247"/>
      <c r="C38" s="247"/>
      <c r="D38" s="247"/>
    </row>
    <row r="39" spans="1:6" outlineLevel="1" x14ac:dyDescent="0.2">
      <c r="A39" s="167" t="s">
        <v>95</v>
      </c>
      <c r="B39" s="167" t="s">
        <v>205</v>
      </c>
      <c r="C39" s="167" t="s">
        <v>206</v>
      </c>
      <c r="D39" s="167" t="s">
        <v>196</v>
      </c>
    </row>
    <row r="40" spans="1:6" outlineLevel="1" x14ac:dyDescent="0.2">
      <c r="A40" s="248" t="s">
        <v>207</v>
      </c>
      <c r="B40" s="249"/>
      <c r="C40" s="249"/>
      <c r="D40" s="250"/>
    </row>
    <row r="41" spans="1:6" outlineLevel="1" x14ac:dyDescent="0.2">
      <c r="A41" s="7" t="str">
        <f>[95]Assumptions!B71</f>
        <v>Equity</v>
      </c>
      <c r="B41" s="168">
        <v>1</v>
      </c>
      <c r="C41" s="169">
        <f>B41/$B$43</f>
        <v>1.379135337308921E-2</v>
      </c>
      <c r="D41" s="170">
        <f>B32</f>
        <v>0.15</v>
      </c>
      <c r="E41" s="17"/>
    </row>
    <row r="42" spans="1:6" outlineLevel="1" x14ac:dyDescent="0.2">
      <c r="A42" s="7" t="str">
        <f>[95]Assumptions!B72</f>
        <v>Debt</v>
      </c>
      <c r="B42" s="168">
        <f>'RKA CAPM'!C10</f>
        <v>71.509199999999993</v>
      </c>
      <c r="C42" s="169">
        <f>B42/$B$43</f>
        <v>0.98620864662691077</v>
      </c>
      <c r="D42" s="170">
        <f>B33</f>
        <v>0.12962440497166797</v>
      </c>
      <c r="E42" s="17"/>
    </row>
    <row r="43" spans="1:6" outlineLevel="1" x14ac:dyDescent="0.2">
      <c r="A43" s="32"/>
      <c r="B43" s="171">
        <f>SUM(B41:B42)</f>
        <v>72.509199999999993</v>
      </c>
      <c r="C43" s="172"/>
      <c r="D43" s="173">
        <f>D41*C41+(D42*(1-B36))*C42</f>
        <v>9.7728912348364061E-2</v>
      </c>
      <c r="F43" s="17"/>
    </row>
    <row r="44" spans="1:6" outlineLevel="1" x14ac:dyDescent="0.2">
      <c r="A44" s="240" t="s">
        <v>278</v>
      </c>
      <c r="B44" s="241"/>
      <c r="C44" s="242"/>
      <c r="D44" s="243">
        <v>0.01</v>
      </c>
      <c r="F44" s="17"/>
    </row>
    <row r="45" spans="1:6" outlineLevel="1" x14ac:dyDescent="0.2">
      <c r="A45" s="32" t="s">
        <v>208</v>
      </c>
      <c r="B45" s="241"/>
      <c r="C45" s="242"/>
      <c r="D45" s="243">
        <f>D43+D44</f>
        <v>0.10772891234836406</v>
      </c>
      <c r="F45" s="17"/>
    </row>
    <row r="47" spans="1:6" x14ac:dyDescent="0.2">
      <c r="A47" s="246" t="s">
        <v>209</v>
      </c>
      <c r="B47" s="246"/>
      <c r="C47" s="246"/>
      <c r="D47" s="174"/>
    </row>
    <row r="48" spans="1:6" ht="36" x14ac:dyDescent="0.2">
      <c r="A48" s="158" t="s">
        <v>210</v>
      </c>
      <c r="B48" s="158" t="s">
        <v>211</v>
      </c>
      <c r="C48" s="175" t="s">
        <v>212</v>
      </c>
    </row>
    <row r="49" spans="1:3" x14ac:dyDescent="0.2">
      <c r="A49" s="7" t="s">
        <v>198</v>
      </c>
      <c r="B49" s="162">
        <f>B50-$B$35</f>
        <v>8.7728912348364052E-2</v>
      </c>
      <c r="C49" s="176">
        <f>SUM(I26:Y26)</f>
        <v>25.215210206424757</v>
      </c>
    </row>
    <row r="50" spans="1:3" x14ac:dyDescent="0.2">
      <c r="A50" s="7" t="s">
        <v>199</v>
      </c>
      <c r="B50" s="162">
        <f>B34</f>
        <v>0.10772891234836406</v>
      </c>
      <c r="C50" s="176">
        <f>SUM(I27:Y27)</f>
        <v>23.220767025470494</v>
      </c>
    </row>
    <row r="51" spans="1:3" x14ac:dyDescent="0.2">
      <c r="A51" s="7" t="s">
        <v>200</v>
      </c>
      <c r="B51" s="162">
        <f>B50+B35</f>
        <v>0.12772891234836406</v>
      </c>
      <c r="C51" s="176">
        <f>SUM(I28:Y28)</f>
        <v>21.507866251409443</v>
      </c>
    </row>
    <row r="53" spans="1:3" ht="15" x14ac:dyDescent="0.25">
      <c r="A53" s="190" t="s">
        <v>213</v>
      </c>
      <c r="B53"/>
    </row>
    <row r="54" spans="1:3" ht="15" customHeight="1" x14ac:dyDescent="0.25">
      <c r="A54" s="177">
        <f>C50</f>
        <v>23.220767025470494</v>
      </c>
      <c r="B54"/>
    </row>
    <row r="57" spans="1:3" x14ac:dyDescent="0.2">
      <c r="A57" s="190" t="s">
        <v>220</v>
      </c>
    </row>
    <row r="58" spans="1:3" x14ac:dyDescent="0.2">
      <c r="A58" s="177">
        <f>MAX(0,(A54-B42+Assumptions!C82))</f>
        <v>0</v>
      </c>
    </row>
  </sheetData>
  <mergeCells count="5">
    <mergeCell ref="D3:D4"/>
    <mergeCell ref="A30:B30"/>
    <mergeCell ref="A38:D38"/>
    <mergeCell ref="A40:D40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Historicals</vt:lpstr>
      <vt:lpstr>RKA P&amp;L</vt:lpstr>
      <vt:lpstr>Debt Sch</vt:lpstr>
      <vt:lpstr>RKA CAPM</vt:lpstr>
      <vt:lpstr>Depreciation Schedule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2023-05-29T11:21:02Z</dcterms:modified>
</cp:coreProperties>
</file>