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Operational Companies _May 2023\V3\"/>
    </mc:Choice>
  </mc:AlternateContent>
  <xr:revisionPtr revIDLastSave="0" documentId="13_ncr:1_{863F56FF-28B0-4F40-A9B2-28C2A98184C3}" xr6:coauthVersionLast="47" xr6:coauthVersionMax="47" xr10:uidLastSave="{00000000-0000-0000-0000-000000000000}"/>
  <bookViews>
    <workbookView xWindow="-120" yWindow="-120" windowWidth="21840" windowHeight="13140" tabRatio="711" activeTab="5" xr2:uid="{00000000-000D-0000-FFFF-FFFF00000000}"/>
  </bookViews>
  <sheets>
    <sheet name="Assumptions" sheetId="1" r:id="rId1"/>
    <sheet name="Debt Sch" sheetId="6" r:id="rId2"/>
    <sheet name="Depreciation Schedule" sheetId="3" r:id="rId3"/>
    <sheet name="Kayathar RKA P&amp;L" sheetId="9" r:id="rId4"/>
    <sheet name="RKA P&amp;L" sheetId="7" r:id="rId5"/>
    <sheet name="Summary_S1 PSA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0">#REF!</definedName>
    <definedName name="\a" localSheetId="1">#REF!</definedName>
    <definedName name="\a" localSheetId="5">#REF!</definedName>
    <definedName name="\a">#REF!</definedName>
    <definedName name="\b" localSheetId="1">#REF!</definedName>
    <definedName name="\b" localSheetId="5">#REF!</definedName>
    <definedName name="\b">#REF!</definedName>
    <definedName name="\c" localSheetId="1">#REF!</definedName>
    <definedName name="\c" localSheetId="5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SCH1">#REF!</definedName>
    <definedName name="____________________SCH10">#REF!</definedName>
    <definedName name="____________________SCH11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SCH1">#REF!</definedName>
    <definedName name="___________________SCH10">#REF!</definedName>
    <definedName name="___________________SCH11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SCH1">#REF!</definedName>
    <definedName name="__________________SCH10">#REF!</definedName>
    <definedName name="__________________SCH11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SCH1">#REF!</definedName>
    <definedName name="_________________SCH10">#REF!</definedName>
    <definedName name="_________________SCH11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SCH1">#REF!</definedName>
    <definedName name="________________SCH10">#REF!</definedName>
    <definedName name="________________SCH11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SCH1">#REF!</definedName>
    <definedName name="_______________SCH10">#REF!</definedName>
    <definedName name="_______________SCH11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SCH1">#REF!</definedName>
    <definedName name="______________SCH10">#REF!</definedName>
    <definedName name="______________SCH11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SCH1">#REF!</definedName>
    <definedName name="_____________SCH10">#REF!</definedName>
    <definedName name="_____________SCH11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SCH1">#REF!</definedName>
    <definedName name="____________SCH10">#REF!</definedName>
    <definedName name="____________SCH11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SCH1">#REF!</definedName>
    <definedName name="___________SCH10">#REF!</definedName>
    <definedName name="___________SCH11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SCH1">#REF!</definedName>
    <definedName name="__________SCH10">#REF!</definedName>
    <definedName name="__________SCH11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SCH1">#REF!</definedName>
    <definedName name="_________SCH10">#REF!</definedName>
    <definedName name="_________SCH11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XL__ENTER_UNIT">#REF!</definedName>
    <definedName name="________SCH1">#REF!</definedName>
    <definedName name="________SCH10">#REF!</definedName>
    <definedName name="________SCH11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SCH1">#REF!</definedName>
    <definedName name="_______SCH10">#REF!</definedName>
    <definedName name="_______SCH11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'[1]04REL'!#REF!</definedName>
    <definedName name="_______SCH7" localSheetId="1">#REF!</definedName>
    <definedName name="_______SCH7" localSheetId="5">#REF!</definedName>
    <definedName name="_______SCH7">#REF!</definedName>
    <definedName name="_______SCH8" localSheetId="1">#REF!</definedName>
    <definedName name="_______SCH8" localSheetId="5">#REF!</definedName>
    <definedName name="_______SCH8">#REF!</definedName>
    <definedName name="_______SCH9" localSheetId="1">#REF!</definedName>
    <definedName name="_______SCH9" localSheetId="5">#REF!</definedName>
    <definedName name="_______SCH9">#REF!</definedName>
    <definedName name="_______XL__ENTER_UNIT">#REF!</definedName>
    <definedName name="______SCH1">#REF!</definedName>
    <definedName name="______SCH10">#REF!</definedName>
    <definedName name="______SCH11">#REF!</definedName>
    <definedName name="______SCH2">#REF!</definedName>
    <definedName name="______SCH3">#REF!</definedName>
    <definedName name="______SCH4">#REF!</definedName>
    <definedName name="______SCH5">#REF!</definedName>
    <definedName name="______SCH6">'[1]04REL'!#REF!</definedName>
    <definedName name="______SCH7" localSheetId="1">#REF!</definedName>
    <definedName name="______SCH7" localSheetId="5">#REF!</definedName>
    <definedName name="______SCH7">#REF!</definedName>
    <definedName name="______SCH8" localSheetId="1">#REF!</definedName>
    <definedName name="______SCH8" localSheetId="5">#REF!</definedName>
    <definedName name="______SCH8">#REF!</definedName>
    <definedName name="______SCH9" localSheetId="1">#REF!</definedName>
    <definedName name="______SCH9" localSheetId="5">#REF!</definedName>
    <definedName name="______SCH9">#REF!</definedName>
    <definedName name="______XL__ENTER_UNIT">#REF!</definedName>
    <definedName name="_____SCH1">#REF!</definedName>
    <definedName name="_____SCH10">#REF!</definedName>
    <definedName name="_____SCH11">#REF!</definedName>
    <definedName name="_____SCH2">#REF!</definedName>
    <definedName name="_____SCH3">#REF!</definedName>
    <definedName name="_____SCH4">#REF!</definedName>
    <definedName name="_____SCH5">#REF!</definedName>
    <definedName name="_____SCH6">'[1]04REL'!#REF!</definedName>
    <definedName name="_____SCH7" localSheetId="1">#REF!</definedName>
    <definedName name="_____SCH7" localSheetId="5">#REF!</definedName>
    <definedName name="_____SCH7">#REF!</definedName>
    <definedName name="_____SCH8" localSheetId="1">#REF!</definedName>
    <definedName name="_____SCH8" localSheetId="5">#REF!</definedName>
    <definedName name="_____SCH8">#REF!</definedName>
    <definedName name="_____SCH9" localSheetId="1">#REF!</definedName>
    <definedName name="_____SCH9" localSheetId="5">#REF!</definedName>
    <definedName name="_____SCH9">#REF!</definedName>
    <definedName name="____SCH1">#REF!</definedName>
    <definedName name="____SCH10">#REF!</definedName>
    <definedName name="____SCH11">#REF!</definedName>
    <definedName name="____SCH2">#REF!</definedName>
    <definedName name="____SCH3">#REF!</definedName>
    <definedName name="____SCH4">#REF!</definedName>
    <definedName name="____SCH5">#REF!</definedName>
    <definedName name="____SCH6">'[1]04REL'!#REF!</definedName>
    <definedName name="____SCH7" localSheetId="1">#REF!</definedName>
    <definedName name="____SCH7" localSheetId="5">#REF!</definedName>
    <definedName name="____SCH7">#REF!</definedName>
    <definedName name="____SCH8" localSheetId="1">#REF!</definedName>
    <definedName name="____SCH8" localSheetId="5">#REF!</definedName>
    <definedName name="____SCH8">#REF!</definedName>
    <definedName name="____SCH9" localSheetId="1">#REF!</definedName>
    <definedName name="____SCH9" localSheetId="5">#REF!</definedName>
    <definedName name="____SCH9">#REF!</definedName>
    <definedName name="____XL__ENTER_UNIT">#REF!</definedName>
    <definedName name="___INDEX_SHEET___ASAP_Utilities">#REF!</definedName>
    <definedName name="___SCH1">#REF!</definedName>
    <definedName name="___SCH10">#REF!</definedName>
    <definedName name="___SCH11">#REF!</definedName>
    <definedName name="___SCH2">#REF!</definedName>
    <definedName name="___SCH3">#REF!</definedName>
    <definedName name="___SCH4">#REF!</definedName>
    <definedName name="___SCH5">#REF!</definedName>
    <definedName name="___SCH6">'[1]04REL'!#REF!</definedName>
    <definedName name="___SCH7" localSheetId="1">#REF!</definedName>
    <definedName name="___SCH7" localSheetId="5">#REF!</definedName>
    <definedName name="___SCH7">#REF!</definedName>
    <definedName name="___SCH8" localSheetId="1">#REF!</definedName>
    <definedName name="___SCH8" localSheetId="5">#REF!</definedName>
    <definedName name="___SCH8">#REF!</definedName>
    <definedName name="___SCH9" localSheetId="1">#REF!</definedName>
    <definedName name="___SCH9" localSheetId="5">#REF!</definedName>
    <definedName name="___SCH9">#REF!</definedName>
    <definedName name="___XL__ENTER_UNIT">#REF!</definedName>
    <definedName name="__123Graph_A" hidden="1">[2]CE!#REF!</definedName>
    <definedName name="__123Graph_ASTNPLF" hidden="1">[2]CE!#REF!</definedName>
    <definedName name="__123Graph_B" hidden="1">[2]CE!#REF!</definedName>
    <definedName name="__123Graph_BSTNPLF" hidden="1">[2]CE!#REF!</definedName>
    <definedName name="__123Graph_C" hidden="1">[2]CE!#REF!</definedName>
    <definedName name="__123Graph_CSTNPLF" hidden="1">[2]CE!#REF!</definedName>
    <definedName name="__123Graph_X" hidden="1">[2]CE!#REF!</definedName>
    <definedName name="__123Graph_XSTNPLF" hidden="1">[2]CE!#REF!</definedName>
    <definedName name="__DOWN_10__GOTO" localSheetId="1">#REF!</definedName>
    <definedName name="__DOWN_10__GOTO" localSheetId="5">#REF!</definedName>
    <definedName name="__DOWN_10__GOTO">#REF!</definedName>
    <definedName name="__ES84__EW84_0." localSheetId="1">#REF!</definedName>
    <definedName name="__ES84__EW84_0." localSheetId="5">#REF!</definedName>
    <definedName name="__ES84__EW84_0.">#REF!</definedName>
    <definedName name="__FDS_HYPERLINK_TOGGLE_STATE__" hidden="1">"ON"</definedName>
    <definedName name="__GOTO_EP84__AV" localSheetId="1">#REF!</definedName>
    <definedName name="__GOTO_EP84__AV">#REF!</definedName>
    <definedName name="__SCH1">#REF!</definedName>
    <definedName name="__SCH10">#REF!</definedName>
    <definedName name="__SCH11">#REF!</definedName>
    <definedName name="__SCH2">#REF!</definedName>
    <definedName name="__SCH3">#REF!</definedName>
    <definedName name="__SCH4">#REF!</definedName>
    <definedName name="__SCH5">#REF!</definedName>
    <definedName name="__SCH6">'[1]04REL'!#REF!</definedName>
    <definedName name="__SCH7" localSheetId="1">#REF!</definedName>
    <definedName name="__SCH7" localSheetId="5">#REF!</definedName>
    <definedName name="__SCH7">#REF!</definedName>
    <definedName name="__SCH8" localSheetId="1">#REF!</definedName>
    <definedName name="__SCH8" localSheetId="5">#REF!</definedName>
    <definedName name="__SCH8">#REF!</definedName>
    <definedName name="__SCH9" localSheetId="1">#REF!</definedName>
    <definedName name="__SCH9" localSheetId="5">#REF!</definedName>
    <definedName name="__SCH9">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>#REF!</definedName>
    <definedName name="_6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1">#REF!</definedName>
    <definedName name="_D___GOTO_GK112" localSheetId="5">#REF!</definedName>
    <definedName name="_D___GOTO_GK112">#REF!</definedName>
    <definedName name="_D___GOTO_GK56_" localSheetId="1">#REF!</definedName>
    <definedName name="_D___GOTO_GK56_" localSheetId="5">#REF!</definedName>
    <definedName name="_D___GOTO_GK56_">#REF!</definedName>
    <definedName name="_D__D___L___GOT" localSheetId="1">#REF!</definedName>
    <definedName name="_D__D___L___GOT" localSheetId="5">#REF!</definedName>
    <definedName name="_D__D___L___GOT">#REF!</definedName>
    <definedName name="_D__D__D___D__D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>#REF!</definedName>
    <definedName name="_eva97">#REF!</definedName>
    <definedName name="_fcf97">#REF!</definedName>
    <definedName name="_Fill" hidden="1">#REF!</definedName>
    <definedName name="_FROM__R__R__08">#REF!</definedName>
    <definedName name="_FROM__R__R__16">#REF!</definedName>
    <definedName name="_FSTEMP_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1">#REF!</definedName>
    <definedName name="_PLF__R__R___ES" localSheetId="5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1">#REF!</definedName>
    <definedName name="_RV_DOWN_6__LEF" localSheetId="5">#REF!</definedName>
    <definedName name="_RV_DOWN_6__LEF">#REF!</definedName>
    <definedName name="_SCH1" localSheetId="1">#REF!</definedName>
    <definedName name="_SCH1" localSheetId="5">#REF!</definedName>
    <definedName name="_SCH1">#REF!</definedName>
    <definedName name="_SCH10">#REF!</definedName>
    <definedName name="_SCH11">#REF!</definedName>
    <definedName name="_SCH12">[4]BSPL!$A$655:$D$692</definedName>
    <definedName name="_sch13">[4]BSPL!$A$694:$D$744</definedName>
    <definedName name="_SCH2" localSheetId="1">#REF!</definedName>
    <definedName name="_SCH2" localSheetId="5">#REF!</definedName>
    <definedName name="_SCH2">#REF!</definedName>
    <definedName name="_SCH3" localSheetId="1">#REF!</definedName>
    <definedName name="_SCH3" localSheetId="5">#REF!</definedName>
    <definedName name="_SCH3">#REF!</definedName>
    <definedName name="_SCH4" localSheetId="1">#REF!</definedName>
    <definedName name="_SCH4" localSheetId="5">#REF!</definedName>
    <definedName name="_SCH4">#REF!</definedName>
    <definedName name="_SCH5">#REF!</definedName>
    <definedName name="_SCH6">'[1]04REL'!#REF!</definedName>
    <definedName name="_SCH7" localSheetId="1">#REF!</definedName>
    <definedName name="_SCH7" localSheetId="5">#REF!</definedName>
    <definedName name="_SCH7">#REF!</definedName>
    <definedName name="_SCH8" localSheetId="1">#REF!</definedName>
    <definedName name="_SCH8" localSheetId="5">#REF!</definedName>
    <definedName name="_SCH8">#REF!</definedName>
    <definedName name="_SCH9" localSheetId="1">#REF!</definedName>
    <definedName name="_SCH9" localSheetId="5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1">#REF!</definedName>
    <definedName name="_SUM_DI14..DI21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1">#REF!</definedName>
    <definedName name="_U__END__U__D__" localSheetId="5">#REF!</definedName>
    <definedName name="_U__END__U__D__">#REF!</definedName>
    <definedName name="_U__U__END__U__">#REF!</definedName>
    <definedName name="_U__U__U__U__U_">#REF!</definedName>
    <definedName name="_WGPD_GOTO_CO10">#REF!</definedName>
    <definedName name="A">#REF!</definedName>
    <definedName name="A_GEN1.DomesticCompFlg">[6]GENERAL!$AQ$15</definedName>
    <definedName name="A_GEN1.ResidentialStatus">[6]GENERAL!$U$32</definedName>
    <definedName name="AA" localSheetId="1">#REF!</definedName>
    <definedName name="AA" localSheetId="5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1">#REF!</definedName>
    <definedName name="achscs" localSheetId="5">#REF!</definedName>
    <definedName name="achscs">#REF!</definedName>
    <definedName name="ACL">#REF!</definedName>
    <definedName name="Acq">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1">#REF!</definedName>
    <definedName name="adsds" localSheetId="5">#REF!</definedName>
    <definedName name="adsds">#REF!</definedName>
    <definedName name="afasfasf" localSheetId="1">#REF!</definedName>
    <definedName name="afasfasf" localSheetId="5">#REF!</definedName>
    <definedName name="afasfasf">#REF!</definedName>
    <definedName name="AggregateInc">[6]Calculator!$M$3</definedName>
    <definedName name="ahjsdhjkdh" localSheetId="1">#REF!</definedName>
    <definedName name="ahjsdhjkdh" localSheetId="5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1">#REF!</definedName>
    <definedName name="asaaa" localSheetId="5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1">#REF!</definedName>
    <definedName name="atyfafa" localSheetId="5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1">#REF!</definedName>
    <definedName name="AUX_Base" localSheetId="5">#REF!</definedName>
    <definedName name="AUX_Base">#REF!</definedName>
    <definedName name="Aux_Sen" localSheetId="1">#REF!</definedName>
    <definedName name="Aux_Sen" localSheetId="5">#REF!</definedName>
    <definedName name="Aux_Sen">#REF!</definedName>
    <definedName name="AV" localSheetId="1">#REF!</definedName>
    <definedName name="AV" localSheetId="5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1">#REF!</definedName>
    <definedName name="b" localSheetId="5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1">#REF!</definedName>
    <definedName name="Base_Case" localSheetId="5">#REF!</definedName>
    <definedName name="Base_Case">#REF!</definedName>
    <definedName name="BASE_DSCR" localSheetId="1">#REF!</definedName>
    <definedName name="BASE_DSCR" localSheetId="5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1">#REF!</definedName>
    <definedName name="bfjksbnf" localSheetId="5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1">#REF!,#REF!</definedName>
    <definedName name="bgbgb" localSheetId="5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1">#REF!</definedName>
    <definedName name="BS" localSheetId="5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1">[26]Schedule1!#REF!</definedName>
    <definedName name="BuiltIn_Print_Area___0" localSheetId="5">[26]Schedule1!#REF!</definedName>
    <definedName name="BuiltIn_Print_Area___0">[26]Schedule1!#REF!</definedName>
    <definedName name="BuiltIn_Print_Area___0___0" localSheetId="1">[27]GROUPING!#REF!</definedName>
    <definedName name="BuiltIn_Print_Area___0___0" localSheetId="5">[27]GROUPING!#REF!</definedName>
    <definedName name="BuiltIn_Print_Area___0___0">[27]GROUPING!#REF!</definedName>
    <definedName name="BuiltIn_Print_Area___0___0___0___0">[27]GROUPING!#REF!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1">'[28]2000-01'!#REF!</definedName>
    <definedName name="C_Data_1" localSheetId="5">'[28]2000-01'!#REF!</definedName>
    <definedName name="C_Data_1">'[28]2000-01'!#REF!</definedName>
    <definedName name="C_Data_2" localSheetId="1">'[28]2000-01'!#REF!</definedName>
    <definedName name="C_Data_2" localSheetId="5">'[28]2000-01'!#REF!</definedName>
    <definedName name="C_Data_2">'[28]2000-01'!#REF!</definedName>
    <definedName name="C_Eligible">'[6]80G'!$L$1</definedName>
    <definedName name="CAL_MEL" localSheetId="1">#REF!</definedName>
    <definedName name="CAL_MEL" localSheetId="5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1">#REF!</definedName>
    <definedName name="CAP_Base" localSheetId="5">#REF!</definedName>
    <definedName name="CAP_Base">#REF!</definedName>
    <definedName name="CAP_SEN" localSheetId="1">#REF!</definedName>
    <definedName name="CAP_SEN" localSheetId="5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1">#REF!</definedName>
    <definedName name="CM10_C_RIGHT___" localSheetId="5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1">#REF!</definedName>
    <definedName name="COAL_ESC_BASE" localSheetId="5">#REF!</definedName>
    <definedName name="COAL_ESC_BASE">#REF!</definedName>
    <definedName name="COAL_ESC_SEN" localSheetId="1">#REF!</definedName>
    <definedName name="COAL_ESC_SEN" localSheetId="5">#REF!</definedName>
    <definedName name="COAL_ESC_SEN">#REF!</definedName>
    <definedName name="CoalSPV_DSCR" localSheetId="1">#REF!</definedName>
    <definedName name="CoalSPV_DSCR" localSheetId="5">#REF!</definedName>
    <definedName name="CoalSPV_DSCR">#REF!</definedName>
    <definedName name="COALSPV_FLAG" localSheetId="1">[11]Input!#REF!</definedName>
    <definedName name="COALSPV_FLAG" localSheetId="5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1">#REF!</definedName>
    <definedName name="CUF_.5" localSheetId="5">#REF!</definedName>
    <definedName name="CUF_.5">#REF!</definedName>
    <definedName name="CUF_1" localSheetId="1">#REF!</definedName>
    <definedName name="CUF_1" localSheetId="5">#REF!</definedName>
    <definedName name="CUF_1">#REF!</definedName>
    <definedName name="CUF_1.5" localSheetId="1">#REF!</definedName>
    <definedName name="CUF_1.5" localSheetId="5">#REF!</definedName>
    <definedName name="CUF_1.5">#REF!</definedName>
    <definedName name="CUF_2">#REF!</definedName>
    <definedName name="CUF_2.5">#REF!</definedName>
    <definedName name="CUF_3">#REF!</definedName>
    <definedName name="CUF_P50">#REF!</definedName>
    <definedName name="CUF_P75">#REF!</definedName>
    <definedName name="Cum_Int">#REF!</definedName>
    <definedName name="CurA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1">#REF!</definedName>
    <definedName name="CV" localSheetId="5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1">#REF!</definedName>
    <definedName name="D_1" localSheetId="5">#REF!</definedName>
    <definedName name="D_1">#REF!</definedName>
    <definedName name="D_2" localSheetId="1">#REF!</definedName>
    <definedName name="D_2" localSheetId="5">#REF!</definedName>
    <definedName name="D_2">#REF!</definedName>
    <definedName name="D_3" localSheetId="1">#REF!</definedName>
    <definedName name="D_3" localSheetId="5">#REF!</definedName>
    <definedName name="D_3">#REF!</definedName>
    <definedName name="D_4">#REF!</definedName>
    <definedName name="D_5">#REF!</definedName>
    <definedName name="D_6">#REF!</definedName>
    <definedName name="D_RANGE">#REF!</definedName>
    <definedName name="d1_range">#REF!</definedName>
    <definedName name="dadfsdf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1">#REF!,#REF!</definedName>
    <definedName name="dargad" localSheetId="5">#REF!,#REF!</definedName>
    <definedName name="dargad">#REF!,#REF!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1">#REF!</definedName>
    <definedName name="_xlnm.Database" localSheetId="5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1">'[39]04REL'!#REF!</definedName>
    <definedName name="ddd" localSheetId="5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1">#REF!</definedName>
    <definedName name="Deal" localSheetId="5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1">#REF!</definedName>
    <definedName name="Dec_Proj_Cost" localSheetId="5">#REF!</definedName>
    <definedName name="Dec_Proj_Cost">#REF!</definedName>
    <definedName name="ded_usincome">[6]Calculator!$Q$7</definedName>
    <definedName name="Deg_.25" localSheetId="1">#REF!</definedName>
    <definedName name="Deg_.25" localSheetId="5">#REF!</definedName>
    <definedName name="Deg_.25">#REF!</definedName>
    <definedName name="Deg_.5" localSheetId="1">#REF!</definedName>
    <definedName name="Deg_.5" localSheetId="5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1">#REF!</definedName>
    <definedName name="DER_1" localSheetId="5">#REF!</definedName>
    <definedName name="DER_1">#REF!</definedName>
    <definedName name="DER_2" localSheetId="1">#REF!</definedName>
    <definedName name="DER_2" localSheetId="5">#REF!</definedName>
    <definedName name="DER_2">#REF!</definedName>
    <definedName name="DER_3" localSheetId="1">#REF!</definedName>
    <definedName name="DER_3" localSheetId="5">#REF!</definedName>
    <definedName name="DER_3">#REF!</definedName>
    <definedName name="DER_4">#REF!</definedName>
    <definedName name="DER_5">#REF!</definedName>
    <definedName name="DER_6">#REF!</definedName>
    <definedName name="DETAIL">#REF!</definedName>
    <definedName name="dgxgfzdg" localSheetId="1">#REF!,#REF!</definedName>
    <definedName name="dgxgfzdg" localSheetId="5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1">#REF!</definedName>
    <definedName name="DIFF_SPV" localSheetId="5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1">#REF!</definedName>
    <definedName name="ds" localSheetId="5">#REF!</definedName>
    <definedName name="ds">#REF!</definedName>
    <definedName name="dsd" localSheetId="1">#REF!</definedName>
    <definedName name="dsd" localSheetId="5">#REF!</definedName>
    <definedName name="dsd">#REF!</definedName>
    <definedName name="dsfdfADF" localSheetId="1">#REF!</definedName>
    <definedName name="dsfdfADF" localSheetId="5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1">#REF!,#REF!</definedName>
    <definedName name="dxzxxx" localSheetId="5">#REF!,#REF!</definedName>
    <definedName name="dxzxxx">#REF!,#REF!</definedName>
    <definedName name="E" localSheetId="1">#REF!</definedName>
    <definedName name="E" localSheetId="5">#REF!</definedName>
    <definedName name="E">#REF!</definedName>
    <definedName name="E_1" localSheetId="1">#REF!</definedName>
    <definedName name="E_1" localSheetId="5">#REF!</definedName>
    <definedName name="E_1">#REF!</definedName>
    <definedName name="E_2" localSheetId="1">#REF!</definedName>
    <definedName name="E_2" localSheetId="5">#REF!</definedName>
    <definedName name="E_2">#REF!</definedName>
    <definedName name="E_3">#REF!</definedName>
    <definedName name="E_315MVA_Addl_Page1">#REF!</definedName>
    <definedName name="E_315MVA_Addl_Page2">#REF!</definedName>
    <definedName name="E_4">#REF!</definedName>
    <definedName name="E_5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1">[11]Input!#REF!</definedName>
    <definedName name="ECB" localSheetId="5">[11]Input!#REF!</definedName>
    <definedName name="ECB">[11]Input!#REF!</definedName>
    <definedName name="ECB_BASE" localSheetId="1">[11]Input!#REF!</definedName>
    <definedName name="ECB_BASE" localSheetId="5">[11]Input!#REF!</definedName>
    <definedName name="ECB_BASE">[11]Input!#REF!</definedName>
    <definedName name="ECB_REFI" localSheetId="1">[11]Input!#REF!</definedName>
    <definedName name="ECB_REFI" localSheetId="5">[11]Input!#REF!</definedName>
    <definedName name="ECB_REFI">[11]Input!#REF!</definedName>
    <definedName name="Eco_Transport_Base" localSheetId="1">#REF!</definedName>
    <definedName name="Eco_Transport_Base" localSheetId="5">#REF!</definedName>
    <definedName name="Eco_Transport_Base">#REF!</definedName>
    <definedName name="Eco_Transport_SEN" localSheetId="1">#REF!</definedName>
    <definedName name="Eco_Transport_SEN" localSheetId="5">#REF!</definedName>
    <definedName name="Eco_Transport_SEN">#REF!</definedName>
    <definedName name="ECOEsc_Base" localSheetId="1">#REF!</definedName>
    <definedName name="ECOEsc_Base" localSheetId="5">#REF!</definedName>
    <definedName name="ECOEsc_Base">#REF!</definedName>
    <definedName name="ECOEsc_SEN">#REF!</definedName>
    <definedName name="ECOPrice_Base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1">#REF!</definedName>
    <definedName name="egtdgtgxdg" localSheetId="5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1">#REF!</definedName>
    <definedName name="EmpExp_Base" localSheetId="5">#REF!</definedName>
    <definedName name="EmpExp_Base">#REF!</definedName>
    <definedName name="EmpExp_SEN" localSheetId="1">#REF!</definedName>
    <definedName name="EmpExp_SEN" localSheetId="5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1">#REF!</definedName>
    <definedName name="EscAGExp" localSheetId="5">#REF!</definedName>
    <definedName name="EscAGExp">#REF!</definedName>
    <definedName name="EscCoal" localSheetId="1">#REF!</definedName>
    <definedName name="EscCoal" localSheetId="5">#REF!</definedName>
    <definedName name="EscCoal">#REF!</definedName>
    <definedName name="EscDomGas" localSheetId="1">#REF!</definedName>
    <definedName name="EscDomGas" localSheetId="5">#REF!</definedName>
    <definedName name="EscDomGas">#REF!</definedName>
    <definedName name="EscEmpExp">#REF!</definedName>
    <definedName name="EscLNGas">#REF!</definedName>
    <definedName name="EscOil">#REF!</definedName>
    <definedName name="EscOtherIncome">#REF!</definedName>
    <definedName name="EscOtherVarCharge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>#REF!</definedName>
    <definedName name="EXC">#REF!</definedName>
    <definedName name="Excel_BuiltIn_Print_Area_3">[50]EPS!#REF!</definedName>
    <definedName name="exfactcost">'[47]HI-TARGE'!#REF!</definedName>
    <definedName name="EXH" localSheetId="1">#REF!</definedName>
    <definedName name="EXH" localSheetId="5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1">#REF!</definedName>
    <definedName name="F" localSheetId="5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1">#REF!</definedName>
    <definedName name="FAX" localSheetId="5">#REF!</definedName>
    <definedName name="FAX">#REF!</definedName>
    <definedName name="fbdfhsh" localSheetId="1">#REF!</definedName>
    <definedName name="fbdfhsh" localSheetId="5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1">#REF!</definedName>
    <definedName name="fdfdgdgd" localSheetId="5">#REF!</definedName>
    <definedName name="fdfdgdgd">#REF!</definedName>
    <definedName name="fdsfdsf" localSheetId="1">#REF!</definedName>
    <definedName name="fdsfdsf" localSheetId="5">#REF!</definedName>
    <definedName name="fdsfdsf">#REF!</definedName>
    <definedName name="fdxfds" localSheetId="1">#REF!</definedName>
    <definedName name="fdxfds" localSheetId="5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1">#REF!</definedName>
    <definedName name="fgdgchjgd">#REF!</definedName>
    <definedName name="fgvdata">#REF!</definedName>
    <definedName name="Fhandling">[11]Assumptions!$D$61</definedName>
    <definedName name="FHandling_Base" localSheetId="1">#REF!</definedName>
    <definedName name="FHandling_Base" localSheetId="5">#REF!</definedName>
    <definedName name="FHandling_Base">#REF!</definedName>
    <definedName name="FHandling_SEN" localSheetId="1">#REF!</definedName>
    <definedName name="FHandling_SEN" localSheetId="5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1">#REF!</definedName>
    <definedName name="Forex_Base" localSheetId="5">#REF!</definedName>
    <definedName name="Forex_Base">#REF!</definedName>
    <definedName name="Forex_SEN" localSheetId="1">#REF!</definedName>
    <definedName name="Forex_SEN" localSheetId="5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1">#REF!</definedName>
    <definedName name="fssdzfzsdffzsdf" localSheetId="5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1">#REF!</definedName>
    <definedName name="Fuel_Base" localSheetId="5">#REF!</definedName>
    <definedName name="Fuel_Base">#REF!</definedName>
    <definedName name="Fuel_Exp_CY" localSheetId="1">#REF!</definedName>
    <definedName name="Fuel_Exp_CY" localSheetId="5">#REF!</definedName>
    <definedName name="Fuel_Exp_CY">#REF!</definedName>
    <definedName name="Fuel_Exp_EY" localSheetId="1">#REF!</definedName>
    <definedName name="Fuel_Exp_EY" localSheetId="5">#REF!</definedName>
    <definedName name="Fuel_Exp_EY">#REF!</definedName>
    <definedName name="Fuel_Exp_PY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1">#REF!</definedName>
    <definedName name="Fx_Base" localSheetId="5">#REF!</definedName>
    <definedName name="Fx_Base">#REF!</definedName>
    <definedName name="Fx_SEN" localSheetId="1">#REF!</definedName>
    <definedName name="Fx_SEN" localSheetId="5">#REF!</definedName>
    <definedName name="Fx_SEN">#REF!</definedName>
    <definedName name="fy" localSheetId="1">#REF!</definedName>
    <definedName name="fy" localSheetId="5">#REF!</definedName>
    <definedName name="fy">#REF!</definedName>
    <definedName name="FYMonths">[29]ReportsParameters!$B$42</definedName>
    <definedName name="g" localSheetId="1">#REF!</definedName>
    <definedName name="g" localSheetId="5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1">#REF!</definedName>
    <definedName name="gaga" localSheetId="5">#REF!</definedName>
    <definedName name="gaga">#REF!</definedName>
    <definedName name="gahZh">#REF!</definedName>
    <definedName name="gajkahuah">#REF!</definedName>
    <definedName name="gasgdskhdu" localSheetId="1">#REF!,#REF!</definedName>
    <definedName name="gasgdskhdu" localSheetId="5">#REF!,#REF!</definedName>
    <definedName name="gasgdskhdu">#REF!,#REF!</definedName>
    <definedName name="gdgfg" localSheetId="1">#REF!,#REF!</definedName>
    <definedName name="gdgfg" localSheetId="5">#REF!,#REF!</definedName>
    <definedName name="gdgfg">#REF!,#REF!</definedName>
    <definedName name="gf" localSheetId="1">#REF!</definedName>
    <definedName name="gf" localSheetId="5">#REF!</definedName>
    <definedName name="gf">#REF!</definedName>
    <definedName name="gfg" localSheetId="1">#REF!</definedName>
    <definedName name="gfg" localSheetId="5">#REF!</definedName>
    <definedName name="gfg">#REF!</definedName>
    <definedName name="gggggg">'[33]ANNX -II'!$X$20:$AG$41</definedName>
    <definedName name="ghhfh" localSheetId="1">#REF!</definedName>
    <definedName name="ghhfh" localSheetId="5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1">#REF!</definedName>
    <definedName name="GR" localSheetId="5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1">#REF!</definedName>
    <definedName name="gshjgshgs" localSheetId="5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1">#REF!,#REF!</definedName>
    <definedName name="gydgdg" localSheetId="5">#REF!,#REF!</definedName>
    <definedName name="gydgdg">#REF!,#REF!</definedName>
    <definedName name="h" localSheetId="1">'[55]04REL'!#REF!</definedName>
    <definedName name="h" localSheetId="5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1">#REF!</definedName>
    <definedName name="hahshuis" localSheetId="5">#REF!</definedName>
    <definedName name="hahshuis">#REF!</definedName>
    <definedName name="halol">[56]HALOL!$A$10:$D$182</definedName>
    <definedName name="hasnain" localSheetId="1">#REF!</definedName>
    <definedName name="hasnain" localSheetId="5">#REF!</definedName>
    <definedName name="hasnain">#REF!</definedName>
    <definedName name="hdhdjh" localSheetId="1">#REF!</definedName>
    <definedName name="hdhdjh" localSheetId="5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1">'[39]04REL'!#REF!</definedName>
    <definedName name="hgtfhdh" localSheetId="5">'[39]04REL'!#REF!</definedName>
    <definedName name="hgtfhdh">'[39]04REL'!#REF!</definedName>
    <definedName name="hhhuh" localSheetId="1">#REF!</definedName>
    <definedName name="hhhuh" localSheetId="5">#REF!</definedName>
    <definedName name="hhhuh">#REF!</definedName>
    <definedName name="hHzhzh" localSheetId="1">#REF!</definedName>
    <definedName name="hHzhzh" localSheetId="5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1">#REF!</definedName>
    <definedName name="hshhxuhxu" localSheetId="5">#REF!</definedName>
    <definedName name="hshhxuhxu">#REF!</definedName>
    <definedName name="hvdc.avlblty">'[15]PPT Inputs'!$C$27</definedName>
    <definedName name="HWSheet">1</definedName>
    <definedName name="i" localSheetId="1">#REF!</definedName>
    <definedName name="i" localSheetId="5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1">#REF!</definedName>
    <definedName name="idc_copy_3" localSheetId="5">#REF!</definedName>
    <definedName name="idc_copy_3">#REF!</definedName>
    <definedName name="idc_diff" localSheetId="1">#REF!</definedName>
    <definedName name="idc_diff" localSheetId="5">#REF!</definedName>
    <definedName name="idc_diff">#REF!</definedName>
    <definedName name="IDC_DIFF_1" localSheetId="1">'[23]Capex Scheduling'!#REF!</definedName>
    <definedName name="IDC_DIFF_1" localSheetId="5">'[23]Capex Scheduling'!#REF!</definedName>
    <definedName name="IDC_DIFF_1">'[23]Capex Scheduling'!#REF!</definedName>
    <definedName name="idc_p">'[58]Debt Scheduling'!$E$50:$Q$50</definedName>
    <definedName name="idc_paste" localSheetId="1">#REF!</definedName>
    <definedName name="idc_paste" localSheetId="5">#REF!</definedName>
    <definedName name="idc_paste">#REF!</definedName>
    <definedName name="idc_paste_3" localSheetId="1">#REF!</definedName>
    <definedName name="idc_paste_3" localSheetId="5">#REF!</definedName>
    <definedName name="idc_paste_3">#REF!</definedName>
    <definedName name="IdcDiff" localSheetId="1">'[23]Capex Scheduling'!#REF!</definedName>
    <definedName name="IdcDiff" localSheetId="5">'[23]Capex Scheduling'!#REF!</definedName>
    <definedName name="IdcDiff">'[23]Capex Scheduling'!#REF!</definedName>
    <definedName name="IDCDifference" localSheetId="1">'[23]Capex Scheduling'!#REF!</definedName>
    <definedName name="IDCDifference" localSheetId="5">'[23]Capex Scheduling'!#REF!</definedName>
    <definedName name="IDCDifference">'[23]Capex Scheduling'!#REF!</definedName>
    <definedName name="idcPaste1">'[23]Capex Scheduling'!$F$35:$W$35</definedName>
    <definedName name="Inc_Proj_Cost" localSheetId="1">#REF!</definedName>
    <definedName name="Inc_Proj_Cost" localSheetId="5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1">'[60]LTC-Insulation_Volume'!#REF!</definedName>
    <definedName name="Insulation_Volume" localSheetId="5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1">#REF!</definedName>
    <definedName name="IntRate_100" localSheetId="5">#REF!</definedName>
    <definedName name="IntRate_100">#REF!</definedName>
    <definedName name="IntRate_11">[41]Assumptions!$B$11</definedName>
    <definedName name="IntRate_12">[41]Assumptions!$B$12</definedName>
    <definedName name="IntRate_25" localSheetId="1">#REF!</definedName>
    <definedName name="IntRate_25" localSheetId="5">#REF!</definedName>
    <definedName name="IntRate_25">#REF!</definedName>
    <definedName name="IntRate_50" localSheetId="1">#REF!</definedName>
    <definedName name="IntRate_50" localSheetId="5">#REF!</definedName>
    <definedName name="IntRate_50">#REF!</definedName>
    <definedName name="IntRate_75" localSheetId="1">#REF!</definedName>
    <definedName name="IntRate_75" localSheetId="5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1">#REF!</definedName>
    <definedName name="IntRate12" localSheetId="5">#REF!</definedName>
    <definedName name="IntRate12">#REF!</definedName>
    <definedName name="IntRate13" localSheetId="1">#REF!</definedName>
    <definedName name="IntRate13" localSheetId="5">#REF!</definedName>
    <definedName name="IntRate13">#REF!</definedName>
    <definedName name="IntRateWC11" localSheetId="1">#REF!</definedName>
    <definedName name="IntRateWC11" localSheetId="5">#REF!</definedName>
    <definedName name="IntRateWC11">#REF!</definedName>
    <definedName name="IntRateWC12">#REF!</definedName>
    <definedName name="IntRateWC13">#REF!</definedName>
    <definedName name="Intt_Charge_cY" localSheetId="1">#REF!,#REF!</definedName>
    <definedName name="Intt_Charge_cY" localSheetId="5">#REF!,#REF!</definedName>
    <definedName name="Intt_Charge_cY">#REF!,#REF!</definedName>
    <definedName name="Intt_Charge_cy_1">'[62]A 3.7'!$H$35,'[62]A 3.7'!$H$44</definedName>
    <definedName name="Intt_Charge_eY" localSheetId="1">#REF!,#REF!</definedName>
    <definedName name="Intt_Charge_eY" localSheetId="5">#REF!,#REF!</definedName>
    <definedName name="Intt_Charge_eY">#REF!,#REF!</definedName>
    <definedName name="Intt_Charge_ey_1">'[62]A 3.7'!$I$35,'[62]A 3.7'!$I$44</definedName>
    <definedName name="Intt_Charge_PY" localSheetId="1">#REF!,#REF!</definedName>
    <definedName name="Intt_Charge_PY" localSheetId="5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1">#REF!</definedName>
    <definedName name="IsCircular" localSheetId="5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1">#REF!</definedName>
    <definedName name="j" localSheetId="5">#REF!</definedName>
    <definedName name="j">#REF!</definedName>
    <definedName name="JDCL_MISC">#REF!</definedName>
    <definedName name="jjjj">#REF!</definedName>
    <definedName name="jjkjklj" localSheetId="1">#REF!,#REF!</definedName>
    <definedName name="jjkjklj" localSheetId="5">#REF!,#REF!</definedName>
    <definedName name="jjkjklj">#REF!,#REF!</definedName>
    <definedName name="jjskjsklj" localSheetId="1">#REF!</definedName>
    <definedName name="jjskjsklj" localSheetId="5">#REF!</definedName>
    <definedName name="jjskjsklj">#REF!</definedName>
    <definedName name="jsdkf3" localSheetId="1">#REF!</definedName>
    <definedName name="jsdkf3" localSheetId="5">#REF!</definedName>
    <definedName name="jsdkf3">#REF!</definedName>
    <definedName name="jsjssij" localSheetId="1">#REF!</definedName>
    <definedName name="jsjssij" localSheetId="5">#REF!</definedName>
    <definedName name="jsjssij">#REF!</definedName>
    <definedName name="k">#REF!</definedName>
    <definedName name="K2000_">#N/A</definedName>
    <definedName name="Kettex">#REF!</definedName>
    <definedName name="kettex98">#REF!</definedName>
    <definedName name="kishor" localSheetId="1">#REF!</definedName>
    <definedName name="kishor" localSheetId="5">#REF!</definedName>
    <definedName name="kishor">#REF!</definedName>
    <definedName name="kk">#REF!</definedName>
    <definedName name="kkJJ" localSheetId="1">#REF!</definedName>
    <definedName name="kkJJ" localSheetId="5">#REF!</definedName>
    <definedName name="kkJJ">#REF!</definedName>
    <definedName name="kkk">#REF!</definedName>
    <definedName name="Korea_Telecom">[16]List_ratios!#REF!</definedName>
    <definedName name="ksokskosk" localSheetId="1">#REF!</definedName>
    <definedName name="ksokskosk" localSheetId="5">#REF!</definedName>
    <definedName name="ksokskosk">#REF!</definedName>
    <definedName name="kv.avlblty">'[15]PPT Inputs'!$C$28</definedName>
    <definedName name="l" localSheetId="1">#REF!</definedName>
    <definedName name="l" localSheetId="5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1">#REF!</definedName>
    <definedName name="llJkljl" localSheetId="5">#REF!</definedName>
    <definedName name="llJkljl">#REF!</definedName>
    <definedName name="Loan_Amount">#REF!</definedName>
    <definedName name="loan_cntr">'[65]Capital Cost'!$A$111:$IV$111</definedName>
    <definedName name="Loan_CoalSPV" localSheetId="1">#REF!</definedName>
    <definedName name="Loan_CoalSPV" localSheetId="5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1">#REF!</definedName>
    <definedName name="LTR_M_NEW" localSheetId="5">#REF!</definedName>
    <definedName name="LTR_M_NEW">#REF!</definedName>
    <definedName name="LTR_MOR" localSheetId="1">#REF!</definedName>
    <definedName name="LTR_MOR" localSheetId="5">#REF!</definedName>
    <definedName name="LTR_MOR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1">#REF!</definedName>
    <definedName name="m105." localSheetId="5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1">#REF!</definedName>
    <definedName name="Melawan_Transport_Base" localSheetId="5">#REF!</definedName>
    <definedName name="Melawan_Transport_Base">#REF!</definedName>
    <definedName name="Melawan_Transport_SEN" localSheetId="1">#REF!</definedName>
    <definedName name="Melawan_Transport_SEN" localSheetId="5">#REF!</definedName>
    <definedName name="Melawan_Transport_SEN">#REF!</definedName>
    <definedName name="MelawanEsc_Base" localSheetId="1">#REF!</definedName>
    <definedName name="MelawanEsc_Base" localSheetId="5">#REF!</definedName>
    <definedName name="MelawanEsc_Base">#REF!</definedName>
    <definedName name="MelawanEsc_SEN">#REF!</definedName>
    <definedName name="Melawanprice_Base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1">#REF!</definedName>
    <definedName name="Min_SPV" localSheetId="5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1">#REF!</definedName>
    <definedName name="Mix_Eco_Base" localSheetId="5">#REF!</definedName>
    <definedName name="Mix_Eco_Base">#REF!</definedName>
    <definedName name="Mix_Eco_Sen" localSheetId="1">#REF!</definedName>
    <definedName name="Mix_Eco_Sen" localSheetId="5">#REF!</definedName>
    <definedName name="Mix_Eco_Sen">#REF!</definedName>
    <definedName name="MIX_MEL">[11]Assumptions!$C$92</definedName>
    <definedName name="Mix_Melawan_Base" localSheetId="1">#REF!</definedName>
    <definedName name="Mix_Melawan_Base" localSheetId="5">#REF!</definedName>
    <definedName name="Mix_Melawan_Base">#REF!</definedName>
    <definedName name="Mix_Melawan_SEN" localSheetId="1">#REF!</definedName>
    <definedName name="Mix_Melawan_SEN" localSheetId="5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1" hidden="1">[67]CE!#REF!</definedName>
    <definedName name="new" localSheetId="5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1">#REF!</definedName>
    <definedName name="nnkklj" localSheetId="5">#REF!</definedName>
    <definedName name="nnkklj">#REF!</definedName>
    <definedName name="NO_G" localSheetId="1">#REF!</definedName>
    <definedName name="NO_G" localSheetId="5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1">#REF!</definedName>
    <definedName name="O" localSheetId="5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1">#REF!</definedName>
    <definedName name="Olklkk" localSheetId="5">#REF!</definedName>
    <definedName name="Olklkk">#REF!</definedName>
    <definedName name="OM.5" localSheetId="1">#REF!</definedName>
    <definedName name="OM.5" localSheetId="5">#REF!</definedName>
    <definedName name="OM.5">#REF!</definedName>
    <definedName name="OM_1" localSheetId="1">#REF!</definedName>
    <definedName name="OM_1" localSheetId="5">#REF!</definedName>
    <definedName name="OM_1">#REF!</definedName>
    <definedName name="OM_1.5">#REF!</definedName>
    <definedName name="OM_2">#REF!</definedName>
    <definedName name="OM_2.5">#REF!</definedName>
    <definedName name="OM_3">#REF!</definedName>
    <definedName name="ONM_Base">#REF!</definedName>
    <definedName name="ONM_SEN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1">#REF!</definedName>
    <definedName name="PAF_Base" localSheetId="5">#REF!</definedName>
    <definedName name="PAF_Base">#REF!</definedName>
    <definedName name="PAF_SEN" localSheetId="1">#REF!</definedName>
    <definedName name="PAF_SEN" localSheetId="5">#REF!</definedName>
    <definedName name="PAF_SEN">#REF!</definedName>
    <definedName name="PAGE1" localSheetId="1">#REF!</definedName>
    <definedName name="PAGE1" localSheetId="5">#REF!</definedName>
    <definedName name="PAGE1">#REF!</definedName>
    <definedName name="page10">#REF!</definedName>
    <definedName name="PAGE10_6">#REF!</definedName>
    <definedName name="PAGE11_6">#REF!</definedName>
    <definedName name="PAGE12_6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_6">#REF!</definedName>
    <definedName name="page34">#REF!</definedName>
    <definedName name="Page35">#REF!</definedName>
    <definedName name="PAGE4_6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1">#REF!</definedName>
    <definedName name="PASTE_LoanCOALSPV" localSheetId="5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1">#REF!</definedName>
    <definedName name="PC_1" localSheetId="5">#REF!</definedName>
    <definedName name="PC_1">#REF!</definedName>
    <definedName name="PC_2">#REF!</definedName>
    <definedName name="PC_3">#REF!</definedName>
    <definedName name="PC_4">#REF!</definedName>
    <definedName name="PC_5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1">#REF!</definedName>
    <definedName name="PL" localSheetId="5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1">#REF!</definedName>
    <definedName name="PLF_Base" localSheetId="5">#REF!</definedName>
    <definedName name="PLF_Base">#REF!</definedName>
    <definedName name="PLF_SEN" localSheetId="1">#REF!</definedName>
    <definedName name="PLF_SEN" localSheetId="5">#REF!</definedName>
    <definedName name="PLF_SEN">#REF!</definedName>
    <definedName name="Pop_Ratio" localSheetId="1">#REF!</definedName>
    <definedName name="Pop_Ratio" localSheetId="5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1">#REF!</definedName>
    <definedName name="Premium" localSheetId="5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1">#REF!</definedName>
    <definedName name="PRF_1" localSheetId="5">#REF!</definedName>
    <definedName name="PRF_1">#REF!</definedName>
    <definedName name="PRF_2_P1" localSheetId="1">#REF!</definedName>
    <definedName name="PRF_2_P1" localSheetId="5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1">#REF!</definedName>
    <definedName name="_xlnm.Print_Area" localSheetId="5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1">#REF!</definedName>
    <definedName name="PRINT_AREA_MI" localSheetId="5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'[73]A 3.7'!$I$35,'[73]A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1">#REF!</definedName>
    <definedName name="RAUX" localSheetId="5">#REF!</definedName>
    <definedName name="RAUX">#REF!</definedName>
    <definedName name="RAWMAT">'[47]Data Input'!$B$195:$P$272</definedName>
    <definedName name="RBASE" localSheetId="1">#REF!</definedName>
    <definedName name="RBASE" localSheetId="5">#REF!</definedName>
    <definedName name="RBASE">#REF!</definedName>
    <definedName name="RCAP" localSheetId="1">#REF!</definedName>
    <definedName name="RCAP" localSheetId="5">#REF!</definedName>
    <definedName name="RCAP">#REF!</definedName>
    <definedName name="RCERC">#REF!</definedName>
    <definedName name="RCOALCOST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1">#REF!</definedName>
    <definedName name="Red_Tariff_.25" localSheetId="5">#REF!</definedName>
    <definedName name="Red_Tariff_.25">#REF!</definedName>
    <definedName name="Red_Tariff_.5" localSheetId="1">#REF!</definedName>
    <definedName name="Red_Tariff_.5" localSheetId="5">#REF!</definedName>
    <definedName name="Red_Tariff_.5">#REF!</definedName>
    <definedName name="Ref_1">[74]PyrllDeduc!#REF!</definedName>
    <definedName name="Ref_2">[75]Year_End!#REF!</definedName>
    <definedName name="Ref_3">#REF!</definedName>
    <definedName name="Ref_4">'[76]Price Testing - Used - 1'!#REF!</definedName>
    <definedName name="Ref_5">'[76]Price Testing - Used - 1'!#REF!</definedName>
    <definedName name="Ref_6">'[76]Price Testing - Used - 1'!#REF!</definedName>
    <definedName name="refin" localSheetId="1">#REF!</definedName>
    <definedName name="refin" localSheetId="5">#REF!</definedName>
    <definedName name="refin">#REF!</definedName>
    <definedName name="Reinvest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1">#REF!</definedName>
    <definedName name="REsc_Melawan" localSheetId="5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1">#REF!</definedName>
    <definedName name="RFHandling" localSheetId="5">#REF!</definedName>
    <definedName name="RFHandling">#REF!</definedName>
    <definedName name="RFOREX" localSheetId="1">#REF!</definedName>
    <definedName name="RFOREX" localSheetId="5">#REF!</definedName>
    <definedName name="RFOREX">#REF!</definedName>
    <definedName name="RFUEL" localSheetId="1">#REF!</definedName>
    <definedName name="RFUEL" localSheetId="5">#REF!</definedName>
    <definedName name="RFUEL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>#REF!</definedName>
    <definedName name="RMIX">#REF!</definedName>
    <definedName name="ROA">[16]List_ratios!#REF!</definedName>
    <definedName name="ROE">[16]List_ratios!#REF!</definedName>
    <definedName name="RONM" localSheetId="1">#REF!</definedName>
    <definedName name="RONM" localSheetId="5">#REF!</definedName>
    <definedName name="RONM">#REF!</definedName>
    <definedName name="RPAF">#REF!</definedName>
    <definedName name="RPLF">#REF!</definedName>
    <definedName name="rr">[77]STATE!$A$2:$A$65536</definedName>
    <definedName name="rradj">nopatadj/capitaladj</definedName>
    <definedName name="RRTL_Int" localSheetId="1">#REF!</definedName>
    <definedName name="RRTL_Int" localSheetId="5">#REF!</definedName>
    <definedName name="RRTL_Int">#REF!</definedName>
    <definedName name="Rsin">[78]Main!$B$2</definedName>
    <definedName name="RSL" localSheetId="1">#REF!</definedName>
    <definedName name="RSL" localSheetId="5">#REF!</definedName>
    <definedName name="RSL">#REF!</definedName>
    <definedName name="RTariff" localSheetId="1">#REF!</definedName>
    <definedName name="RTariff" localSheetId="5">#REF!</definedName>
    <definedName name="RTariff">#REF!</definedName>
    <definedName name="RTL_BASE" localSheetId="1">[11]Input!#REF!</definedName>
    <definedName name="RTL_BASE" localSheetId="5">[11]Input!#REF!</definedName>
    <definedName name="RTL_BASE">[11]Input!#REF!</definedName>
    <definedName name="RTL_INT_Base" localSheetId="1">#REF!</definedName>
    <definedName name="RTL_INT_Base" localSheetId="5">#REF!</definedName>
    <definedName name="RTL_INT_Base">#REF!</definedName>
    <definedName name="RTL_INT_SEN" localSheetId="1">#REF!</definedName>
    <definedName name="RTL_INT_SEN" localSheetId="5">#REF!</definedName>
    <definedName name="RTL_INT_SEN">#REF!</definedName>
    <definedName name="RTransporation" localSheetId="1">#REF!</definedName>
    <definedName name="RTransporation" localSheetId="5">#REF!</definedName>
    <definedName name="RTransporation">#REF!</definedName>
    <definedName name="RTransport">#REF!</definedName>
    <definedName name="RTransportation">#REF!</definedName>
    <definedName name="S">#REF!</definedName>
    <definedName name="S_0">#REF!</definedName>
    <definedName name="S_0.5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5">#REF!</definedName>
    <definedName name="S_26">#REF!</definedName>
    <definedName name="S_27">#REF!</definedName>
    <definedName name="S_28">#REF!</definedName>
    <definedName name="S_29">#REF!</definedName>
    <definedName name="S_3">#REF!</definedName>
    <definedName name="S_30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[79]Net!#REF!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1">#REF!</definedName>
    <definedName name="sdsdsdsd" localSheetId="5">#REF!</definedName>
    <definedName name="sdsdsdsd">#REF!</definedName>
    <definedName name="sdsfszsfzs" localSheetId="1">#REF!,#REF!</definedName>
    <definedName name="sdsfszsfzs" localSheetId="5">#REF!,#REF!</definedName>
    <definedName name="sdsfszsfzs">#REF!,#REF!</definedName>
    <definedName name="SE_NAME">""</definedName>
    <definedName name="SECOAL" localSheetId="1">#REF!</definedName>
    <definedName name="SECOAL" localSheetId="5">#REF!</definedName>
    <definedName name="SECOAL">#REF!</definedName>
    <definedName name="SECTOR_LIST">[71]SECTOR!$A$2:$A$65536</definedName>
    <definedName name="SELECT" localSheetId="1">#REF!</definedName>
    <definedName name="SELECT" localSheetId="5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1">#REF!</definedName>
    <definedName name="SEOREP" localSheetId="5">#REF!</definedName>
    <definedName name="SEOREP">#REF!</definedName>
    <definedName name="SEREPORT" localSheetId="1">#REF!</definedName>
    <definedName name="SEREPORT" localSheetId="5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[80]SUMMERY!$P$1</definedName>
    <definedName name="shshshsh" localSheetId="1">#REF!,#REF!</definedName>
    <definedName name="shshshsh" localSheetId="5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1">[11]Input!#REF!</definedName>
    <definedName name="SL" localSheetId="5">[11]Input!#REF!</definedName>
    <definedName name="SL">[11]Input!#REF!</definedName>
    <definedName name="SL_Base" localSheetId="1">#REF!</definedName>
    <definedName name="SL_Base" localSheetId="5">#REF!</definedName>
    <definedName name="SL_Base">#REF!</definedName>
    <definedName name="SL_SEN" localSheetId="1">#REF!</definedName>
    <definedName name="SL_SEN" localSheetId="5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1">#REF!</definedName>
    <definedName name="SPV_DSCR" localSheetId="5">#REF!</definedName>
    <definedName name="SPV_DSCR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1">#REF!</definedName>
    <definedName name="Stock" localSheetId="5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[81]Assumptions!#REF!</definedName>
    <definedName name="STTC.STTPaid">'[6]80_'!$G$63</definedName>
    <definedName name="STTC.TaxPaySTTAvgRate">'[6]80_'!$G$62</definedName>
    <definedName name="sub_total" localSheetId="1">#REF!</definedName>
    <definedName name="sub_total" localSheetId="5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[82]BSPL!$A$655:$D$692</definedName>
    <definedName name="t" localSheetId="1">#REF!</definedName>
    <definedName name="t" localSheetId="5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1">#REF!</definedName>
    <definedName name="Target" localSheetId="5">#REF!</definedName>
    <definedName name="Target">#REF!</definedName>
    <definedName name="Tariff">[23]Assumptions!$H$8</definedName>
    <definedName name="tariff_var_mod">[23]Assumptions!$L$37</definedName>
    <definedName name="TAX_DIFF" localSheetId="1">#REF!</definedName>
    <definedName name="TAX_DIFF" localSheetId="5">#REF!</definedName>
    <definedName name="TAX_DIFF">#REF!</definedName>
    <definedName name="TAX_PAS" localSheetId="1">#REF!</definedName>
    <definedName name="TAX_PAS" localSheetId="5">#REF!</definedName>
    <definedName name="TAX_PAS">#REF!</definedName>
    <definedName name="Tax_Rate">'[83]TJC - Total'!$N$172</definedName>
    <definedName name="taxes">[84]wwww!$C$59:$C$62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1">#REF!</definedName>
    <definedName name="Taxrate12" localSheetId="5">#REF!</definedName>
    <definedName name="Taxrate12">#REF!</definedName>
    <definedName name="TCS.AmtTCSClaimedThisYear">[6]DDT_TDS_TCS!$F$1540:$F$1542</definedName>
    <definedName name="TDS">'[84]Consolidated-31-03-00'!#REF!</definedName>
    <definedName name="TDS2.ClaimOutOfTotTDSOnAmtPaid">[6]DDT_TDS_TCS!$H$21:$H$1533</definedName>
    <definedName name="TDSCR_FCSPV" localSheetId="1">#REF!</definedName>
    <definedName name="TDSCR_FCSPV" localSheetId="5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1">#REF!</definedName>
    <definedName name="Tgt" localSheetId="5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1">#REF!</definedName>
    <definedName name="title" localSheetId="5">#REF!</definedName>
    <definedName name="title">#REF!</definedName>
    <definedName name="Tolerance">0.0025</definedName>
    <definedName name="total_A" localSheetId="1">#REF!</definedName>
    <definedName name="total_A" localSheetId="5">#REF!</definedName>
    <definedName name="total_A">#REF!</definedName>
    <definedName name="total_B" localSheetId="1">#REF!</definedName>
    <definedName name="total_B" localSheetId="5">#REF!</definedName>
    <definedName name="total_B">#REF!</definedName>
    <definedName name="total_budget" localSheetId="1">#REF!</definedName>
    <definedName name="total_budget" localSheetId="5">#REF!</definedName>
    <definedName name="total_budget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1">[11]Assumptions!#REF!</definedName>
    <definedName name="TPS" localSheetId="5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1">#REF!</definedName>
    <definedName name="Transportation_Base" localSheetId="5">#REF!</definedName>
    <definedName name="Transportation_Base">#REF!</definedName>
    <definedName name="Transportation_SEN" localSheetId="1">#REF!</definedName>
    <definedName name="Transportation_SEN" localSheetId="5">#REF!</definedName>
    <definedName name="Transportation_SEN">#REF!</definedName>
    <definedName name="TRAVEL">#REF!</definedName>
    <definedName name="tripping" localSheetId="1">#REF!</definedName>
    <definedName name="tripping" localSheetId="5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[85]Input!$D$385</definedName>
    <definedName name="uNIT1" localSheetId="1">#REF!</definedName>
    <definedName name="uNIT1" localSheetId="5">#REF!</definedName>
    <definedName name="uNIT1">#REF!</definedName>
    <definedName name="uNIT2" localSheetId="1">#REF!</definedName>
    <definedName name="uNIT2" localSheetId="5">#REF!</definedName>
    <definedName name="uNIT2">#REF!</definedName>
    <definedName name="uNIT3" localSheetId="1">#REF!</definedName>
    <definedName name="uNIT3" localSheetId="5">#REF!</definedName>
    <definedName name="uNIT3">#REF!</definedName>
    <definedName name="units">[66]Company!$J$16</definedName>
    <definedName name="usa2data">#REF!</definedName>
    <definedName name="UScompanies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'[86]Determination of Threshold'!$B$3,'[86]Determination of Threshold'!$B$4,'[86]Determination of Threshold'!$B$15</definedName>
    <definedName name="Values_Entered">IF(Loan_Amount*Interest_Rate*Loan_Years*Loan_Start&gt;0,1,0)</definedName>
    <definedName name="ValuesBSA">[87]BS!$B$2:$O$3,[87]BS!$B$7:$O$13,[87]BS!$C$16:$O$17,[87]BS!$B$20:$O$20,[87]BS!$B$35:$O$37,[87]BS!$B$55:$O$55</definedName>
    <definedName name="ValuesBSL">#REF!,[86]BS!$C$24:$O$28,#REF!,#REF!,[86]BS!$B$42:$O$44</definedName>
    <definedName name="ValuesChecks">'[87]Checks &amp; Inputs'!$C$16:$O$17,'[87]Checks &amp; Inputs'!$B$2</definedName>
    <definedName name="ValuesIS">[86]IS!$B$2:$N$4,[86]IS!$B$7:$N$54,[86]IS!$B$60:$N$61,[86]IS!#REF!,[86]IS!$B$75:$N$75,[86]IS!#REF!,[86]IS!#REF!</definedName>
    <definedName name="VAR_1" localSheetId="1">#REF!</definedName>
    <definedName name="VAR_1" localSheetId="5">#REF!</definedName>
    <definedName name="VAR_1">#REF!</definedName>
    <definedName name="VAR_10" localSheetId="1">#REF!</definedName>
    <definedName name="VAR_10" localSheetId="5">#REF!</definedName>
    <definedName name="VAR_10">#REF!</definedName>
    <definedName name="VAR_11" localSheetId="1">#REF!</definedName>
    <definedName name="VAR_11" localSheetId="5">#REF!</definedName>
    <definedName name="VAR_11">#REF!</definedName>
    <definedName name="VAR_12">#REF!</definedName>
    <definedName name="VAR_13">#REF!</definedName>
    <definedName name="VAR_14">#REF!</definedName>
    <definedName name="VAR_15">#REF!</definedName>
    <definedName name="VAR_16">#REF!</definedName>
    <definedName name="VAR_17">#REF!</definedName>
    <definedName name="VAR_18">#REF!</definedName>
    <definedName name="VAR_19">#REF!</definedName>
    <definedName name="VAR_2">#REF!</definedName>
    <definedName name="VAR_20">#REF!</definedName>
    <definedName name="VAR_21">#REF!</definedName>
    <definedName name="VAR_22">#REF!</definedName>
    <definedName name="VAR_23">#REF!</definedName>
    <definedName name="VAR_24">#REF!</definedName>
    <definedName name="VAR_25">#REF!</definedName>
    <definedName name="VAR_26">#REF!</definedName>
    <definedName name="VAR_27">#REF!</definedName>
    <definedName name="VAR_28">#REF!</definedName>
    <definedName name="VAR_29">#REF!</definedName>
    <definedName name="VAR_3">#REF!</definedName>
    <definedName name="VAR_30">#REF!</definedName>
    <definedName name="VAR_4">#REF!</definedName>
    <definedName name="VAR_5">#REF!</definedName>
    <definedName name="VAR_6">#REF!</definedName>
    <definedName name="VAR_7">#REF!</definedName>
    <definedName name="VAR_8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[88]wwww!$C$59:$C$62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1">#REF!</definedName>
    <definedName name="W" localSheetId="5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1">#REF!</definedName>
    <definedName name="WEEK_1A" localSheetId="5">#REF!</definedName>
    <definedName name="WEEK_1A">#REF!</definedName>
    <definedName name="WEEK_1B" localSheetId="1">#REF!</definedName>
    <definedName name="WEEK_1B" localSheetId="5">#REF!</definedName>
    <definedName name="WEEK_1B">#REF!</definedName>
    <definedName name="WEEK_2A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1">#REF!</definedName>
    <definedName name="X1_" localSheetId="5">#REF!</definedName>
    <definedName name="X1_">#REF!</definedName>
    <definedName name="X11__?___QUIT_" localSheetId="1">#REF!</definedName>
    <definedName name="X11__?___QUIT_" localSheetId="5">#REF!</definedName>
    <definedName name="X11__?___QUIT_">#REF!</definedName>
    <definedName name="xc">[89]Company!$J$16</definedName>
    <definedName name="xcxcxcc" localSheetId="1">#REF!</definedName>
    <definedName name="xcxcxcc" localSheetId="5">#REF!</definedName>
    <definedName name="xcxcxcc">#REF!</definedName>
    <definedName name="xcxvxv" localSheetId="1">'[39]04REL'!#REF!</definedName>
    <definedName name="xcxvxv" localSheetId="5">'[39]04REL'!#REF!</definedName>
    <definedName name="xcxvxv">'[39]04REL'!#REF!</definedName>
    <definedName name="xczczczc" localSheetId="1">#REF!</definedName>
    <definedName name="xczczczc" localSheetId="5">#REF!</definedName>
    <definedName name="xczczczc">#REF!</definedName>
    <definedName name="xczxzxz" localSheetId="1">#REF!,#REF!</definedName>
    <definedName name="xczxzxz" localSheetId="5">#REF!,#REF!</definedName>
    <definedName name="xczxzxz">#REF!,#REF!</definedName>
    <definedName name="xfzdsfzsf" localSheetId="1">#REF!</definedName>
    <definedName name="xfzdsfzsf" localSheetId="5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'[89]cost of sales'!#REF!</definedName>
    <definedName name="XRefCopy21" hidden="1">'[89]cost of sales'!#REF!</definedName>
    <definedName name="XRefCopy22" hidden="1">'[89]cost of sales'!#REF!</definedName>
    <definedName name="XRefCopy23" hidden="1">'[89]cost of sales'!#REF!</definedName>
    <definedName name="XRefCopy24" hidden="1">'[89]cost of sales'!#REF!</definedName>
    <definedName name="XRefCopy24Row" hidden="1">[90]XREF!#REF!</definedName>
    <definedName name="XRefCopy25" hidden="1">'[89]cost of sales'!#REF!</definedName>
    <definedName name="XRefCopy26" hidden="1">'[89]cost of sales'!#REF!</definedName>
    <definedName name="XRefCopy2Row" hidden="1">[91]XREF!#REF!</definedName>
    <definedName name="XRefCopy3" hidden="1">#REF!</definedName>
    <definedName name="XRefCopy3Row" hidden="1">[91]XREF!#REF!</definedName>
    <definedName name="XRefCopy4" hidden="1">#REF!</definedName>
    <definedName name="XRefCopy4Row" hidden="1">#REF!</definedName>
    <definedName name="XRefCopy5" hidden="1">#REF!</definedName>
    <definedName name="XRefCopy59" hidden="1">'[89]cost of sales'!#REF!</definedName>
    <definedName name="XRefCopy5Row" hidden="1">#REF!</definedName>
    <definedName name="XRefCopy6" hidden="1">#REF!</definedName>
    <definedName name="XRefCopy62" hidden="1">'[89]cost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[91]XREF!#REF!</definedName>
    <definedName name="XRefPaste2" hidden="1">#REF!</definedName>
    <definedName name="XRefPaste2Row" hidden="1">[91]XREF!#REF!</definedName>
    <definedName name="XRefPaste3" hidden="1">#REF!</definedName>
    <definedName name="XRefPaste31Row" hidden="1">#REF!</definedName>
    <definedName name="XRefPaste3Row" hidden="1">[91]XREF!#REF!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1" hidden="1">[92]CE!#REF!</definedName>
    <definedName name="xxxx" localSheetId="5" hidden="1">[92]CE!#REF!</definedName>
    <definedName name="xxxx" hidden="1">[92]CE!#REF!</definedName>
    <definedName name="xzxzxcxc" localSheetId="1">#REF!</definedName>
    <definedName name="xzxzxcxc" localSheetId="5">#REF!</definedName>
    <definedName name="xzxzxcxc">#REF!</definedName>
    <definedName name="year" localSheetId="1">#REF!</definedName>
    <definedName name="year" localSheetId="5">#REF!</definedName>
    <definedName name="year">#REF!</definedName>
    <definedName name="Year1" localSheetId="1">#REF!</definedName>
    <definedName name="Year1" localSheetId="5">#REF!</definedName>
    <definedName name="Year1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1">#REF!</definedName>
    <definedName name="ygshjshua" localSheetId="5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1">#REF!</definedName>
    <definedName name="zbhh">#REF!</definedName>
    <definedName name="zzxxx" localSheetId="1">#REF!,#REF!</definedName>
    <definedName name="zzxxx" localSheetId="5">#REF!,#REF!</definedName>
    <definedName name="zzxxx">#REF!,#REF!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8" l="1"/>
  <c r="D45" i="8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D6" i="7"/>
  <c r="U29" i="1"/>
  <c r="T29" i="1"/>
  <c r="S29" i="1"/>
  <c r="J25" i="6"/>
  <c r="K25" i="6"/>
  <c r="L25" i="6"/>
  <c r="J10" i="6"/>
  <c r="J11" i="6"/>
  <c r="J13" i="6" s="1"/>
  <c r="K10" i="6" s="1"/>
  <c r="K11" i="6"/>
  <c r="L11" i="6"/>
  <c r="J12" i="6"/>
  <c r="B32" i="8"/>
  <c r="D42" i="8" s="1"/>
  <c r="D41" i="8"/>
  <c r="B42" i="8"/>
  <c r="K13" i="6" l="1"/>
  <c r="L10" i="6" s="1"/>
  <c r="K12" i="6"/>
  <c r="I14" i="9"/>
  <c r="H14" i="9"/>
  <c r="G14" i="9"/>
  <c r="F14" i="9"/>
  <c r="E14" i="9"/>
  <c r="D14" i="9"/>
  <c r="C14" i="9"/>
  <c r="I11" i="9"/>
  <c r="H11" i="9"/>
  <c r="G11" i="9"/>
  <c r="F11" i="9"/>
  <c r="E11" i="9"/>
  <c r="D11" i="9"/>
  <c r="C11" i="9"/>
  <c r="I8" i="9"/>
  <c r="H8" i="9"/>
  <c r="G8" i="9"/>
  <c r="F8" i="9"/>
  <c r="E8" i="9"/>
  <c r="D8" i="9"/>
  <c r="C8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G2" i="9"/>
  <c r="H2" i="9" s="1"/>
  <c r="I2" i="9" s="1"/>
  <c r="L12" i="6" l="1"/>
  <c r="L13" i="6"/>
  <c r="E6" i="9"/>
  <c r="E9" i="9" s="1"/>
  <c r="E10" i="9" s="1"/>
  <c r="I6" i="9"/>
  <c r="H6" i="9"/>
  <c r="H7" i="9" s="1"/>
  <c r="D6" i="9"/>
  <c r="D7" i="9" s="1"/>
  <c r="C6" i="9"/>
  <c r="C7" i="9" s="1"/>
  <c r="G6" i="9"/>
  <c r="G9" i="9" s="1"/>
  <c r="I9" i="9"/>
  <c r="I12" i="9" s="1"/>
  <c r="I7" i="9"/>
  <c r="F6" i="9"/>
  <c r="F9" i="9" s="1"/>
  <c r="H9" i="9" l="1"/>
  <c r="E7" i="9"/>
  <c r="D9" i="9"/>
  <c r="G7" i="9"/>
  <c r="C9" i="9"/>
  <c r="C12" i="9" s="1"/>
  <c r="E12" i="9"/>
  <c r="E15" i="9" s="1"/>
  <c r="E16" i="9" s="1"/>
  <c r="F7" i="9"/>
  <c r="I10" i="9"/>
  <c r="H12" i="9"/>
  <c r="H10" i="9"/>
  <c r="D12" i="9"/>
  <c r="D10" i="9"/>
  <c r="F10" i="9"/>
  <c r="F12" i="9"/>
  <c r="G10" i="9"/>
  <c r="G12" i="9"/>
  <c r="I13" i="9"/>
  <c r="I15" i="9"/>
  <c r="I16" i="9" s="1"/>
  <c r="E13" i="9" l="1"/>
  <c r="C10" i="9"/>
  <c r="F13" i="9"/>
  <c r="F15" i="9"/>
  <c r="F16" i="9" s="1"/>
  <c r="C15" i="9"/>
  <c r="C16" i="9" s="1"/>
  <c r="C13" i="9"/>
  <c r="G15" i="9"/>
  <c r="G16" i="9" s="1"/>
  <c r="G13" i="9"/>
  <c r="D15" i="9"/>
  <c r="D16" i="9" s="1"/>
  <c r="D13" i="9"/>
  <c r="H15" i="9"/>
  <c r="H16" i="9" s="1"/>
  <c r="H13" i="9"/>
  <c r="C70" i="7" l="1"/>
  <c r="B48" i="7"/>
  <c r="P33" i="7" l="1"/>
  <c r="Q33" i="7"/>
  <c r="R33" i="7"/>
  <c r="S33" i="7"/>
  <c r="T33" i="7"/>
  <c r="D24" i="7"/>
  <c r="C36" i="1" l="1"/>
  <c r="D5" i="6" s="1"/>
  <c r="D4" i="6" l="1"/>
  <c r="E5" i="6"/>
  <c r="E4" i="6"/>
  <c r="D20" i="6"/>
  <c r="D19" i="6"/>
  <c r="D38" i="1"/>
  <c r="B45" i="1" l="1"/>
  <c r="B46" i="1" s="1"/>
  <c r="M44" i="1"/>
  <c r="L44" i="1"/>
  <c r="K44" i="1"/>
  <c r="J44" i="1"/>
  <c r="I44" i="1"/>
  <c r="H44" i="1"/>
  <c r="G44" i="1"/>
  <c r="F44" i="1"/>
  <c r="E44" i="1"/>
  <c r="D44" i="1"/>
  <c r="C44" i="1"/>
  <c r="C68" i="1"/>
  <c r="B35" i="8" s="1"/>
  <c r="E55" i="3" l="1"/>
  <c r="C19" i="6"/>
  <c r="C21" i="6" s="1"/>
  <c r="F21" i="6"/>
  <c r="E20" i="6"/>
  <c r="E19" i="6"/>
  <c r="C4" i="6"/>
  <c r="AD29" i="1"/>
  <c r="T13" i="7" s="1"/>
  <c r="AC29" i="1"/>
  <c r="S13" i="7" s="1"/>
  <c r="H25" i="6" l="1"/>
  <c r="I25" i="6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U59" i="3" s="1"/>
  <c r="U60" i="3" s="1"/>
  <c r="U61" i="3" s="1"/>
  <c r="C63" i="1"/>
  <c r="C64" i="1" s="1"/>
  <c r="G25" i="6"/>
  <c r="B24" i="6"/>
  <c r="E25" i="6"/>
  <c r="F25" i="6"/>
  <c r="D25" i="6"/>
  <c r="B25" i="6"/>
  <c r="C25" i="6"/>
  <c r="D21" i="6"/>
  <c r="T61" i="3" l="1"/>
  <c r="C38" i="1"/>
  <c r="AB29" i="1"/>
  <c r="R13" i="7" s="1"/>
  <c r="AA29" i="1"/>
  <c r="Q13" i="7" s="1"/>
  <c r="Z29" i="1"/>
  <c r="P13" i="7" s="1"/>
  <c r="Y29" i="1"/>
  <c r="O13" i="7" s="1"/>
  <c r="X29" i="1"/>
  <c r="N13" i="7" s="1"/>
  <c r="W29" i="1"/>
  <c r="M13" i="7" s="1"/>
  <c r="V29" i="1"/>
  <c r="L13" i="7" s="1"/>
  <c r="K13" i="7"/>
  <c r="J13" i="7"/>
  <c r="I13" i="7"/>
  <c r="R29" i="1"/>
  <c r="H13" i="7" s="1"/>
  <c r="Q29" i="1"/>
  <c r="G13" i="7" s="1"/>
  <c r="P29" i="1"/>
  <c r="F13" i="7" s="1"/>
  <c r="O29" i="1"/>
  <c r="E13" i="7" s="1"/>
  <c r="N29" i="1"/>
  <c r="D13" i="7" s="1"/>
  <c r="M29" i="1"/>
  <c r="L29" i="1"/>
  <c r="K29" i="1"/>
  <c r="F4" i="1" l="1"/>
  <c r="F1" i="1"/>
  <c r="G1" i="1" s="1"/>
  <c r="F3" i="1" l="1"/>
  <c r="E24" i="7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T24" i="7" l="1"/>
  <c r="S66" i="7"/>
  <c r="T66" i="7" l="1"/>
  <c r="A42" i="8"/>
  <c r="A41" i="8"/>
  <c r="A10" i="7"/>
  <c r="A4" i="7"/>
  <c r="A3" i="7"/>
  <c r="A2" i="7"/>
  <c r="A1" i="7"/>
  <c r="B43" i="8" l="1"/>
  <c r="C42" i="8" s="1"/>
  <c r="C41" i="8" l="1"/>
  <c r="D66" i="7" l="1"/>
  <c r="E66" i="7" l="1"/>
  <c r="F66" i="7" l="1"/>
  <c r="G66" i="7" l="1"/>
  <c r="H66" i="7" l="1"/>
  <c r="I66" i="7" l="1"/>
  <c r="J66" i="7" l="1"/>
  <c r="K66" i="7" l="1"/>
  <c r="L66" i="7" l="1"/>
  <c r="M66" i="7" l="1"/>
  <c r="N66" i="7" l="1"/>
  <c r="O66" i="7" l="1"/>
  <c r="P66" i="7" l="1"/>
  <c r="Q66" i="7" l="1"/>
  <c r="R66" i="7" l="1"/>
  <c r="C48" i="1" l="1"/>
  <c r="C9" i="1"/>
  <c r="C10" i="1" s="1"/>
  <c r="C15" i="1" s="1"/>
  <c r="C11" i="1"/>
  <c r="C13" i="1" s="1"/>
  <c r="C14" i="1" s="1"/>
  <c r="B26" i="6" l="1"/>
  <c r="F6" i="6"/>
  <c r="G4" i="1" l="1"/>
  <c r="B27" i="6"/>
  <c r="C24" i="6" s="1"/>
  <c r="G3" i="1" l="1"/>
  <c r="C27" i="6"/>
  <c r="D24" i="6" s="1"/>
  <c r="G79" i="1" l="1"/>
  <c r="G74" i="1"/>
  <c r="D27" i="6"/>
  <c r="E24" i="6" s="1"/>
  <c r="E27" i="6" l="1"/>
  <c r="F24" i="6" s="1"/>
  <c r="F27" i="6" l="1"/>
  <c r="G24" i="6" s="1"/>
  <c r="G27" i="6" l="1"/>
  <c r="H24" i="6" s="1"/>
  <c r="B6" i="6"/>
  <c r="C6" i="6"/>
  <c r="I11" i="6" l="1"/>
  <c r="H27" i="6"/>
  <c r="I24" i="6" s="1"/>
  <c r="H11" i="6"/>
  <c r="B11" i="6"/>
  <c r="B10" i="6"/>
  <c r="E11" i="6"/>
  <c r="D11" i="6"/>
  <c r="G11" i="6"/>
  <c r="C11" i="6"/>
  <c r="F11" i="6"/>
  <c r="D6" i="6"/>
  <c r="C26" i="6" l="1"/>
  <c r="D26" i="6"/>
  <c r="E26" i="6"/>
  <c r="F26" i="6"/>
  <c r="G26" i="6"/>
  <c r="H26" i="6"/>
  <c r="I27" i="6"/>
  <c r="I26" i="6"/>
  <c r="B12" i="6"/>
  <c r="B29" i="6" s="1"/>
  <c r="D33" i="7" s="1"/>
  <c r="B13" i="6"/>
  <c r="C10" i="6" s="1"/>
  <c r="J24" i="6" l="1"/>
  <c r="J27" i="6" s="1"/>
  <c r="C13" i="6"/>
  <c r="E73" i="3"/>
  <c r="F73" i="3" s="1"/>
  <c r="G73" i="3" s="1"/>
  <c r="H73" i="3" s="1"/>
  <c r="I73" i="3" s="1"/>
  <c r="J73" i="3" s="1"/>
  <c r="K73" i="3" s="1"/>
  <c r="L73" i="3" s="1"/>
  <c r="M73" i="3" s="1"/>
  <c r="N73" i="3" s="1"/>
  <c r="O73" i="3" s="1"/>
  <c r="P73" i="3" s="1"/>
  <c r="Q73" i="3" s="1"/>
  <c r="R73" i="3" s="1"/>
  <c r="S73" i="3" s="1"/>
  <c r="T73" i="3" s="1"/>
  <c r="U73" i="3" l="1"/>
  <c r="J26" i="6"/>
  <c r="D10" i="6"/>
  <c r="K24" i="6"/>
  <c r="K27" i="6" s="1"/>
  <c r="C12" i="6"/>
  <c r="C29" i="6" s="1"/>
  <c r="E33" i="7" s="1"/>
  <c r="U75" i="3" l="1"/>
  <c r="K26" i="6"/>
  <c r="L24" i="6"/>
  <c r="L26" i="6" s="1"/>
  <c r="D13" i="6"/>
  <c r="D12" i="6"/>
  <c r="D29" i="6" s="1"/>
  <c r="F33" i="7" s="1"/>
  <c r="L27" i="6" l="1"/>
  <c r="E10" i="6"/>
  <c r="E64" i="3"/>
  <c r="E67" i="3" s="1"/>
  <c r="E91" i="3"/>
  <c r="E82" i="3"/>
  <c r="E85" i="3" l="1"/>
  <c r="E83" i="3"/>
  <c r="M25" i="6"/>
  <c r="M27" i="6" s="1"/>
  <c r="E13" i="6"/>
  <c r="E12" i="6"/>
  <c r="E29" i="6" s="1"/>
  <c r="G33" i="7" s="1"/>
  <c r="F91" i="3" l="1"/>
  <c r="G91" i="3" s="1"/>
  <c r="N24" i="6"/>
  <c r="M26" i="6"/>
  <c r="F10" i="6"/>
  <c r="N25" i="6" l="1"/>
  <c r="N27" i="6" s="1"/>
  <c r="O24" i="6" s="1"/>
  <c r="N26" i="6"/>
  <c r="F13" i="6"/>
  <c r="F12" i="6"/>
  <c r="F29" i="6" s="1"/>
  <c r="H33" i="7" s="1"/>
  <c r="H91" i="3"/>
  <c r="O25" i="6" l="1"/>
  <c r="O27" i="6" s="1"/>
  <c r="P24" i="6" s="1"/>
  <c r="O26" i="6"/>
  <c r="G10" i="6"/>
  <c r="I91" i="3"/>
  <c r="P25" i="6" l="1"/>
  <c r="P27" i="6" s="1"/>
  <c r="Q24" i="6" s="1"/>
  <c r="P26" i="6"/>
  <c r="G12" i="6"/>
  <c r="G29" i="6" s="1"/>
  <c r="I33" i="7" s="1"/>
  <c r="G13" i="6"/>
  <c r="C65" i="1"/>
  <c r="T21" i="7" s="1"/>
  <c r="A50" i="3"/>
  <c r="H1" i="1"/>
  <c r="B93" i="3"/>
  <c r="B84" i="3"/>
  <c r="C81" i="3"/>
  <c r="B75" i="3"/>
  <c r="B66" i="3"/>
  <c r="F38" i="3"/>
  <c r="F42" i="3" s="1"/>
  <c r="F37" i="3"/>
  <c r="F41" i="3" s="1"/>
  <c r="F36" i="3"/>
  <c r="F40" i="3" s="1"/>
  <c r="F33" i="3"/>
  <c r="F45" i="3" s="1"/>
  <c r="F32" i="3"/>
  <c r="F44" i="3" s="1"/>
  <c r="F29" i="3"/>
  <c r="L28" i="3"/>
  <c r="L27" i="3"/>
  <c r="L25" i="3"/>
  <c r="L24" i="3"/>
  <c r="K23" i="3"/>
  <c r="K26" i="3" s="1"/>
  <c r="K29" i="3" s="1"/>
  <c r="J23" i="3"/>
  <c r="J26" i="3" s="1"/>
  <c r="J29" i="3" s="1"/>
  <c r="I23" i="3"/>
  <c r="I26" i="3" s="1"/>
  <c r="I29" i="3" s="1"/>
  <c r="H23" i="3"/>
  <c r="H26" i="3" s="1"/>
  <c r="H29" i="3" s="1"/>
  <c r="G23" i="3"/>
  <c r="G26" i="3" s="1"/>
  <c r="G29" i="3" s="1"/>
  <c r="E23" i="3"/>
  <c r="E26" i="3" s="1"/>
  <c r="E29" i="3" s="1"/>
  <c r="D23" i="3"/>
  <c r="D26" i="3" s="1"/>
  <c r="D29" i="3" s="1"/>
  <c r="L22" i="3"/>
  <c r="L21" i="3"/>
  <c r="L20" i="3"/>
  <c r="F17" i="3"/>
  <c r="L16" i="3"/>
  <c r="L14" i="3"/>
  <c r="L12" i="3"/>
  <c r="L10" i="3"/>
  <c r="K9" i="3"/>
  <c r="K36" i="3" s="1"/>
  <c r="K40" i="3" s="1"/>
  <c r="J9" i="3"/>
  <c r="J36" i="3" s="1"/>
  <c r="J40" i="3" s="1"/>
  <c r="I9" i="3"/>
  <c r="I37" i="3" s="1"/>
  <c r="I41" i="3" s="1"/>
  <c r="H9" i="3"/>
  <c r="H36" i="3" s="1"/>
  <c r="H40" i="3" s="1"/>
  <c r="G9" i="3"/>
  <c r="G36" i="3" s="1"/>
  <c r="G40" i="3" s="1"/>
  <c r="E9" i="3"/>
  <c r="E37" i="3" s="1"/>
  <c r="E41" i="3" s="1"/>
  <c r="D9" i="3"/>
  <c r="D36" i="3" s="1"/>
  <c r="D40" i="3" s="1"/>
  <c r="L8" i="3"/>
  <c r="L7" i="3"/>
  <c r="L6" i="3"/>
  <c r="L5" i="3"/>
  <c r="F34" i="3" l="1"/>
  <c r="F46" i="3" s="1"/>
  <c r="T76" i="3"/>
  <c r="U76" i="3"/>
  <c r="T100" i="3"/>
  <c r="U100" i="3"/>
  <c r="Q25" i="6"/>
  <c r="Q27" i="6" s="1"/>
  <c r="R24" i="6" s="1"/>
  <c r="Q26" i="6"/>
  <c r="I1" i="1"/>
  <c r="J1" i="1" s="1"/>
  <c r="H10" i="6"/>
  <c r="R101" i="3"/>
  <c r="J101" i="3"/>
  <c r="M101" i="3"/>
  <c r="D101" i="3"/>
  <c r="D100" i="3"/>
  <c r="S100" i="3"/>
  <c r="R100" i="3"/>
  <c r="J100" i="3"/>
  <c r="M100" i="3"/>
  <c r="I100" i="3"/>
  <c r="F100" i="3"/>
  <c r="E94" i="3"/>
  <c r="F94" i="3"/>
  <c r="G94" i="3"/>
  <c r="H94" i="3"/>
  <c r="I94" i="3"/>
  <c r="J76" i="3"/>
  <c r="D79" i="3"/>
  <c r="S76" i="3"/>
  <c r="E76" i="3"/>
  <c r="F76" i="3"/>
  <c r="Q76" i="3"/>
  <c r="O76" i="3"/>
  <c r="N76" i="3"/>
  <c r="R76" i="3"/>
  <c r="G76" i="3"/>
  <c r="M76" i="3"/>
  <c r="H76" i="3"/>
  <c r="I76" i="3"/>
  <c r="K76" i="3"/>
  <c r="L76" i="3"/>
  <c r="P76" i="3"/>
  <c r="L9" i="3"/>
  <c r="L37" i="3" s="1"/>
  <c r="L41" i="3" s="1"/>
  <c r="D61" i="3"/>
  <c r="L26" i="3"/>
  <c r="L29" i="3"/>
  <c r="D13" i="3"/>
  <c r="I13" i="3"/>
  <c r="L23" i="3"/>
  <c r="J32" i="3"/>
  <c r="J44" i="3" s="1"/>
  <c r="E36" i="3"/>
  <c r="E40" i="3" s="1"/>
  <c r="I36" i="3"/>
  <c r="I40" i="3" s="1"/>
  <c r="J37" i="3"/>
  <c r="J41" i="3" s="1"/>
  <c r="E13" i="3"/>
  <c r="J13" i="3"/>
  <c r="G32" i="3"/>
  <c r="G44" i="3" s="1"/>
  <c r="K32" i="3"/>
  <c r="K44" i="3" s="1"/>
  <c r="G37" i="3"/>
  <c r="G41" i="3" s="1"/>
  <c r="K37" i="3"/>
  <c r="K41" i="3" s="1"/>
  <c r="G13" i="3"/>
  <c r="K13" i="3"/>
  <c r="D32" i="3"/>
  <c r="D44" i="3" s="1"/>
  <c r="H32" i="3"/>
  <c r="H44" i="3" s="1"/>
  <c r="D37" i="3"/>
  <c r="D41" i="3" s="1"/>
  <c r="H37" i="3"/>
  <c r="H41" i="3" s="1"/>
  <c r="H13" i="3"/>
  <c r="E32" i="3"/>
  <c r="E44" i="3" s="1"/>
  <c r="I32" i="3"/>
  <c r="I44" i="3" s="1"/>
  <c r="E86" i="3"/>
  <c r="R25" i="6" l="1"/>
  <c r="R27" i="6" s="1"/>
  <c r="R26" i="6"/>
  <c r="R17" i="8"/>
  <c r="M17" i="8"/>
  <c r="J17" i="8"/>
  <c r="H13" i="6"/>
  <c r="H12" i="6"/>
  <c r="H29" i="6" s="1"/>
  <c r="J33" i="7" s="1"/>
  <c r="K1" i="1"/>
  <c r="D102" i="3"/>
  <c r="L13" i="3"/>
  <c r="L38" i="3" s="1"/>
  <c r="L42" i="3" s="1"/>
  <c r="L36" i="3"/>
  <c r="L40" i="3" s="1"/>
  <c r="E84" i="3"/>
  <c r="G17" i="3"/>
  <c r="G34" i="3" s="1"/>
  <c r="G46" i="3" s="1"/>
  <c r="G38" i="3"/>
  <c r="G42" i="3" s="1"/>
  <c r="G33" i="3"/>
  <c r="G45" i="3" s="1"/>
  <c r="E61" i="3"/>
  <c r="H38" i="3"/>
  <c r="H42" i="3" s="1"/>
  <c r="H33" i="3"/>
  <c r="H45" i="3" s="1"/>
  <c r="H17" i="3"/>
  <c r="H34" i="3" s="1"/>
  <c r="H46" i="3" s="1"/>
  <c r="J38" i="3"/>
  <c r="J42" i="3" s="1"/>
  <c r="J33" i="3"/>
  <c r="J45" i="3" s="1"/>
  <c r="J17" i="3"/>
  <c r="J34" i="3" s="1"/>
  <c r="J46" i="3" s="1"/>
  <c r="E102" i="3"/>
  <c r="I38" i="3"/>
  <c r="I42" i="3" s="1"/>
  <c r="I33" i="3"/>
  <c r="I45" i="3" s="1"/>
  <c r="I17" i="3"/>
  <c r="I34" i="3" s="1"/>
  <c r="I46" i="3" s="1"/>
  <c r="E78" i="3"/>
  <c r="D70" i="3"/>
  <c r="D71" i="3" s="1"/>
  <c r="E69" i="3"/>
  <c r="E38" i="3"/>
  <c r="E42" i="3" s="1"/>
  <c r="E33" i="3"/>
  <c r="E45" i="3" s="1"/>
  <c r="E17" i="3"/>
  <c r="E34" i="3" s="1"/>
  <c r="E46" i="3" s="1"/>
  <c r="D38" i="3"/>
  <c r="D42" i="3" s="1"/>
  <c r="D33" i="3"/>
  <c r="D45" i="3" s="1"/>
  <c r="D17" i="3"/>
  <c r="D34" i="3" s="1"/>
  <c r="D46" i="3" s="1"/>
  <c r="D80" i="3"/>
  <c r="K38" i="3"/>
  <c r="K42" i="3" s="1"/>
  <c r="K17" i="3"/>
  <c r="K34" i="3" s="1"/>
  <c r="K46" i="3" s="1"/>
  <c r="K33" i="3"/>
  <c r="K45" i="3" s="1"/>
  <c r="L32" i="3"/>
  <c r="L44" i="3" s="1"/>
  <c r="I10" i="6" l="1"/>
  <c r="E13" i="8"/>
  <c r="D30" i="7"/>
  <c r="L1" i="1"/>
  <c r="F82" i="3"/>
  <c r="E79" i="3"/>
  <c r="E80" i="3" s="1"/>
  <c r="L17" i="3"/>
  <c r="F61" i="3"/>
  <c r="L34" i="3"/>
  <c r="L33" i="3"/>
  <c r="L45" i="3" s="1"/>
  <c r="F78" i="3"/>
  <c r="G78" i="3" s="1"/>
  <c r="I13" i="6" l="1"/>
  <c r="I12" i="6"/>
  <c r="I29" i="6" s="1"/>
  <c r="K33" i="7" s="1"/>
  <c r="M1" i="1"/>
  <c r="C1" i="7" s="1"/>
  <c r="O2" i="1"/>
  <c r="D2" i="7"/>
  <c r="D97" i="3"/>
  <c r="E96" i="3" s="1"/>
  <c r="D88" i="3"/>
  <c r="D89" i="3" s="1"/>
  <c r="E87" i="3"/>
  <c r="E88" i="3" s="1"/>
  <c r="E89" i="3" s="1"/>
  <c r="G82" i="3"/>
  <c r="F85" i="3"/>
  <c r="E101" i="3"/>
  <c r="L46" i="3"/>
  <c r="G79" i="3"/>
  <c r="G80" i="3" s="1"/>
  <c r="H78" i="3"/>
  <c r="G61" i="3"/>
  <c r="F79" i="3"/>
  <c r="F80" i="3" s="1"/>
  <c r="D50" i="3" l="1"/>
  <c r="N1" i="1"/>
  <c r="P2" i="1"/>
  <c r="E2" i="7"/>
  <c r="E97" i="3"/>
  <c r="E98" i="3" s="1"/>
  <c r="F96" i="3"/>
  <c r="H82" i="3"/>
  <c r="G85" i="3"/>
  <c r="D98" i="3"/>
  <c r="F87" i="3"/>
  <c r="F101" i="3"/>
  <c r="F17" i="8" s="1"/>
  <c r="I78" i="3"/>
  <c r="H79" i="3"/>
  <c r="H80" i="3" s="1"/>
  <c r="H61" i="3"/>
  <c r="D1" i="7" l="1"/>
  <c r="E2" i="8"/>
  <c r="J29" i="6"/>
  <c r="L33" i="7" s="1"/>
  <c r="Q2" i="1"/>
  <c r="F2" i="7"/>
  <c r="O1" i="1"/>
  <c r="E50" i="3"/>
  <c r="G96" i="3"/>
  <c r="F97" i="3"/>
  <c r="F98" i="3" s="1"/>
  <c r="G87" i="3"/>
  <c r="G88" i="3" s="1"/>
  <c r="G89" i="3" s="1"/>
  <c r="F88" i="3"/>
  <c r="F89" i="3" s="1"/>
  <c r="H85" i="3"/>
  <c r="H83" i="3"/>
  <c r="H100" i="3" s="1"/>
  <c r="H84" i="3"/>
  <c r="I61" i="3"/>
  <c r="J78" i="3"/>
  <c r="I79" i="3"/>
  <c r="I80" i="3" s="1"/>
  <c r="E1" i="7" l="1"/>
  <c r="F2" i="8"/>
  <c r="P1" i="1"/>
  <c r="F50" i="3"/>
  <c r="R2" i="1"/>
  <c r="G2" i="7"/>
  <c r="H96" i="3"/>
  <c r="H97" i="3" s="1"/>
  <c r="G97" i="3"/>
  <c r="G98" i="3" s="1"/>
  <c r="I82" i="3"/>
  <c r="K78" i="3"/>
  <c r="J79" i="3"/>
  <c r="J80" i="3" s="1"/>
  <c r="J61" i="3"/>
  <c r="H86" i="3"/>
  <c r="H101" i="3" s="1"/>
  <c r="H17" i="8" s="1"/>
  <c r="F1" i="7" l="1"/>
  <c r="G2" i="8"/>
  <c r="K29" i="6"/>
  <c r="M33" i="7" s="1"/>
  <c r="S2" i="1"/>
  <c r="H2" i="7"/>
  <c r="Q1" i="1"/>
  <c r="G50" i="3"/>
  <c r="I96" i="3"/>
  <c r="I97" i="3" s="1"/>
  <c r="I101" i="3"/>
  <c r="I17" i="8" s="1"/>
  <c r="H98" i="3"/>
  <c r="J91" i="3"/>
  <c r="J82" i="3"/>
  <c r="I85" i="3"/>
  <c r="H87" i="3"/>
  <c r="L78" i="3"/>
  <c r="K79" i="3"/>
  <c r="K80" i="3" s="1"/>
  <c r="K61" i="3"/>
  <c r="G1" i="7" l="1"/>
  <c r="H2" i="8"/>
  <c r="I98" i="3"/>
  <c r="R1" i="1"/>
  <c r="H50" i="3"/>
  <c r="T2" i="1"/>
  <c r="I2" i="7"/>
  <c r="I87" i="3"/>
  <c r="K91" i="3"/>
  <c r="J94" i="3"/>
  <c r="J96" i="3" s="1"/>
  <c r="J97" i="3" s="1"/>
  <c r="J98" i="3" s="1"/>
  <c r="K82" i="3"/>
  <c r="J85" i="3"/>
  <c r="L61" i="3"/>
  <c r="M78" i="3"/>
  <c r="L79" i="3"/>
  <c r="L80" i="3" s="1"/>
  <c r="H89" i="3"/>
  <c r="H88" i="3"/>
  <c r="H1" i="7" l="1"/>
  <c r="I2" i="8"/>
  <c r="U2" i="1"/>
  <c r="J2" i="7"/>
  <c r="S1" i="1"/>
  <c r="I50" i="3"/>
  <c r="J87" i="3"/>
  <c r="K85" i="3"/>
  <c r="K83" i="3"/>
  <c r="L91" i="3"/>
  <c r="K94" i="3"/>
  <c r="K96" i="3" s="1"/>
  <c r="N78" i="3"/>
  <c r="M79" i="3"/>
  <c r="M80" i="3" s="1"/>
  <c r="M61" i="3"/>
  <c r="I88" i="3"/>
  <c r="I89" i="3" s="1"/>
  <c r="K84" i="3"/>
  <c r="I1" i="7" l="1"/>
  <c r="J2" i="8"/>
  <c r="M29" i="6"/>
  <c r="O33" i="7" s="1"/>
  <c r="L29" i="6"/>
  <c r="N33" i="7" s="1"/>
  <c r="K100" i="3"/>
  <c r="T1" i="1"/>
  <c r="J50" i="3"/>
  <c r="V2" i="1"/>
  <c r="K2" i="7"/>
  <c r="K97" i="3"/>
  <c r="K98" i="3" s="1"/>
  <c r="M91" i="3"/>
  <c r="L94" i="3"/>
  <c r="L96" i="3" s="1"/>
  <c r="L82" i="3"/>
  <c r="K86" i="3"/>
  <c r="K101" i="3" s="1"/>
  <c r="O78" i="3"/>
  <c r="N79" i="3"/>
  <c r="N80" i="3" s="1"/>
  <c r="N61" i="3"/>
  <c r="J88" i="3"/>
  <c r="J89" i="3" s="1"/>
  <c r="J1" i="7" l="1"/>
  <c r="K2" i="8"/>
  <c r="K17" i="8"/>
  <c r="W2" i="1"/>
  <c r="L2" i="7"/>
  <c r="U1" i="1"/>
  <c r="K50" i="3"/>
  <c r="L97" i="3"/>
  <c r="L98" i="3" s="1"/>
  <c r="N91" i="3"/>
  <c r="M94" i="3"/>
  <c r="M96" i="3" s="1"/>
  <c r="M82" i="3"/>
  <c r="L85" i="3"/>
  <c r="K87" i="3"/>
  <c r="O61" i="3"/>
  <c r="P78" i="3"/>
  <c r="O79" i="3"/>
  <c r="O80" i="3" s="1"/>
  <c r="K1" i="7" l="1"/>
  <c r="L2" i="8"/>
  <c r="V1" i="1"/>
  <c r="L50" i="3"/>
  <c r="X2" i="1"/>
  <c r="M2" i="7"/>
  <c r="L87" i="3"/>
  <c r="M97" i="3"/>
  <c r="M98" i="3" s="1"/>
  <c r="O91" i="3"/>
  <c r="N94" i="3"/>
  <c r="N96" i="3" s="1"/>
  <c r="N82" i="3"/>
  <c r="M85" i="3"/>
  <c r="K88" i="3"/>
  <c r="K89" i="3"/>
  <c r="Q78" i="3"/>
  <c r="P79" i="3"/>
  <c r="P80" i="3" s="1"/>
  <c r="P61" i="3"/>
  <c r="L1" i="7" l="1"/>
  <c r="M2" i="8"/>
  <c r="Y2" i="1"/>
  <c r="N2" i="7"/>
  <c r="W1" i="1"/>
  <c r="M50" i="3"/>
  <c r="M87" i="3"/>
  <c r="O100" i="3"/>
  <c r="N85" i="3"/>
  <c r="N83" i="3"/>
  <c r="N100" i="3" s="1"/>
  <c r="N97" i="3"/>
  <c r="N98" i="3" s="1"/>
  <c r="O94" i="3"/>
  <c r="Q61" i="3"/>
  <c r="R78" i="3"/>
  <c r="Q79" i="3"/>
  <c r="Q80" i="3" s="1"/>
  <c r="L88" i="3"/>
  <c r="L89" i="3" s="1"/>
  <c r="N84" i="3"/>
  <c r="M1" i="7" l="1"/>
  <c r="N2" i="8"/>
  <c r="X1" i="1"/>
  <c r="N50" i="3"/>
  <c r="Z2" i="1"/>
  <c r="O2" i="7"/>
  <c r="P91" i="3"/>
  <c r="P94" i="3" s="1"/>
  <c r="O96" i="3"/>
  <c r="O97" i="3" s="1"/>
  <c r="O98" i="3" s="1"/>
  <c r="O82" i="3"/>
  <c r="M88" i="3"/>
  <c r="M89" i="3" s="1"/>
  <c r="R79" i="3"/>
  <c r="N86" i="3"/>
  <c r="N101" i="3" s="1"/>
  <c r="N17" i="8" s="1"/>
  <c r="R61" i="3"/>
  <c r="N1" i="7" l="1"/>
  <c r="O2" i="8"/>
  <c r="AA2" i="1"/>
  <c r="P2" i="7"/>
  <c r="Y1" i="1"/>
  <c r="O50" i="3"/>
  <c r="Q91" i="3"/>
  <c r="R91" i="3" s="1"/>
  <c r="S91" i="3" s="1"/>
  <c r="T91" i="3" s="1"/>
  <c r="P101" i="3"/>
  <c r="P96" i="3"/>
  <c r="P97" i="3" s="1"/>
  <c r="P98" i="3" s="1"/>
  <c r="P100" i="3"/>
  <c r="S61" i="3"/>
  <c r="R80" i="3"/>
  <c r="S78" i="3"/>
  <c r="S79" i="3" s="1"/>
  <c r="O101" i="3"/>
  <c r="O17" i="8" s="1"/>
  <c r="P82" i="3"/>
  <c r="O85" i="3"/>
  <c r="N87" i="3"/>
  <c r="O1" i="7" l="1"/>
  <c r="P2" i="8"/>
  <c r="T94" i="3"/>
  <c r="U91" i="3"/>
  <c r="S80" i="3"/>
  <c r="T78" i="3"/>
  <c r="P17" i="8"/>
  <c r="Z1" i="1"/>
  <c r="P50" i="3"/>
  <c r="AB2" i="1"/>
  <c r="Q2" i="7"/>
  <c r="Q94" i="3"/>
  <c r="Q96" i="3" s="1"/>
  <c r="S94" i="3"/>
  <c r="R94" i="3"/>
  <c r="O87" i="3"/>
  <c r="Q82" i="3"/>
  <c r="P85" i="3"/>
  <c r="N89" i="3"/>
  <c r="N88" i="3"/>
  <c r="P1" i="7" l="1"/>
  <c r="Q2" i="8"/>
  <c r="U93" i="3"/>
  <c r="U94" i="3"/>
  <c r="T79" i="3"/>
  <c r="U77" i="3" s="1"/>
  <c r="U78" i="3" s="1"/>
  <c r="R2" i="7"/>
  <c r="AC2" i="1"/>
  <c r="AA1" i="1"/>
  <c r="Q50" i="3"/>
  <c r="Q85" i="3"/>
  <c r="Q83" i="3"/>
  <c r="R96" i="3"/>
  <c r="Q97" i="3"/>
  <c r="Q98" i="3" s="1"/>
  <c r="Q84" i="3"/>
  <c r="P87" i="3"/>
  <c r="O88" i="3"/>
  <c r="O89" i="3" s="1"/>
  <c r="Q1" i="7" l="1"/>
  <c r="R2" i="8"/>
  <c r="AD2" i="1"/>
  <c r="T2" i="7" s="1"/>
  <c r="S2" i="7"/>
  <c r="U80" i="3"/>
  <c r="U79" i="3"/>
  <c r="T80" i="3"/>
  <c r="AB1" i="1"/>
  <c r="S2" i="8" s="1"/>
  <c r="R50" i="3"/>
  <c r="R82" i="3"/>
  <c r="S82" i="3" s="1"/>
  <c r="T82" i="3" s="1"/>
  <c r="R97" i="3"/>
  <c r="P88" i="3"/>
  <c r="P89" i="3" s="1"/>
  <c r="Q86" i="3"/>
  <c r="U82" i="3" l="1"/>
  <c r="U84" i="3" s="1"/>
  <c r="T85" i="3"/>
  <c r="R1" i="7"/>
  <c r="AC1" i="1"/>
  <c r="S50" i="3"/>
  <c r="R85" i="3"/>
  <c r="Q87" i="3"/>
  <c r="R98" i="3"/>
  <c r="S96" i="3"/>
  <c r="S85" i="3"/>
  <c r="AD1" i="1" l="1"/>
  <c r="S1" i="7"/>
  <c r="T2" i="8"/>
  <c r="T50" i="3"/>
  <c r="R87" i="3"/>
  <c r="S97" i="3"/>
  <c r="T96" i="3" s="1"/>
  <c r="Q89" i="3"/>
  <c r="Q88" i="3"/>
  <c r="U2" i="8" l="1"/>
  <c r="U50" i="3"/>
  <c r="T1" i="7"/>
  <c r="S98" i="3"/>
  <c r="T97" i="3"/>
  <c r="U95" i="3" s="1"/>
  <c r="U96" i="3" s="1"/>
  <c r="R88" i="3"/>
  <c r="U98" i="3" l="1"/>
  <c r="U97" i="3"/>
  <c r="T98" i="3"/>
  <c r="R89" i="3"/>
  <c r="S101" i="3"/>
  <c r="S17" i="8" s="1"/>
  <c r="S87" i="3" l="1"/>
  <c r="S88" i="3" s="1"/>
  <c r="S89" i="3" l="1"/>
  <c r="H4" i="1"/>
  <c r="T87" i="3" l="1"/>
  <c r="T101" i="3"/>
  <c r="T17" i="8" s="1"/>
  <c r="H3" i="1"/>
  <c r="I4" i="1"/>
  <c r="T88" i="3" l="1"/>
  <c r="T89" i="3" s="1"/>
  <c r="J4" i="1"/>
  <c r="I3" i="1"/>
  <c r="H79" i="1"/>
  <c r="H74" i="1"/>
  <c r="U85" i="3" l="1"/>
  <c r="I79" i="1"/>
  <c r="I74" i="1"/>
  <c r="K4" i="1"/>
  <c r="C25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J3" i="1"/>
  <c r="U86" i="3" l="1"/>
  <c r="J79" i="1"/>
  <c r="J74" i="1"/>
  <c r="K3" i="1"/>
  <c r="L4" i="1"/>
  <c r="K74" i="1" l="1"/>
  <c r="K79" i="1"/>
  <c r="U87" i="3"/>
  <c r="L3" i="1"/>
  <c r="M4" i="1"/>
  <c r="L74" i="1" l="1"/>
  <c r="L79" i="1"/>
  <c r="U88" i="3"/>
  <c r="U89" i="3"/>
  <c r="C4" i="7"/>
  <c r="N4" i="1"/>
  <c r="E3" i="8" s="1"/>
  <c r="E22" i="8" s="1"/>
  <c r="M3" i="1"/>
  <c r="D53" i="3"/>
  <c r="M74" i="1" l="1"/>
  <c r="M79" i="1"/>
  <c r="D43" i="8"/>
  <c r="D51" i="3"/>
  <c r="C3" i="7"/>
  <c r="D4" i="7"/>
  <c r="B9" i="6"/>
  <c r="O4" i="1"/>
  <c r="F3" i="8" s="1"/>
  <c r="F22" i="8" s="1"/>
  <c r="N3" i="1"/>
  <c r="E1" i="8" s="1"/>
  <c r="E53" i="3"/>
  <c r="B23" i="6"/>
  <c r="B50" i="8" l="1"/>
  <c r="D65" i="7"/>
  <c r="E51" i="3"/>
  <c r="D3" i="7"/>
  <c r="D67" i="7" s="1"/>
  <c r="E4" i="7"/>
  <c r="C9" i="6"/>
  <c r="P4" i="1"/>
  <c r="G3" i="8" s="1"/>
  <c r="G22" i="8" s="1"/>
  <c r="C23" i="6"/>
  <c r="F53" i="3"/>
  <c r="O3" i="1"/>
  <c r="F1" i="8" s="1"/>
  <c r="D26" i="8" l="1"/>
  <c r="B51" i="8"/>
  <c r="D27" i="8" s="1"/>
  <c r="B49" i="8"/>
  <c r="D25" i="8" s="1"/>
  <c r="F51" i="3"/>
  <c r="E3" i="7"/>
  <c r="E67" i="7" s="1"/>
  <c r="F4" i="7"/>
  <c r="D23" i="6"/>
  <c r="P3" i="1"/>
  <c r="G1" i="8" s="1"/>
  <c r="D9" i="6"/>
  <c r="Q4" i="1"/>
  <c r="H3" i="8" s="1"/>
  <c r="H22" i="8" s="1"/>
  <c r="G53" i="3"/>
  <c r="D9" i="7"/>
  <c r="D10" i="7" s="1"/>
  <c r="D11" i="7" s="1"/>
  <c r="D17" i="7" l="1"/>
  <c r="D18" i="7"/>
  <c r="D68" i="7"/>
  <c r="E65" i="7"/>
  <c r="G51" i="3"/>
  <c r="F3" i="7"/>
  <c r="F67" i="7" s="1"/>
  <c r="E9" i="7"/>
  <c r="E10" i="7" s="1"/>
  <c r="E11" i="7" s="1"/>
  <c r="F65" i="7"/>
  <c r="G4" i="7"/>
  <c r="E23" i="6"/>
  <c r="R4" i="1"/>
  <c r="I3" i="8" s="1"/>
  <c r="I22" i="8" s="1"/>
  <c r="Q3" i="1"/>
  <c r="H1" i="8" s="1"/>
  <c r="H53" i="3"/>
  <c r="E9" i="6"/>
  <c r="D19" i="7" l="1"/>
  <c r="D57" i="7"/>
  <c r="E17" i="7"/>
  <c r="E18" i="7"/>
  <c r="H51" i="3"/>
  <c r="G3" i="7"/>
  <c r="G67" i="7" s="1"/>
  <c r="F9" i="7"/>
  <c r="F10" i="7" s="1"/>
  <c r="F11" i="7" s="1"/>
  <c r="F17" i="7" s="1"/>
  <c r="G65" i="7"/>
  <c r="H4" i="7"/>
  <c r="F9" i="6"/>
  <c r="S4" i="1"/>
  <c r="J3" i="8" s="1"/>
  <c r="J22" i="8" s="1"/>
  <c r="I53" i="3"/>
  <c r="F23" i="6"/>
  <c r="R3" i="1"/>
  <c r="I1" i="8" s="1"/>
  <c r="E68" i="7"/>
  <c r="E19" i="7" l="1"/>
  <c r="E58" i="7" s="1"/>
  <c r="E59" i="7" s="1"/>
  <c r="E70" i="7" s="1"/>
  <c r="F19" i="7"/>
  <c r="F22" i="7" s="1"/>
  <c r="D58" i="7"/>
  <c r="D59" i="7" s="1"/>
  <c r="D26" i="7"/>
  <c r="D22" i="7"/>
  <c r="E5" i="8" s="1"/>
  <c r="E14" i="8" s="1"/>
  <c r="D25" i="7"/>
  <c r="F25" i="7"/>
  <c r="F68" i="7"/>
  <c r="I4" i="7"/>
  <c r="G9" i="6"/>
  <c r="S3" i="1"/>
  <c r="J1" i="8" s="1"/>
  <c r="T4" i="1"/>
  <c r="K3" i="8" s="1"/>
  <c r="K22" i="8" s="1"/>
  <c r="J53" i="3"/>
  <c r="G23" i="6"/>
  <c r="I51" i="3"/>
  <c r="H3" i="7"/>
  <c r="H67" i="7" s="1"/>
  <c r="G9" i="7"/>
  <c r="G10" i="7" s="1"/>
  <c r="G11" i="7" s="1"/>
  <c r="G17" i="7" s="1"/>
  <c r="H65" i="7"/>
  <c r="G19" i="7" l="1"/>
  <c r="G58" i="7" s="1"/>
  <c r="G59" i="7" s="1"/>
  <c r="G70" i="7" s="1"/>
  <c r="F26" i="7"/>
  <c r="D60" i="7"/>
  <c r="F58" i="7"/>
  <c r="F59" i="7" s="1"/>
  <c r="F70" i="7" s="1"/>
  <c r="D70" i="7"/>
  <c r="D72" i="7" s="1"/>
  <c r="E15" i="8" s="1"/>
  <c r="E16" i="8" s="1"/>
  <c r="E57" i="7"/>
  <c r="E60" i="7" s="1"/>
  <c r="F57" i="7"/>
  <c r="D27" i="7"/>
  <c r="D28" i="7" s="1"/>
  <c r="G25" i="7"/>
  <c r="E26" i="7"/>
  <c r="E22" i="7"/>
  <c r="F5" i="8" s="1"/>
  <c r="F6" i="8" s="1"/>
  <c r="E25" i="7"/>
  <c r="J4" i="7"/>
  <c r="K53" i="3"/>
  <c r="H23" i="6"/>
  <c r="H9" i="6"/>
  <c r="U4" i="1"/>
  <c r="L3" i="8" s="1"/>
  <c r="L22" i="8" s="1"/>
  <c r="T3" i="1"/>
  <c r="K1" i="8" s="1"/>
  <c r="G5" i="8"/>
  <c r="F27" i="7"/>
  <c r="F28" i="7" s="1"/>
  <c r="H9" i="7"/>
  <c r="H10" i="7" s="1"/>
  <c r="H11" i="7" s="1"/>
  <c r="H17" i="7" s="1"/>
  <c r="I65" i="7"/>
  <c r="G68" i="7"/>
  <c r="J51" i="3"/>
  <c r="I3" i="7"/>
  <c r="I67" i="7" s="1"/>
  <c r="F18" i="8" l="1"/>
  <c r="G22" i="7"/>
  <c r="G57" i="7"/>
  <c r="F60" i="7"/>
  <c r="G26" i="7"/>
  <c r="H19" i="7"/>
  <c r="H58" i="7" s="1"/>
  <c r="H59" i="7" s="1"/>
  <c r="H70" i="7" s="1"/>
  <c r="E72" i="7"/>
  <c r="F15" i="8" s="1"/>
  <c r="F16" i="8" s="1"/>
  <c r="F72" i="7"/>
  <c r="G15" i="8" s="1"/>
  <c r="G16" i="8" s="1"/>
  <c r="E7" i="8"/>
  <c r="E8" i="8" s="1"/>
  <c r="D29" i="7"/>
  <c r="D31" i="7"/>
  <c r="E27" i="7"/>
  <c r="E28" i="7" s="1"/>
  <c r="H57" i="7"/>
  <c r="G60" i="7"/>
  <c r="F29" i="7"/>
  <c r="G7" i="8"/>
  <c r="G8" i="8" s="1"/>
  <c r="I9" i="7"/>
  <c r="I10" i="7" s="1"/>
  <c r="I11" i="7" s="1"/>
  <c r="I17" i="7" s="1"/>
  <c r="J65" i="7"/>
  <c r="H68" i="7"/>
  <c r="H5" i="8"/>
  <c r="G27" i="7"/>
  <c r="G28" i="7" s="1"/>
  <c r="G6" i="8"/>
  <c r="K51" i="3"/>
  <c r="J3" i="7"/>
  <c r="J67" i="7" s="1"/>
  <c r="K4" i="7"/>
  <c r="V4" i="1"/>
  <c r="M3" i="8" s="1"/>
  <c r="M22" i="8" s="1"/>
  <c r="L53" i="3"/>
  <c r="I23" i="6"/>
  <c r="U3" i="1"/>
  <c r="L1" i="8" s="1"/>
  <c r="I9" i="6"/>
  <c r="H22" i="7" l="1"/>
  <c r="H26" i="7"/>
  <c r="H25" i="7"/>
  <c r="I19" i="7"/>
  <c r="I58" i="7" s="1"/>
  <c r="I59" i="7" s="1"/>
  <c r="I70" i="7" s="1"/>
  <c r="G72" i="7"/>
  <c r="H15" i="8" s="1"/>
  <c r="H16" i="8" s="1"/>
  <c r="E9" i="8"/>
  <c r="D34" i="7"/>
  <c r="D36" i="7" s="1"/>
  <c r="D32" i="7"/>
  <c r="E29" i="7"/>
  <c r="F7" i="8"/>
  <c r="F8" i="8" s="1"/>
  <c r="H7" i="8"/>
  <c r="H8" i="8" s="1"/>
  <c r="G29" i="7"/>
  <c r="I57" i="7"/>
  <c r="I5" i="8"/>
  <c r="H27" i="7"/>
  <c r="H28" i="7" s="1"/>
  <c r="I68" i="7"/>
  <c r="L51" i="3"/>
  <c r="K3" i="7"/>
  <c r="K67" i="7" s="1"/>
  <c r="H6" i="8"/>
  <c r="H18" i="8"/>
  <c r="L4" i="7"/>
  <c r="W4" i="1"/>
  <c r="M53" i="3"/>
  <c r="J23" i="6"/>
  <c r="V3" i="1"/>
  <c r="M1" i="8" s="1"/>
  <c r="J9" i="6"/>
  <c r="J9" i="7"/>
  <c r="J10" i="7" s="1"/>
  <c r="J11" i="7" s="1"/>
  <c r="J17" i="7" s="1"/>
  <c r="K65" i="7"/>
  <c r="H60" i="7"/>
  <c r="I25" i="7" l="1"/>
  <c r="I22" i="7"/>
  <c r="J5" i="8" s="1"/>
  <c r="I26" i="7"/>
  <c r="J19" i="7"/>
  <c r="J58" i="7" s="1"/>
  <c r="J59" i="7" s="1"/>
  <c r="J70" i="7" s="1"/>
  <c r="E10" i="8"/>
  <c r="E11" i="8"/>
  <c r="N3" i="8"/>
  <c r="N22" i="8" s="1"/>
  <c r="K23" i="6"/>
  <c r="K9" i="6"/>
  <c r="H72" i="7"/>
  <c r="I15" i="8" s="1"/>
  <c r="I16" i="8" s="1"/>
  <c r="D35" i="7"/>
  <c r="J68" i="7"/>
  <c r="H29" i="7"/>
  <c r="I7" i="8"/>
  <c r="I8" i="8" s="1"/>
  <c r="K9" i="7"/>
  <c r="K10" i="7" s="1"/>
  <c r="K11" i="7" s="1"/>
  <c r="K17" i="7" s="1"/>
  <c r="L65" i="7"/>
  <c r="I6" i="8"/>
  <c r="I18" i="8"/>
  <c r="M4" i="7"/>
  <c r="N53" i="3"/>
  <c r="X4" i="1"/>
  <c r="W3" i="1"/>
  <c r="N1" i="8" s="1"/>
  <c r="M51" i="3"/>
  <c r="L3" i="7"/>
  <c r="L67" i="7" s="1"/>
  <c r="J57" i="7"/>
  <c r="I60" i="7"/>
  <c r="J22" i="7" l="1"/>
  <c r="I27" i="7"/>
  <c r="I28" i="7" s="1"/>
  <c r="J26" i="7"/>
  <c r="J25" i="7"/>
  <c r="J27" i="7" s="1"/>
  <c r="J28" i="7" s="1"/>
  <c r="K19" i="7"/>
  <c r="K58" i="7" s="1"/>
  <c r="K59" i="7" s="1"/>
  <c r="K70" i="7" s="1"/>
  <c r="O3" i="8"/>
  <c r="O22" i="8" s="1"/>
  <c r="L23" i="6"/>
  <c r="L9" i="6"/>
  <c r="J60" i="7"/>
  <c r="I72" i="7"/>
  <c r="J15" i="8" s="1"/>
  <c r="J16" i="8" s="1"/>
  <c r="K68" i="7"/>
  <c r="I29" i="7"/>
  <c r="J7" i="8"/>
  <c r="J8" i="8" s="1"/>
  <c r="K5" i="8"/>
  <c r="J6" i="8"/>
  <c r="J18" i="8"/>
  <c r="L9" i="7"/>
  <c r="L10" i="7" s="1"/>
  <c r="L11" i="7" s="1"/>
  <c r="L17" i="7" s="1"/>
  <c r="M65" i="7"/>
  <c r="N51" i="3"/>
  <c r="M3" i="7"/>
  <c r="M67" i="7" s="1"/>
  <c r="N4" i="7"/>
  <c r="O53" i="3"/>
  <c r="Y4" i="1"/>
  <c r="X3" i="1"/>
  <c r="O1" i="8" s="1"/>
  <c r="K57" i="7"/>
  <c r="K26" i="7" l="1"/>
  <c r="K25" i="7"/>
  <c r="L19" i="7"/>
  <c r="L58" i="7" s="1"/>
  <c r="L59" i="7" s="1"/>
  <c r="L70" i="7" s="1"/>
  <c r="K22" i="7"/>
  <c r="L5" i="8" s="1"/>
  <c r="P3" i="8"/>
  <c r="P22" i="8" s="1"/>
  <c r="M23" i="6"/>
  <c r="M9" i="6"/>
  <c r="J72" i="7"/>
  <c r="K15" i="8" s="1"/>
  <c r="K16" i="8" s="1"/>
  <c r="K60" i="7"/>
  <c r="L68" i="7"/>
  <c r="K7" i="8"/>
  <c r="K8" i="8" s="1"/>
  <c r="J29" i="7"/>
  <c r="M9" i="7"/>
  <c r="M10" i="7" s="1"/>
  <c r="M11" i="7" s="1"/>
  <c r="M17" i="7" s="1"/>
  <c r="N65" i="7"/>
  <c r="K6" i="8"/>
  <c r="K18" i="8"/>
  <c r="O51" i="3"/>
  <c r="N3" i="7"/>
  <c r="N67" i="7" s="1"/>
  <c r="O4" i="7"/>
  <c r="Z4" i="1"/>
  <c r="P53" i="3"/>
  <c r="Y3" i="1"/>
  <c r="P1" i="8" s="1"/>
  <c r="L57" i="7"/>
  <c r="L25" i="7" l="1"/>
  <c r="K27" i="7"/>
  <c r="K28" i="7" s="1"/>
  <c r="L7" i="8" s="1"/>
  <c r="L8" i="8" s="1"/>
  <c r="L26" i="7"/>
  <c r="L27" i="7" s="1"/>
  <c r="M19" i="7"/>
  <c r="M58" i="7" s="1"/>
  <c r="M59" i="7" s="1"/>
  <c r="M70" i="7" s="1"/>
  <c r="L22" i="7"/>
  <c r="M5" i="8" s="1"/>
  <c r="Q3" i="8"/>
  <c r="Q22" i="8" s="1"/>
  <c r="N23" i="6"/>
  <c r="N9" i="6"/>
  <c r="K72" i="7"/>
  <c r="L15" i="8" s="1"/>
  <c r="L16" i="8" s="1"/>
  <c r="M68" i="7"/>
  <c r="M57" i="7"/>
  <c r="L60" i="7"/>
  <c r="P51" i="3"/>
  <c r="O3" i="7"/>
  <c r="O67" i="7" s="1"/>
  <c r="L6" i="8"/>
  <c r="N9" i="7"/>
  <c r="N10" i="7" s="1"/>
  <c r="N11" i="7" s="1"/>
  <c r="N17" i="7" s="1"/>
  <c r="O65" i="7"/>
  <c r="P4" i="7"/>
  <c r="AA4" i="1"/>
  <c r="Q53" i="3"/>
  <c r="Z3" i="1"/>
  <c r="Q1" i="8" s="1"/>
  <c r="K29" i="7" l="1"/>
  <c r="L28" i="7"/>
  <c r="L29" i="7" s="1"/>
  <c r="M25" i="7"/>
  <c r="M27" i="7" s="1"/>
  <c r="M22" i="7"/>
  <c r="N5" i="8" s="1"/>
  <c r="N19" i="7"/>
  <c r="N58" i="7" s="1"/>
  <c r="N59" i="7" s="1"/>
  <c r="N70" i="7" s="1"/>
  <c r="M26" i="7"/>
  <c r="R3" i="8"/>
  <c r="R22" i="8" s="1"/>
  <c r="O23" i="6"/>
  <c r="O9" i="6"/>
  <c r="L72" i="7"/>
  <c r="M15" i="8" s="1"/>
  <c r="M16" i="8" s="1"/>
  <c r="N68" i="7"/>
  <c r="M7" i="8"/>
  <c r="M8" i="8" s="1"/>
  <c r="N57" i="7"/>
  <c r="Q4" i="7"/>
  <c r="AB4" i="1"/>
  <c r="R53" i="3"/>
  <c r="AA3" i="1"/>
  <c r="R1" i="8" s="1"/>
  <c r="D37" i="7"/>
  <c r="D38" i="7" s="1"/>
  <c r="M60" i="7"/>
  <c r="O9" i="7"/>
  <c r="O10" i="7" s="1"/>
  <c r="O11" i="7" s="1"/>
  <c r="O17" i="7" s="1"/>
  <c r="P65" i="7"/>
  <c r="Q51" i="3"/>
  <c r="P3" i="7"/>
  <c r="P67" i="7" s="1"/>
  <c r="M6" i="8"/>
  <c r="M18" i="8"/>
  <c r="M28" i="7" l="1"/>
  <c r="M29" i="7" s="1"/>
  <c r="N25" i="7"/>
  <c r="N26" i="7"/>
  <c r="O19" i="7"/>
  <c r="O58" i="7" s="1"/>
  <c r="O59" i="7" s="1"/>
  <c r="O70" i="7" s="1"/>
  <c r="N22" i="7"/>
  <c r="O5" i="8" s="1"/>
  <c r="AC4" i="1"/>
  <c r="S3" i="8"/>
  <c r="S22" i="8" s="1"/>
  <c r="P23" i="6"/>
  <c r="P9" i="6"/>
  <c r="M72" i="7"/>
  <c r="N15" i="8" s="1"/>
  <c r="N16" i="8" s="1"/>
  <c r="AC3" i="1"/>
  <c r="AD4" i="1"/>
  <c r="O68" i="7"/>
  <c r="N7" i="8"/>
  <c r="N8" i="8" s="1"/>
  <c r="O57" i="7"/>
  <c r="R51" i="3"/>
  <c r="Q3" i="7"/>
  <c r="Q67" i="7" s="1"/>
  <c r="P9" i="7"/>
  <c r="P10" i="7" s="1"/>
  <c r="P11" i="7" s="1"/>
  <c r="P17" i="7" s="1"/>
  <c r="Q65" i="7"/>
  <c r="N60" i="7"/>
  <c r="N6" i="8"/>
  <c r="N18" i="8"/>
  <c r="E12" i="8"/>
  <c r="R4" i="7"/>
  <c r="S53" i="3"/>
  <c r="AB3" i="1"/>
  <c r="S1" i="8" s="1"/>
  <c r="N27" i="7"/>
  <c r="N28" i="7" s="1"/>
  <c r="O22" i="7" l="1"/>
  <c r="O25" i="7"/>
  <c r="P19" i="7"/>
  <c r="P58" i="7" s="1"/>
  <c r="P59" i="7" s="1"/>
  <c r="P70" i="7" s="1"/>
  <c r="O26" i="7"/>
  <c r="O27" i="7" s="1"/>
  <c r="O28" i="7" s="1"/>
  <c r="AD3" i="1"/>
  <c r="U53" i="3"/>
  <c r="T4" i="7"/>
  <c r="U3" i="8"/>
  <c r="U22" i="8" s="1"/>
  <c r="R23" i="6"/>
  <c r="R9" i="6"/>
  <c r="S3" i="7"/>
  <c r="T51" i="3"/>
  <c r="T1" i="8"/>
  <c r="T53" i="3"/>
  <c r="T3" i="8"/>
  <c r="T22" i="8" s="1"/>
  <c r="S4" i="7"/>
  <c r="Q23" i="6"/>
  <c r="Q9" i="6"/>
  <c r="N72" i="7"/>
  <c r="O15" i="8" s="1"/>
  <c r="O16" i="8" s="1"/>
  <c r="P26" i="7"/>
  <c r="P68" i="7"/>
  <c r="O60" i="7"/>
  <c r="O18" i="8"/>
  <c r="Q9" i="7"/>
  <c r="Q10" i="7" s="1"/>
  <c r="Q11" i="7" s="1"/>
  <c r="Q17" i="7" s="1"/>
  <c r="R65" i="7"/>
  <c r="S51" i="3"/>
  <c r="B52" i="3" s="1"/>
  <c r="R3" i="7"/>
  <c r="R67" i="7" s="1"/>
  <c r="O6" i="8"/>
  <c r="N29" i="7"/>
  <c r="O7" i="8"/>
  <c r="O8" i="8" s="1"/>
  <c r="P57" i="7"/>
  <c r="P5" i="8"/>
  <c r="P22" i="7" l="1"/>
  <c r="P25" i="7"/>
  <c r="Q19" i="7"/>
  <c r="Q58" i="7" s="1"/>
  <c r="Q59" i="7" s="1"/>
  <c r="Q70" i="7" s="1"/>
  <c r="S9" i="7"/>
  <c r="S10" i="7" s="1"/>
  <c r="S11" i="7" s="1"/>
  <c r="S17" i="7" s="1"/>
  <c r="S19" i="7" s="1"/>
  <c r="S67" i="7"/>
  <c r="T65" i="7" s="1"/>
  <c r="T3" i="7"/>
  <c r="U1" i="8"/>
  <c r="U51" i="3"/>
  <c r="O72" i="7"/>
  <c r="P15" i="8" s="1"/>
  <c r="P16" i="8" s="1"/>
  <c r="Q68" i="7"/>
  <c r="P7" i="8"/>
  <c r="P8" i="8" s="1"/>
  <c r="O29" i="7"/>
  <c r="Q57" i="7"/>
  <c r="P6" i="8"/>
  <c r="P18" i="8"/>
  <c r="R9" i="7"/>
  <c r="R10" i="7" s="1"/>
  <c r="R11" i="7" s="1"/>
  <c r="R17" i="7" s="1"/>
  <c r="S65" i="7"/>
  <c r="Q5" i="8"/>
  <c r="P27" i="7"/>
  <c r="P28" i="7" s="1"/>
  <c r="P60" i="7"/>
  <c r="Q22" i="7" l="1"/>
  <c r="Q26" i="7"/>
  <c r="R19" i="7"/>
  <c r="R58" i="7" s="1"/>
  <c r="R59" i="7" s="1"/>
  <c r="R70" i="7" s="1"/>
  <c r="S68" i="7"/>
  <c r="Q25" i="7"/>
  <c r="T9" i="7"/>
  <c r="T10" i="7" s="1"/>
  <c r="T11" i="7" s="1"/>
  <c r="T17" i="7" s="1"/>
  <c r="T19" i="7" s="1"/>
  <c r="T67" i="7"/>
  <c r="T68" i="7" s="1"/>
  <c r="S58" i="7"/>
  <c r="S59" i="7" s="1"/>
  <c r="S22" i="7"/>
  <c r="T5" i="8" s="1"/>
  <c r="T18" i="8" s="1"/>
  <c r="S25" i="7"/>
  <c r="S26" i="7"/>
  <c r="P72" i="7"/>
  <c r="Q15" i="8" s="1"/>
  <c r="Q16" i="8" s="1"/>
  <c r="P29" i="7"/>
  <c r="Q7" i="8"/>
  <c r="Q8" i="8" s="1"/>
  <c r="R5" i="8"/>
  <c r="R57" i="7"/>
  <c r="Q60" i="7"/>
  <c r="Q6" i="8"/>
  <c r="R68" i="7"/>
  <c r="R25" i="7" l="1"/>
  <c r="R26" i="7"/>
  <c r="R22" i="7"/>
  <c r="S5" i="8" s="1"/>
  <c r="T6" i="8" s="1"/>
  <c r="Q27" i="7"/>
  <c r="Q28" i="7" s="1"/>
  <c r="R7" i="8" s="1"/>
  <c r="R8" i="8" s="1"/>
  <c r="S27" i="7"/>
  <c r="S28" i="7" s="1"/>
  <c r="S70" i="7"/>
  <c r="T57" i="7"/>
  <c r="T58" i="7"/>
  <c r="T59" i="7" s="1"/>
  <c r="T70" i="7" s="1"/>
  <c r="T26" i="7"/>
  <c r="T22" i="7"/>
  <c r="U5" i="8" s="1"/>
  <c r="U6" i="8" s="1"/>
  <c r="T25" i="7"/>
  <c r="Q72" i="7"/>
  <c r="R15" i="8" s="1"/>
  <c r="R16" i="8" s="1"/>
  <c r="S57" i="7"/>
  <c r="S60" i="7" s="1"/>
  <c r="R27" i="7"/>
  <c r="R28" i="7" s="1"/>
  <c r="R6" i="8"/>
  <c r="R18" i="8"/>
  <c r="R60" i="7"/>
  <c r="Q29" i="7" l="1"/>
  <c r="T72" i="7"/>
  <c r="U15" i="8" s="1"/>
  <c r="U16" i="8" s="1"/>
  <c r="T27" i="7"/>
  <c r="T28" i="7" s="1"/>
  <c r="U7" i="8" s="1"/>
  <c r="U8" i="8" s="1"/>
  <c r="T60" i="7"/>
  <c r="T7" i="8"/>
  <c r="T8" i="8" s="1"/>
  <c r="S29" i="7"/>
  <c r="R72" i="7"/>
  <c r="S15" i="8" s="1"/>
  <c r="S16" i="8" s="1"/>
  <c r="S72" i="7"/>
  <c r="T15" i="8" s="1"/>
  <c r="T16" i="8" s="1"/>
  <c r="S7" i="8"/>
  <c r="S8" i="8" s="1"/>
  <c r="R29" i="7"/>
  <c r="S6" i="8"/>
  <c r="S18" i="8"/>
  <c r="E100" i="3"/>
  <c r="E17" i="8" s="1"/>
  <c r="E70" i="3"/>
  <c r="E71" i="3" s="1"/>
  <c r="F64" i="3"/>
  <c r="F67" i="3" s="1"/>
  <c r="T29" i="7" l="1"/>
  <c r="E19" i="8"/>
  <c r="E18" i="8"/>
  <c r="G64" i="3"/>
  <c r="G65" i="3" l="1"/>
  <c r="G67" i="3"/>
  <c r="F102" i="3"/>
  <c r="F69" i="3"/>
  <c r="G100" i="3"/>
  <c r="G66" i="3"/>
  <c r="E26" i="8"/>
  <c r="E25" i="8"/>
  <c r="E27" i="8"/>
  <c r="H64" i="3" l="1"/>
  <c r="H67" i="3" s="1"/>
  <c r="E30" i="7"/>
  <c r="E31" i="7" s="1"/>
  <c r="F13" i="8"/>
  <c r="F14" i="8" s="1"/>
  <c r="G102" i="3"/>
  <c r="F70" i="3"/>
  <c r="G68" i="3" s="1"/>
  <c r="G101" i="3" s="1"/>
  <c r="G17" i="8" s="1"/>
  <c r="G18" i="8" s="1"/>
  <c r="I64" i="3" l="1"/>
  <c r="I67" i="3" s="1"/>
  <c r="G69" i="3"/>
  <c r="H69" i="3" s="1"/>
  <c r="F71" i="3"/>
  <c r="F30" i="7"/>
  <c r="F31" i="7" s="1"/>
  <c r="G13" i="8"/>
  <c r="G14" i="8" s="1"/>
  <c r="H102" i="3"/>
  <c r="G71" i="3"/>
  <c r="G70" i="3"/>
  <c r="F9" i="8"/>
  <c r="F11" i="8" s="1"/>
  <c r="E32" i="7"/>
  <c r="E34" i="7"/>
  <c r="E36" i="7" s="1"/>
  <c r="J64" i="3"/>
  <c r="E35" i="7" l="1"/>
  <c r="H70" i="3"/>
  <c r="H71" i="3" s="1"/>
  <c r="H13" i="8"/>
  <c r="H14" i="8" s="1"/>
  <c r="G30" i="7"/>
  <c r="G31" i="7" s="1"/>
  <c r="K64" i="3"/>
  <c r="J67" i="3"/>
  <c r="F10" i="8"/>
  <c r="I69" i="3"/>
  <c r="I102" i="3"/>
  <c r="G9" i="8"/>
  <c r="G11" i="8" s="1"/>
  <c r="F32" i="7"/>
  <c r="F34" i="7"/>
  <c r="F36" i="7" s="1"/>
  <c r="I13" i="8" l="1"/>
  <c r="I14" i="8" s="1"/>
  <c r="H30" i="7"/>
  <c r="H31" i="7" s="1"/>
  <c r="J102" i="3"/>
  <c r="J69" i="3"/>
  <c r="I70" i="3"/>
  <c r="I71" i="3" s="1"/>
  <c r="L64" i="3"/>
  <c r="K67" i="3"/>
  <c r="F35" i="7"/>
  <c r="G10" i="8"/>
  <c r="H9" i="8"/>
  <c r="H11" i="8" s="1"/>
  <c r="G32" i="7"/>
  <c r="G34" i="7"/>
  <c r="G36" i="7" s="1"/>
  <c r="G35" i="7" l="1"/>
  <c r="H10" i="8"/>
  <c r="K102" i="3"/>
  <c r="K69" i="3"/>
  <c r="J70" i="3"/>
  <c r="J71" i="3" s="1"/>
  <c r="I30" i="7"/>
  <c r="I31" i="7" s="1"/>
  <c r="J13" i="8"/>
  <c r="J14" i="8" s="1"/>
  <c r="L65" i="3"/>
  <c r="L100" i="3" s="1"/>
  <c r="L66" i="3"/>
  <c r="L68" i="3"/>
  <c r="L101" i="3" s="1"/>
  <c r="L67" i="3"/>
  <c r="I9" i="8"/>
  <c r="I11" i="8" s="1"/>
  <c r="H32" i="7"/>
  <c r="H34" i="7"/>
  <c r="H36" i="7" s="1"/>
  <c r="L17" i="8" l="1"/>
  <c r="L18" i="8" s="1"/>
  <c r="E37" i="7"/>
  <c r="E38" i="7" s="1"/>
  <c r="L102" i="3"/>
  <c r="L69" i="3"/>
  <c r="I34" i="7"/>
  <c r="I36" i="7" s="1"/>
  <c r="J9" i="8"/>
  <c r="J11" i="8" s="1"/>
  <c r="I32" i="7"/>
  <c r="H35" i="7"/>
  <c r="I10" i="8"/>
  <c r="M64" i="3"/>
  <c r="K70" i="3"/>
  <c r="K71" i="3" s="1"/>
  <c r="K13" i="8"/>
  <c r="K14" i="8" s="1"/>
  <c r="J30" i="7"/>
  <c r="J31" i="7" s="1"/>
  <c r="F37" i="7" l="1"/>
  <c r="F38" i="7" s="1"/>
  <c r="L71" i="3"/>
  <c r="L70" i="3"/>
  <c r="K30" i="7"/>
  <c r="K31" i="7" s="1"/>
  <c r="L13" i="8"/>
  <c r="L14" i="8" s="1"/>
  <c r="J34" i="7"/>
  <c r="J36" i="7" s="1"/>
  <c r="K9" i="8"/>
  <c r="K11" i="8" s="1"/>
  <c r="J32" i="7"/>
  <c r="J10" i="8"/>
  <c r="N64" i="3"/>
  <c r="M67" i="3"/>
  <c r="I35" i="7"/>
  <c r="F19" i="8"/>
  <c r="F12" i="8"/>
  <c r="F25" i="8" l="1"/>
  <c r="F20" i="8"/>
  <c r="F27" i="8"/>
  <c r="F26" i="8"/>
  <c r="K10" i="8"/>
  <c r="K34" i="7"/>
  <c r="K36" i="7" s="1"/>
  <c r="L9" i="8"/>
  <c r="L11" i="8" s="1"/>
  <c r="K32" i="7"/>
  <c r="J35" i="7"/>
  <c r="M102" i="3"/>
  <c r="M69" i="3"/>
  <c r="N67" i="3"/>
  <c r="O64" i="3"/>
  <c r="G19" i="8"/>
  <c r="G12" i="8"/>
  <c r="M13" i="8" l="1"/>
  <c r="M14" i="8" s="1"/>
  <c r="L30" i="7"/>
  <c r="L31" i="7" s="1"/>
  <c r="L10" i="8"/>
  <c r="G37" i="7"/>
  <c r="G38" i="7" s="1"/>
  <c r="M70" i="3"/>
  <c r="M71" i="3" s="1"/>
  <c r="O67" i="3"/>
  <c r="P64" i="3"/>
  <c r="G20" i="8"/>
  <c r="G27" i="8"/>
  <c r="G26" i="8"/>
  <c r="G25" i="8"/>
  <c r="N102" i="3"/>
  <c r="N69" i="3"/>
  <c r="K35" i="7"/>
  <c r="N70" i="3" l="1"/>
  <c r="N71" i="3" s="1"/>
  <c r="M9" i="8"/>
  <c r="M11" i="8" s="1"/>
  <c r="L32" i="7"/>
  <c r="L34" i="7"/>
  <c r="L36" i="7" s="1"/>
  <c r="O102" i="3"/>
  <c r="O69" i="3"/>
  <c r="H19" i="8"/>
  <c r="H12" i="8"/>
  <c r="M30" i="7"/>
  <c r="M31" i="7" s="1"/>
  <c r="N13" i="8"/>
  <c r="N14" i="8" s="1"/>
  <c r="Q64" i="3"/>
  <c r="P67" i="3"/>
  <c r="H37" i="7" l="1"/>
  <c r="H38" i="7" s="1"/>
  <c r="O70" i="3"/>
  <c r="O71" i="3" s="1"/>
  <c r="M10" i="8"/>
  <c r="P102" i="3"/>
  <c r="P69" i="3"/>
  <c r="L35" i="7"/>
  <c r="N30" i="7"/>
  <c r="N31" i="7" s="1"/>
  <c r="O13" i="8"/>
  <c r="O14" i="8" s="1"/>
  <c r="Q65" i="3"/>
  <c r="Q100" i="3" s="1"/>
  <c r="Q68" i="3"/>
  <c r="Q101" i="3" s="1"/>
  <c r="Q67" i="3"/>
  <c r="Q66" i="3"/>
  <c r="N9" i="8"/>
  <c r="N11" i="8" s="1"/>
  <c r="M34" i="7"/>
  <c r="M36" i="7" s="1"/>
  <c r="M32" i="7"/>
  <c r="H27" i="8"/>
  <c r="H20" i="8"/>
  <c r="H26" i="8"/>
  <c r="H25" i="8"/>
  <c r="Q17" i="8" l="1"/>
  <c r="Q18" i="8" s="1"/>
  <c r="M35" i="7"/>
  <c r="N10" i="8"/>
  <c r="R64" i="3"/>
  <c r="P70" i="3"/>
  <c r="P71" i="3" s="1"/>
  <c r="Q102" i="3"/>
  <c r="Q69" i="3"/>
  <c r="O30" i="7"/>
  <c r="O31" i="7" s="1"/>
  <c r="P13" i="8"/>
  <c r="P14" i="8" s="1"/>
  <c r="N32" i="7"/>
  <c r="N34" i="7"/>
  <c r="N36" i="7" s="1"/>
  <c r="O9" i="8"/>
  <c r="O11" i="8" s="1"/>
  <c r="I19" i="8"/>
  <c r="I12" i="8"/>
  <c r="I37" i="7" l="1"/>
  <c r="I38" i="7" s="1"/>
  <c r="S64" i="3"/>
  <c r="R67" i="3"/>
  <c r="I27" i="8"/>
  <c r="I25" i="8"/>
  <c r="I26" i="8"/>
  <c r="I20" i="8"/>
  <c r="O10" i="8"/>
  <c r="O32" i="7"/>
  <c r="O34" i="7"/>
  <c r="O36" i="7" s="1"/>
  <c r="P9" i="8"/>
  <c r="P11" i="8" s="1"/>
  <c r="N35" i="7"/>
  <c r="Q71" i="3"/>
  <c r="Q70" i="3"/>
  <c r="P30" i="7"/>
  <c r="P31" i="7" s="1"/>
  <c r="Q13" i="8"/>
  <c r="Q14" i="8" s="1"/>
  <c r="R102" i="3" l="1"/>
  <c r="R69" i="3"/>
  <c r="S67" i="3"/>
  <c r="T64" i="3"/>
  <c r="P34" i="7"/>
  <c r="P36" i="7" s="1"/>
  <c r="P32" i="7"/>
  <c r="Q9" i="8"/>
  <c r="Q11" i="8" s="1"/>
  <c r="P10" i="8"/>
  <c r="O35" i="7"/>
  <c r="J19" i="8"/>
  <c r="J12" i="8"/>
  <c r="J37" i="7" l="1"/>
  <c r="J38" i="7" s="1"/>
  <c r="J27" i="8"/>
  <c r="J26" i="8"/>
  <c r="J25" i="8"/>
  <c r="J20" i="8"/>
  <c r="S102" i="3"/>
  <c r="S69" i="3"/>
  <c r="P35" i="7"/>
  <c r="R70" i="3"/>
  <c r="R71" i="3" s="1"/>
  <c r="Q30" i="7"/>
  <c r="Q31" i="7" s="1"/>
  <c r="R13" i="8"/>
  <c r="R14" i="8" s="1"/>
  <c r="Q10" i="8"/>
  <c r="T67" i="3"/>
  <c r="U64" i="3"/>
  <c r="S70" i="3" l="1"/>
  <c r="S71" i="3" s="1"/>
  <c r="S13" i="8"/>
  <c r="S14" i="8" s="1"/>
  <c r="R30" i="7"/>
  <c r="R31" i="7" s="1"/>
  <c r="R9" i="8"/>
  <c r="R11" i="8" s="1"/>
  <c r="Q32" i="7"/>
  <c r="Q34" i="7"/>
  <c r="Q36" i="7" s="1"/>
  <c r="U66" i="3"/>
  <c r="U67" i="3"/>
  <c r="T69" i="3"/>
  <c r="T102" i="3"/>
  <c r="K12" i="8"/>
  <c r="K19" i="8"/>
  <c r="K37" i="7" l="1"/>
  <c r="K38" i="7" s="1"/>
  <c r="S9" i="8"/>
  <c r="S11" i="8" s="1"/>
  <c r="R32" i="7"/>
  <c r="R34" i="7"/>
  <c r="R36" i="7" s="1"/>
  <c r="S30" i="7"/>
  <c r="S31" i="7" s="1"/>
  <c r="T13" i="8"/>
  <c r="T14" i="8" s="1"/>
  <c r="Q35" i="7"/>
  <c r="U102" i="3"/>
  <c r="K25" i="8"/>
  <c r="K26" i="8"/>
  <c r="K20" i="8"/>
  <c r="K27" i="8"/>
  <c r="T70" i="3"/>
  <c r="U68" i="3" s="1"/>
  <c r="U101" i="3" s="1"/>
  <c r="U17" i="8" s="1"/>
  <c r="U18" i="8" s="1"/>
  <c r="R10" i="8"/>
  <c r="U69" i="3" l="1"/>
  <c r="R35" i="7"/>
  <c r="L19" i="8"/>
  <c r="L12" i="8"/>
  <c r="T71" i="3"/>
  <c r="S10" i="8"/>
  <c r="U13" i="8"/>
  <c r="U14" i="8" s="1"/>
  <c r="T30" i="7"/>
  <c r="T31" i="7" s="1"/>
  <c r="S32" i="7"/>
  <c r="T9" i="8"/>
  <c r="T11" i="8" s="1"/>
  <c r="S34" i="7"/>
  <c r="S36" i="7" s="1"/>
  <c r="L37" i="7" l="1"/>
  <c r="L38" i="7" s="1"/>
  <c r="S35" i="7"/>
  <c r="U9" i="8"/>
  <c r="U11" i="8" s="1"/>
  <c r="T32" i="7"/>
  <c r="T34" i="7"/>
  <c r="T36" i="7" s="1"/>
  <c r="T10" i="8"/>
  <c r="L26" i="8"/>
  <c r="L27" i="8"/>
  <c r="L25" i="8"/>
  <c r="L20" i="8"/>
  <c r="U71" i="3"/>
  <c r="U70" i="3"/>
  <c r="U10" i="8" l="1"/>
  <c r="T35" i="7"/>
  <c r="M19" i="8"/>
  <c r="M12" i="8"/>
  <c r="M27" i="8" l="1"/>
  <c r="M20" i="8"/>
  <c r="M25" i="8"/>
  <c r="M26" i="8"/>
  <c r="M37" i="7"/>
  <c r="M38" i="7" s="1"/>
  <c r="N19" i="8" l="1"/>
  <c r="N12" i="8"/>
  <c r="N37" i="7" l="1"/>
  <c r="N38" i="7" s="1"/>
  <c r="N20" i="8"/>
  <c r="N26" i="8"/>
  <c r="N27" i="8"/>
  <c r="N25" i="8"/>
  <c r="O19" i="8" l="1"/>
  <c r="O12" i="8"/>
  <c r="O37" i="7" l="1"/>
  <c r="O38" i="7" s="1"/>
  <c r="O26" i="8"/>
  <c r="O20" i="8"/>
  <c r="O25" i="8"/>
  <c r="O27" i="8"/>
  <c r="P12" i="8" l="1"/>
  <c r="P19" i="8"/>
  <c r="P37" i="7" l="1"/>
  <c r="P38" i="7" s="1"/>
  <c r="P25" i="8"/>
  <c r="P26" i="8"/>
  <c r="P27" i="8"/>
  <c r="P20" i="8"/>
  <c r="Q19" i="8" l="1"/>
  <c r="Q12" i="8"/>
  <c r="Q37" i="7" l="1"/>
  <c r="Q38" i="7" s="1"/>
  <c r="Q26" i="8"/>
  <c r="Q27" i="8"/>
  <c r="Q20" i="8"/>
  <c r="Q25" i="8"/>
  <c r="R19" i="8" l="1"/>
  <c r="R12" i="8"/>
  <c r="R37" i="7" l="1"/>
  <c r="R38" i="7" s="1"/>
  <c r="R26" i="8"/>
  <c r="R20" i="8"/>
  <c r="R25" i="8"/>
  <c r="R27" i="8"/>
  <c r="S12" i="8" l="1"/>
  <c r="S19" i="8"/>
  <c r="S37" i="7" l="1"/>
  <c r="S38" i="7" s="1"/>
  <c r="S27" i="8"/>
  <c r="S25" i="8"/>
  <c r="S20" i="8"/>
  <c r="S26" i="8"/>
  <c r="T12" i="8" l="1"/>
  <c r="T19" i="8"/>
  <c r="T25" i="8" l="1"/>
  <c r="T26" i="8"/>
  <c r="T27" i="8"/>
  <c r="T20" i="8"/>
  <c r="T37" i="7"/>
  <c r="T38" i="7" s="1"/>
  <c r="U12" i="8" l="1"/>
  <c r="U19" i="8"/>
  <c r="U25" i="8" l="1"/>
  <c r="C49" i="8" s="1"/>
  <c r="U27" i="8"/>
  <c r="C51" i="8" s="1"/>
  <c r="U20" i="8"/>
  <c r="U26" i="8"/>
  <c r="C50" i="8" l="1"/>
  <c r="A54" i="8" s="1"/>
  <c r="A58" i="8" s="1"/>
</calcChain>
</file>

<file path=xl/sharedStrings.xml><?xml version="1.0" encoding="utf-8"?>
<sst xmlns="http://schemas.openxmlformats.org/spreadsheetml/2006/main" count="388" uniqueCount="244">
  <si>
    <t>No. of Days</t>
  </si>
  <si>
    <t>Year End</t>
  </si>
  <si>
    <t>Computers</t>
  </si>
  <si>
    <t>Previous Data</t>
  </si>
  <si>
    <t>Description of Asset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</si>
  <si>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</si>
  <si>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</si>
  <si>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</si>
  <si>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</si>
  <si>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</si>
  <si>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</si>
  <si>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</si>
  <si>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</si>
  <si>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</si>
  <si>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</si>
  <si>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</si>
  <si>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</si>
  <si>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</si>
  <si>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</si>
  <si>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</si>
  <si>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</si>
  <si>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</si>
  <si>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</si>
  <si>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</si>
  <si>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</si>
  <si>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</si>
  <si>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</si>
  <si>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</si>
  <si>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</si>
  <si>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</si>
  <si>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</si>
  <si>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</si>
  <si>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</si>
  <si>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</si>
  <si>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</si>
  <si>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</si>
  <si>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</si>
  <si>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</si>
  <si>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</si>
  <si>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</si>
  <si>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</si>
  <si>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</si>
  <si>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</si>
  <si>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</si>
  <si>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</si>
  <si>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</si>
  <si>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Plant &amp; Machinery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</si>
  <si>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</si>
  <si>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</si>
  <si>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</si>
  <si>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</si>
  <si>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</si>
  <si>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</si>
  <si>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</si>
  <si>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Escalation Rate for Land price</t>
  </si>
  <si>
    <t>%</t>
  </si>
  <si>
    <t>Cost of Land</t>
  </si>
  <si>
    <t>INR Crore</t>
  </si>
  <si>
    <t>Sale Price of Land</t>
  </si>
  <si>
    <t>Profit on Sale of land</t>
  </si>
  <si>
    <t>WPI Calculations</t>
  </si>
  <si>
    <t>COMM_NAME</t>
  </si>
  <si>
    <t>INDEX2011-2012 (Base Case)</t>
  </si>
  <si>
    <t>All commodities</t>
  </si>
  <si>
    <t>Compounded WPI from 2012-13 to 2018-19 is 2.61%</t>
  </si>
  <si>
    <t>Expected WPI</t>
  </si>
  <si>
    <t>Escalation Rate for Capital Assets</t>
  </si>
  <si>
    <t>Tax Rate</t>
  </si>
  <si>
    <t>Cost of Equity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</si>
  <si>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</si>
  <si>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</si>
  <si>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</si>
  <si>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</si>
  <si>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</si>
  <si>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</si>
  <si>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</si>
  <si>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</si>
  <si>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</si>
  <si>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</si>
  <si>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</si>
  <si>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Debt Related Asumptions</t>
  </si>
  <si>
    <t>Total Interest payment</t>
  </si>
  <si>
    <t>₹/ Kwh</t>
  </si>
  <si>
    <t>Auxiliary Consumption</t>
  </si>
  <si>
    <t>Cumulative Growth Rate</t>
  </si>
  <si>
    <t>Tariff Escalation Rate for PPA</t>
  </si>
  <si>
    <t>Plant COD Achieving Date</t>
  </si>
  <si>
    <t>Life of Plant</t>
  </si>
  <si>
    <t>Years</t>
  </si>
  <si>
    <t>End of Plant Life</t>
  </si>
  <si>
    <t>Start of Long Term PPA</t>
  </si>
  <si>
    <t>PPA Life</t>
  </si>
  <si>
    <t>End of Long Term PPA</t>
  </si>
  <si>
    <t>Short Term PPA Start Date</t>
  </si>
  <si>
    <t>End of Short Term PPA</t>
  </si>
  <si>
    <t>FY Ending Plant Life</t>
  </si>
  <si>
    <t>Escalation Rate</t>
  </si>
  <si>
    <t>₹ in Cr.s</t>
  </si>
  <si>
    <t>Not Considered</t>
  </si>
  <si>
    <t>Tax Rates</t>
  </si>
  <si>
    <t>After 31-03-2022 as per Normal Rate</t>
  </si>
  <si>
    <t>Cost of Debt</t>
  </si>
  <si>
    <t>Expenses</t>
  </si>
  <si>
    <t>Employee Benefit expenses as a % of Operating Income</t>
  </si>
  <si>
    <t>Important Dates</t>
  </si>
  <si>
    <t>Plant Capacity</t>
  </si>
  <si>
    <t>MW</t>
  </si>
  <si>
    <t>Working Capital Cycle</t>
  </si>
  <si>
    <t>Trade Receivables</t>
  </si>
  <si>
    <t>Operating Income</t>
  </si>
  <si>
    <t>Trade Payables</t>
  </si>
  <si>
    <t>O&amp;M Expenses</t>
  </si>
  <si>
    <t>D_S_O</t>
  </si>
  <si>
    <t>D_P_O</t>
  </si>
  <si>
    <t>Days</t>
  </si>
  <si>
    <t>Other Income</t>
  </si>
  <si>
    <t>Power Generation</t>
  </si>
  <si>
    <t>Gross Generation</t>
  </si>
  <si>
    <t>Net Generation</t>
  </si>
  <si>
    <t>Tariff Rate</t>
  </si>
  <si>
    <t>Profit &amp; Loss</t>
  </si>
  <si>
    <t>PLF %</t>
  </si>
  <si>
    <t>PLF's Range</t>
  </si>
  <si>
    <t>PLF of FY 21 due to low demand for COVID-19</t>
  </si>
  <si>
    <t>Profit on Sale of Land</t>
  </si>
  <si>
    <t>Total Income</t>
  </si>
  <si>
    <t>Expenses:</t>
  </si>
  <si>
    <t>Operation and Maintenance Expenses</t>
  </si>
  <si>
    <t>Employee Benefit Expenses</t>
  </si>
  <si>
    <t>Other Costs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</si>
  <si>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</si>
  <si>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</si>
  <si>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</si>
  <si>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</si>
  <si>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</si>
  <si>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</si>
  <si>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</si>
  <si>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</si>
  <si>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Tax rate Calculation</t>
  </si>
  <si>
    <t>Tax rate:</t>
  </si>
  <si>
    <t>Education Cess</t>
  </si>
  <si>
    <t>Surcharge</t>
  </si>
  <si>
    <t>Applicable Tax Rate</t>
  </si>
  <si>
    <t>C. Tax</t>
  </si>
  <si>
    <t>PAT</t>
  </si>
  <si>
    <t>PAT %</t>
  </si>
  <si>
    <t xml:space="preserve">Operating Summary </t>
  </si>
  <si>
    <t>Proj</t>
  </si>
  <si>
    <t>Total Revenue</t>
  </si>
  <si>
    <t>% Growth</t>
  </si>
  <si>
    <t>EBITDA</t>
  </si>
  <si>
    <t>% Sales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</si>
  <si>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</si>
  <si>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</si>
  <si>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</si>
  <si>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</si>
  <si>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</si>
  <si>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</si>
  <si>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</si>
  <si>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</si>
  <si>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</si>
  <si>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</si>
  <si>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</si>
  <si>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</si>
  <si>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</si>
  <si>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</si>
  <si>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</si>
  <si>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</si>
  <si>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</si>
  <si>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</si>
  <si>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</si>
  <si>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</si>
  <si>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</si>
  <si>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</si>
  <si>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</si>
  <si>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</si>
  <si>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</si>
  <si>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</si>
  <si>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</si>
  <si>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Raw Material paid cost</t>
  </si>
  <si>
    <t>Working Capital</t>
  </si>
  <si>
    <t>Change in Working Capital</t>
  </si>
  <si>
    <t>VALUE OF EQUITY</t>
  </si>
  <si>
    <t>Estimated Tariff for future Years</t>
  </si>
  <si>
    <t>PPAs</t>
  </si>
  <si>
    <t>22.5 MW</t>
  </si>
  <si>
    <t>31.03.2014- 30.03.2027</t>
  </si>
  <si>
    <t>3 MW</t>
  </si>
  <si>
    <t>30.03.2014- 29.03.2027</t>
  </si>
  <si>
    <t>10.5 MW</t>
  </si>
  <si>
    <t>03.10.2015- 02.10.2028</t>
  </si>
  <si>
    <t>5.81/ MW</t>
  </si>
  <si>
    <t>5.70/ MW</t>
  </si>
  <si>
    <t>1.5 MW</t>
  </si>
  <si>
    <t>23.03.2017- 22.03.2030</t>
  </si>
  <si>
    <t>Period</t>
  </si>
  <si>
    <t>Tariff</t>
  </si>
  <si>
    <t>O&amp;M Cost as per MERC Order</t>
  </si>
  <si>
    <t>O&amp;M Cost per MW</t>
  </si>
  <si>
    <t>Wind Power tariff Rate upto 31-03-2027 as per PPA</t>
  </si>
  <si>
    <t>Wind Power tariff Rate after 31-03-2027 till 31.03.2030</t>
  </si>
  <si>
    <t>Wind Power tariff Rate after 31.03.2030</t>
  </si>
  <si>
    <t>Generation Based Incentive based on Net Generation upto 31.03.2024</t>
  </si>
  <si>
    <t>Interest</t>
  </si>
  <si>
    <t>O/S Amount</t>
  </si>
  <si>
    <t>For Term Loan</t>
  </si>
  <si>
    <t>For ICDs</t>
  </si>
  <si>
    <t>Long-term Debt</t>
  </si>
  <si>
    <t>Interest Due</t>
  </si>
  <si>
    <t>Intangible Asset- Concession Agreement</t>
  </si>
  <si>
    <t>From Sale of Power</t>
  </si>
  <si>
    <t>From GBI</t>
  </si>
  <si>
    <t>Revenue from Operation:</t>
  </si>
  <si>
    <t>Other Income:</t>
  </si>
  <si>
    <t>Other Expenses as a % of Operating Income</t>
  </si>
  <si>
    <t>Incentive Receivables</t>
  </si>
  <si>
    <t>Cash &amp; Cash Equivalents</t>
  </si>
  <si>
    <t>Average O&amp;M Cost between FY 2018 To FY 2022</t>
  </si>
  <si>
    <t>(Between FY 2018 to FY 2022)</t>
  </si>
  <si>
    <t>(Between FY 2018 to FY 2022 (Not Including Forex Loss))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</si>
  <si>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</si>
  <si>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</si>
  <si>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</si>
  <si>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</si>
  <si>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</si>
  <si>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</si>
  <si>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</si>
  <si>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</si>
  <si>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</si>
  <si>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</si>
  <si>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</si>
  <si>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Nifty 20 year Return</t>
  </si>
  <si>
    <t>Tenure 
( Semi-Annual )</t>
  </si>
  <si>
    <t>Usd Libor Rate</t>
  </si>
  <si>
    <t xml:space="preserve">On Term Loan (USD LIBOR + 4%) </t>
  </si>
  <si>
    <t>On Convertible Corporate Debentures (CCDs)</t>
  </si>
  <si>
    <t>(26-4-23)</t>
  </si>
  <si>
    <t>(₹ in Crores)</t>
  </si>
  <si>
    <t>Total Expense</t>
  </si>
  <si>
    <t>Depreciation and amortization expense</t>
  </si>
  <si>
    <t>Finance costs</t>
  </si>
  <si>
    <t>Tax expense</t>
  </si>
  <si>
    <t>Due to Forex Loss expenses are higher</t>
  </si>
  <si>
    <t>Company Risk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</si>
</sst>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_(* #,##0_);_(* \(#,##0\);_(* &quot;-&quot;_);_(@_)"/>
    <numFmt numFmtId="167" formatCode="0.000000%"/>
    <numFmt numFmtId="168" formatCode="&quot;Remaining Life on &quot;\ dd/mm/yyyy"/>
    <numFmt numFmtId="169" formatCode="0.0%"/>
    <numFmt numFmtId="170" formatCode="0.0"/>
    <numFmt numFmtId="171" formatCode="0.00000"/>
    <numFmt numFmtId="172" formatCode="0.0000"/>
    <numFmt numFmtId="173" formatCode="&quot;Less than &quot;0"/>
    <numFmt numFmtId="174" formatCode="_(* #,##0.0_);_(* \(#,##0.0\);_(* &quot;-&quot;??_);_(@_)"/>
    <numFmt numFmtId="175" formatCode="mmm\ yyyy"/>
    <numFmt numFmtId="176" formatCode="[$-409]mmm\-yy;@"/>
    <numFmt numFmtId="177" formatCode="[$-409]d\-mmm\-yy;@"/>
    <numFmt numFmtId="178" formatCode="&quot;₹&quot;\ 0.00&quot; Crores&quot;"/>
    <numFmt numFmtId="179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4" fillId="0" borderId="0" xfId="0" applyFont="1"/>
    <xf numFmtId="0" fontId="5" fillId="3" borderId="0" xfId="0" applyFont="1" applyFill="1"/>
    <xf numFmtId="0" fontId="6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2" xfId="0" applyFont="1" applyBorder="1" applyAlignment="1">
      <alignment vertical="top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10" fontId="4" fillId="0" borderId="0" xfId="1" applyNumberFormat="1" applyFont="1"/>
    <xf numFmtId="2" fontId="4" fillId="0" borderId="0" xfId="0" applyNumberFormat="1" applyFont="1"/>
    <xf numFmtId="0" fontId="6" fillId="0" borderId="0" xfId="0" applyFont="1"/>
    <xf numFmtId="166" fontId="4" fillId="0" borderId="0" xfId="0" applyNumberFormat="1" applyFont="1"/>
    <xf numFmtId="10" fontId="4" fillId="0" borderId="5" xfId="1" applyNumberFormat="1" applyFont="1" applyBorder="1"/>
    <xf numFmtId="10" fontId="4" fillId="0" borderId="0" xfId="0" applyNumberFormat="1" applyFont="1"/>
    <xf numFmtId="167" fontId="4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4" fontId="6" fillId="4" borderId="6" xfId="2" applyNumberFormat="1" applyFont="1" applyFill="1" applyBorder="1"/>
    <xf numFmtId="10" fontId="4" fillId="0" borderId="0" xfId="1" applyNumberFormat="1" applyFont="1" applyFill="1"/>
    <xf numFmtId="0" fontId="4" fillId="0" borderId="0" xfId="0" applyFont="1" applyAlignment="1">
      <alignment wrapText="1"/>
    </xf>
    <xf numFmtId="168" fontId="4" fillId="0" borderId="0" xfId="0" applyNumberFormat="1" applyFont="1"/>
    <xf numFmtId="9" fontId="4" fillId="0" borderId="5" xfId="1" applyFont="1" applyBorder="1"/>
    <xf numFmtId="0" fontId="8" fillId="0" borderId="0" xfId="0" applyFont="1"/>
    <xf numFmtId="15" fontId="5" fillId="2" borderId="1" xfId="0" applyNumberFormat="1" applyFont="1" applyFill="1" applyBorder="1"/>
    <xf numFmtId="2" fontId="6" fillId="0" borderId="0" xfId="0" applyNumberFormat="1" applyFont="1"/>
    <xf numFmtId="2" fontId="4" fillId="0" borderId="5" xfId="0" applyNumberFormat="1" applyFont="1" applyBorder="1"/>
    <xf numFmtId="2" fontId="6" fillId="4" borderId="6" xfId="2" applyNumberFormat="1" applyFont="1" applyFill="1" applyBorder="1"/>
    <xf numFmtId="0" fontId="5" fillId="2" borderId="0" xfId="0" applyFont="1" applyFill="1"/>
    <xf numFmtId="0" fontId="6" fillId="4" borderId="1" xfId="0" applyFont="1" applyFill="1" applyBorder="1"/>
    <xf numFmtId="0" fontId="4" fillId="5" borderId="0" xfId="0" applyFont="1" applyFill="1"/>
    <xf numFmtId="0" fontId="0" fillId="5" borderId="0" xfId="0" applyFill="1"/>
    <xf numFmtId="0" fontId="4" fillId="5" borderId="1" xfId="0" applyFont="1" applyFill="1" applyBorder="1"/>
    <xf numFmtId="4" fontId="4" fillId="5" borderId="1" xfId="0" applyNumberFormat="1" applyFont="1" applyFill="1" applyBorder="1"/>
    <xf numFmtId="10" fontId="4" fillId="5" borderId="0" xfId="1" applyNumberFormat="1" applyFont="1" applyFill="1"/>
    <xf numFmtId="2" fontId="4" fillId="5" borderId="0" xfId="0" applyNumberFormat="1" applyFont="1" applyFill="1"/>
    <xf numFmtId="2" fontId="6" fillId="5" borderId="0" xfId="0" applyNumberFormat="1" applyFont="1" applyFill="1"/>
    <xf numFmtId="2" fontId="4" fillId="5" borderId="5" xfId="0" applyNumberFormat="1" applyFont="1" applyFill="1" applyBorder="1"/>
    <xf numFmtId="2" fontId="6" fillId="5" borderId="6" xfId="2" applyNumberFormat="1" applyFont="1" applyFill="1" applyBorder="1"/>
    <xf numFmtId="10" fontId="4" fillId="5" borderId="5" xfId="1" applyNumberFormat="1" applyFont="1" applyFill="1" applyBorder="1"/>
    <xf numFmtId="4" fontId="6" fillId="5" borderId="0" xfId="0" applyNumberFormat="1" applyFont="1" applyFill="1"/>
    <xf numFmtId="4" fontId="4" fillId="5" borderId="0" xfId="0" applyNumberFormat="1" applyFont="1" applyFill="1"/>
    <xf numFmtId="4" fontId="6" fillId="5" borderId="6" xfId="2" applyNumberFormat="1" applyFont="1" applyFill="1" applyBorder="1"/>
    <xf numFmtId="9" fontId="4" fillId="5" borderId="5" xfId="1" applyFont="1" applyFill="1" applyBorder="1"/>
    <xf numFmtId="15" fontId="9" fillId="5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169" fontId="6" fillId="4" borderId="1" xfId="0" applyNumberFormat="1" applyFont="1" applyFill="1" applyBorder="1"/>
    <xf numFmtId="2" fontId="6" fillId="4" borderId="1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3" fillId="0" borderId="1" xfId="0" applyFont="1" applyBorder="1"/>
    <xf numFmtId="49" fontId="9" fillId="4" borderId="1" xfId="3" applyNumberFormat="1" applyFont="1" applyFill="1" applyBorder="1"/>
    <xf numFmtId="170" fontId="9" fillId="4" borderId="1" xfId="3" applyNumberFormat="1" applyFont="1" applyFill="1" applyBorder="1"/>
    <xf numFmtId="49" fontId="7" fillId="0" borderId="1" xfId="3" applyNumberFormat="1" applyFont="1" applyBorder="1"/>
    <xf numFmtId="171" fontId="7" fillId="0" borderId="1" xfId="3" applyNumberFormat="1" applyFont="1" applyBorder="1"/>
    <xf numFmtId="170" fontId="7" fillId="0" borderId="1" xfId="3" applyNumberFormat="1" applyFont="1" applyBorder="1"/>
    <xf numFmtId="10" fontId="4" fillId="0" borderId="1" xfId="4" applyNumberFormat="1" applyFont="1" applyBorder="1"/>
    <xf numFmtId="0" fontId="4" fillId="4" borderId="1" xfId="0" applyFont="1" applyFill="1" applyBorder="1"/>
    <xf numFmtId="10" fontId="4" fillId="4" borderId="1" xfId="4" applyNumberFormat="1" applyFont="1" applyFill="1" applyBorder="1" applyAlignment="1"/>
    <xf numFmtId="171" fontId="7" fillId="4" borderId="1" xfId="3" applyNumberFormat="1" applyFont="1" applyFill="1" applyBorder="1"/>
    <xf numFmtId="170" fontId="7" fillId="4" borderId="1" xfId="3" applyNumberFormat="1" applyFont="1" applyFill="1" applyBorder="1"/>
    <xf numFmtId="10" fontId="6" fillId="4" borderId="1" xfId="4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172" fontId="4" fillId="4" borderId="1" xfId="0" applyNumberFormat="1" applyFont="1" applyFill="1" applyBorder="1"/>
    <xf numFmtId="10" fontId="0" fillId="0" borderId="0" xfId="0" applyNumberForma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5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/>
    <xf numFmtId="0" fontId="0" fillId="0" borderId="4" xfId="0" applyBorder="1" applyAlignment="1">
      <alignment horizontal="center"/>
    </xf>
    <xf numFmtId="10" fontId="0" fillId="0" borderId="4" xfId="0" applyNumberFormat="1" applyBorder="1"/>
    <xf numFmtId="10" fontId="6" fillId="4" borderId="1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6" borderId="0" xfId="0" applyFill="1"/>
    <xf numFmtId="9" fontId="0" fillId="0" borderId="0" xfId="1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2" fontId="0" fillId="0" borderId="0" xfId="0" applyNumberFormat="1"/>
    <xf numFmtId="0" fontId="4" fillId="0" borderId="0" xfId="0" applyFont="1" applyAlignment="1">
      <alignment horizontal="center" vertical="center"/>
    </xf>
    <xf numFmtId="169" fontId="0" fillId="0" borderId="1" xfId="0" applyNumberFormat="1" applyBorder="1"/>
    <xf numFmtId="0" fontId="3" fillId="0" borderId="0" xfId="0" applyFont="1"/>
    <xf numFmtId="164" fontId="1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9" fontId="4" fillId="0" borderId="1" xfId="0" applyNumberFormat="1" applyFont="1" applyBorder="1"/>
    <xf numFmtId="173" fontId="4" fillId="0" borderId="1" xfId="0" applyNumberFormat="1" applyFont="1" applyBorder="1"/>
    <xf numFmtId="174" fontId="4" fillId="0" borderId="0" xfId="0" applyNumberFormat="1" applyFont="1"/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11" fillId="0" borderId="1" xfId="0" applyFont="1" applyBorder="1" applyAlignment="1">
      <alignment horizontal="right"/>
    </xf>
    <xf numFmtId="10" fontId="11" fillId="0" borderId="1" xfId="0" applyNumberFormat="1" applyFont="1" applyBorder="1"/>
    <xf numFmtId="43" fontId="3" fillId="4" borderId="1" xfId="0" applyNumberFormat="1" applyFont="1" applyFill="1" applyBorder="1"/>
    <xf numFmtId="9" fontId="8" fillId="0" borderId="1" xfId="1" applyFont="1" applyFill="1" applyBorder="1" applyAlignment="1">
      <alignment horizontal="right"/>
    </xf>
    <xf numFmtId="15" fontId="6" fillId="4" borderId="1" xfId="0" applyNumberFormat="1" applyFont="1" applyFill="1" applyBorder="1" applyAlignment="1">
      <alignment horizontal="center" vertical="center" wrapText="1"/>
    </xf>
    <xf numFmtId="15" fontId="6" fillId="4" borderId="6" xfId="0" applyNumberFormat="1" applyFont="1" applyFill="1" applyBorder="1" applyAlignment="1">
      <alignment vertical="center" wrapText="1"/>
    </xf>
    <xf numFmtId="15" fontId="6" fillId="4" borderId="7" xfId="0" applyNumberFormat="1" applyFont="1" applyFill="1" applyBorder="1" applyAlignment="1">
      <alignment vertical="center" wrapText="1"/>
    </xf>
    <xf numFmtId="10" fontId="4" fillId="0" borderId="1" xfId="0" applyNumberFormat="1" applyFont="1" applyBorder="1"/>
    <xf numFmtId="177" fontId="6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65" fontId="4" fillId="0" borderId="0" xfId="0" applyNumberFormat="1" applyFont="1"/>
    <xf numFmtId="9" fontId="9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5" fontId="6" fillId="0" borderId="1" xfId="2" applyFont="1" applyBorder="1"/>
    <xf numFmtId="10" fontId="6" fillId="0" borderId="1" xfId="1" applyNumberFormat="1" applyFont="1" applyBorder="1"/>
    <xf numFmtId="10" fontId="6" fillId="0" borderId="1" xfId="0" applyNumberFormat="1" applyFont="1" applyBorder="1"/>
    <xf numFmtId="165" fontId="6" fillId="4" borderId="1" xfId="2" applyFont="1" applyFill="1" applyBorder="1"/>
    <xf numFmtId="9" fontId="6" fillId="4" borderId="1" xfId="1" applyFont="1" applyFill="1" applyBorder="1"/>
    <xf numFmtId="10" fontId="6" fillId="4" borderId="1" xfId="1" applyNumberFormat="1" applyFont="1" applyFill="1" applyBorder="1"/>
    <xf numFmtId="176" fontId="5" fillId="0" borderId="0" xfId="0" applyNumberFormat="1" applyFont="1"/>
    <xf numFmtId="0" fontId="6" fillId="4" borderId="1" xfId="0" applyFont="1" applyFill="1" applyBorder="1" applyAlignment="1">
      <alignment horizontal="center" vertical="center" wrapText="1"/>
    </xf>
    <xf numFmtId="165" fontId="4" fillId="0" borderId="1" xfId="2" applyFont="1" applyBorder="1"/>
    <xf numFmtId="178" fontId="6" fillId="0" borderId="1" xfId="0" applyNumberFormat="1" applyFont="1" applyBorder="1" applyAlignment="1">
      <alignment horizontal="center" vertical="center"/>
    </xf>
    <xf numFmtId="175" fontId="5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7" fillId="0" borderId="1" xfId="0" applyFont="1" applyBorder="1"/>
    <xf numFmtId="174" fontId="4" fillId="0" borderId="1" xfId="0" applyNumberFormat="1" applyFont="1" applyBorder="1"/>
    <xf numFmtId="0" fontId="9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174" fontId="6" fillId="4" borderId="1" xfId="0" applyNumberFormat="1" applyFont="1" applyFill="1" applyBorder="1"/>
    <xf numFmtId="9" fontId="8" fillId="0" borderId="0" xfId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2" fontId="0" fillId="0" borderId="9" xfId="0" applyNumberFormat="1" applyBorder="1"/>
    <xf numFmtId="2" fontId="0" fillId="0" borderId="4" xfId="0" applyNumberFormat="1" applyBorder="1"/>
    <xf numFmtId="2" fontId="3" fillId="0" borderId="4" xfId="0" applyNumberFormat="1" applyFont="1" applyBorder="1"/>
    <xf numFmtId="0" fontId="4" fillId="4" borderId="1" xfId="0" applyFont="1" applyFill="1" applyBorder="1" applyAlignment="1">
      <alignment horizontal="center"/>
    </xf>
    <xf numFmtId="2" fontId="3" fillId="8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/>
    </xf>
    <xf numFmtId="0" fontId="0" fillId="0" borderId="3" xfId="0" applyBorder="1"/>
    <xf numFmtId="2" fontId="3" fillId="0" borderId="0" xfId="0" applyNumberFormat="1" applyFont="1"/>
    <xf numFmtId="0" fontId="0" fillId="0" borderId="0" xfId="0" applyAlignment="1">
      <alignment wrapText="1"/>
    </xf>
    <xf numFmtId="172" fontId="4" fillId="5" borderId="1" xfId="0" applyNumberFormat="1" applyFont="1" applyFill="1" applyBorder="1"/>
    <xf numFmtId="179" fontId="4" fillId="0" borderId="1" xfId="0" applyNumberFormat="1" applyFont="1" applyBorder="1"/>
    <xf numFmtId="4" fontId="0" fillId="0" borderId="0" xfId="0" applyNumberFormat="1"/>
    <xf numFmtId="0" fontId="13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0" fillId="0" borderId="1" xfId="0" applyNumberFormat="1" applyBorder="1"/>
    <xf numFmtId="10" fontId="6" fillId="6" borderId="1" xfId="1" applyNumberFormat="1" applyFont="1" applyFill="1" applyBorder="1"/>
    <xf numFmtId="10" fontId="9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9" fontId="0" fillId="0" borderId="1" xfId="0" applyNumberFormat="1" applyFill="1" applyBorder="1"/>
    <xf numFmtId="9" fontId="11" fillId="0" borderId="1" xfId="1" applyFont="1" applyFill="1" applyBorder="1" applyAlignment="1">
      <alignment horizontal="right"/>
    </xf>
    <xf numFmtId="4" fontId="3" fillId="0" borderId="1" xfId="0" applyNumberFormat="1" applyFont="1" applyBorder="1"/>
    <xf numFmtId="2" fontId="0" fillId="0" borderId="1" xfId="0" applyNumberFormat="1" applyFont="1" applyBorder="1"/>
    <xf numFmtId="4" fontId="3" fillId="4" borderId="1" xfId="0" applyNumberFormat="1" applyFont="1" applyFill="1" applyBorder="1"/>
  </cellXfs>
  <cellStyles count="7">
    <cellStyle name="Comma" xfId="5" builtinId="3"/>
    <cellStyle name="Comma 2" xfId="2" xr:uid="{00000000-0005-0000-0000-000001000000}"/>
    <cellStyle name="Comma 3 76" xfId="6" xr:uid="{00000000-0005-0000-0000-000002000000}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102" Type="http://schemas.openxmlformats.org/officeDocument/2006/relationships/externalLink" Target="externalLinks/externalLink9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103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Vipin%20Dagar/Enterprise%20Valuation/Ratan%20India/RKA%20Model%20and%20Report/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Mayank%20Sharma/Enterprise%20Valuation/MUM-183%20CGPCPL/RKA%20Model%20&amp;%20Report/Financial%20Model%20CGPCPL%20V4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5.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NVEPL/RK%20Working%20April%2023/NSL%20Wind%20Kayathar/RK%20Working%20May%2023/NSL%20Kayathar%20Historicals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 refreshError="1">
        <row r="247">
          <cell r="D247">
            <v>0.03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yathar"/>
      <sheetName val="Kayathar Notes"/>
      <sheetName val="Kayathar RKA P&amp;L"/>
    </sheetNames>
    <sheetDataSet>
      <sheetData sheetId="0">
        <row r="6">
          <cell r="D6">
            <v>2970.9</v>
          </cell>
          <cell r="E6">
            <v>3636.6299999999997</v>
          </cell>
          <cell r="F6">
            <v>4237.17</v>
          </cell>
          <cell r="G6">
            <v>5809.45</v>
          </cell>
          <cell r="H6">
            <v>5398.6500000000005</v>
          </cell>
          <cell r="I6">
            <v>4185.0999999999995</v>
          </cell>
          <cell r="J6">
            <v>4157.380000000001</v>
          </cell>
        </row>
        <row r="8">
          <cell r="D8">
            <v>0</v>
          </cell>
          <cell r="E8">
            <v>97.16</v>
          </cell>
          <cell r="F8">
            <v>425.17</v>
          </cell>
          <cell r="G8">
            <v>392.74</v>
          </cell>
          <cell r="H8">
            <v>412.94</v>
          </cell>
          <cell r="I8">
            <v>181.41</v>
          </cell>
          <cell r="J8">
            <v>347.74</v>
          </cell>
        </row>
        <row r="9">
          <cell r="D9">
            <v>49.8</v>
          </cell>
          <cell r="E9">
            <v>74.39</v>
          </cell>
          <cell r="F9">
            <v>56.29</v>
          </cell>
          <cell r="G9">
            <v>18.37</v>
          </cell>
          <cell r="H9">
            <v>15.190000000000001</v>
          </cell>
          <cell r="I9">
            <v>45.77</v>
          </cell>
          <cell r="J9">
            <v>59.550000000000004</v>
          </cell>
        </row>
        <row r="10">
          <cell r="D10">
            <v>949.46</v>
          </cell>
          <cell r="E10">
            <v>1496.93</v>
          </cell>
          <cell r="F10">
            <v>3888.49</v>
          </cell>
          <cell r="G10">
            <v>3641.15</v>
          </cell>
          <cell r="H10">
            <v>3316.24</v>
          </cell>
          <cell r="I10">
            <v>3224.5299999999997</v>
          </cell>
          <cell r="J10">
            <v>1358.34</v>
          </cell>
        </row>
        <row r="11">
          <cell r="D11">
            <v>904.17</v>
          </cell>
          <cell r="E11">
            <v>1146.8599999999999</v>
          </cell>
          <cell r="F11">
            <v>1129.79</v>
          </cell>
          <cell r="G11">
            <v>1131.54</v>
          </cell>
          <cell r="H11">
            <v>1176.1600000000001</v>
          </cell>
          <cell r="I11">
            <v>1171.73</v>
          </cell>
          <cell r="J11">
            <v>1171.9100000000001</v>
          </cell>
        </row>
        <row r="12">
          <cell r="D12">
            <v>138.31</v>
          </cell>
          <cell r="E12">
            <v>165.37</v>
          </cell>
          <cell r="F12">
            <v>194.01999999999998</v>
          </cell>
          <cell r="G12">
            <v>1243.51</v>
          </cell>
          <cell r="H12">
            <v>1264.97</v>
          </cell>
          <cell r="I12">
            <v>271.92999999999995</v>
          </cell>
          <cell r="J12">
            <v>616.54999999999995</v>
          </cell>
        </row>
        <row r="16">
          <cell r="D16">
            <v>0</v>
          </cell>
          <cell r="E16">
            <v>0</v>
          </cell>
          <cell r="F16">
            <v>485.3</v>
          </cell>
          <cell r="G16">
            <v>147.34</v>
          </cell>
          <cell r="H16">
            <v>10.79</v>
          </cell>
          <cell r="I16">
            <v>0</v>
          </cell>
          <cell r="J16">
            <v>0</v>
          </cell>
        </row>
        <row r="22">
          <cell r="D22">
            <v>-3.43</v>
          </cell>
          <cell r="E22">
            <v>-2.72</v>
          </cell>
          <cell r="F22">
            <v>-2.11</v>
          </cell>
          <cell r="G22">
            <v>-2.11</v>
          </cell>
          <cell r="H22">
            <v>-2.38</v>
          </cell>
          <cell r="I22">
            <v>-3.17</v>
          </cell>
          <cell r="J22">
            <v>-4.22</v>
          </cell>
        </row>
      </sheetData>
      <sheetData sheetId="1"/>
      <sheetData sheetId="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1">
          <cell r="J1">
            <v>6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I87">
            <v>0.29120000000000001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9"/>
  <sheetViews>
    <sheetView workbookViewId="0">
      <pane ySplit="4" topLeftCell="A74" activePane="bottomLeft" state="frozen"/>
      <selection pane="bottomLeft" activeCell="C27" sqref="C27"/>
    </sheetView>
  </sheetViews>
  <sheetFormatPr defaultColWidth="13.28515625" defaultRowHeight="15" x14ac:dyDescent="0.25"/>
  <cols>
    <col min="1" max="1" width="63.7109375" bestFit="1" customWidth="1"/>
    <col min="2" max="2" width="23.85546875" bestFit="1" customWidth="1"/>
    <col min="3" max="3" width="14.28515625" bestFit="1" customWidth="1"/>
    <col min="4" max="28" width="13.42578125" bestFit="1" customWidth="1"/>
  </cols>
  <sheetData>
    <row r="1" spans="1:39" x14ac:dyDescent="0.25">
      <c r="A1" s="57" t="s">
        <v>50</v>
      </c>
      <c r="B1" s="2"/>
      <c r="C1" s="2"/>
      <c r="D1" s="2"/>
      <c r="E1" s="2"/>
      <c r="F1" s="3">
        <f>E1+1</f>
        <v>1</v>
      </c>
      <c r="G1" s="3">
        <f>F1+1</f>
        <v>2</v>
      </c>
      <c r="H1" s="3">
        <f>G1+1</f>
        <v>3</v>
      </c>
      <c r="I1" s="3">
        <f t="shared" ref="I1:AB2" si="0">H1+1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  <c r="AC1" s="3">
        <f t="shared" ref="AC1:AC2" si="1">AB1+1</f>
        <v>24</v>
      </c>
      <c r="AD1" s="3">
        <f t="shared" ref="AD1:AD2" si="2">AC1+1</f>
        <v>25</v>
      </c>
    </row>
    <row r="2" spans="1:39" x14ac:dyDescent="0.25">
      <c r="A2" s="57" t="s">
        <v>51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>
        <v>1</v>
      </c>
      <c r="O2" s="3">
        <f t="shared" si="0"/>
        <v>2</v>
      </c>
      <c r="P2" s="3">
        <f t="shared" si="0"/>
        <v>3</v>
      </c>
      <c r="Q2" s="3">
        <f t="shared" si="0"/>
        <v>4</v>
      </c>
      <c r="R2" s="3">
        <f t="shared" si="0"/>
        <v>5</v>
      </c>
      <c r="S2" s="3">
        <f t="shared" si="0"/>
        <v>6</v>
      </c>
      <c r="T2" s="3">
        <f t="shared" si="0"/>
        <v>7</v>
      </c>
      <c r="U2" s="3">
        <f t="shared" si="0"/>
        <v>8</v>
      </c>
      <c r="V2" s="3">
        <f t="shared" si="0"/>
        <v>9</v>
      </c>
      <c r="W2" s="3">
        <f t="shared" si="0"/>
        <v>10</v>
      </c>
      <c r="X2" s="3">
        <f t="shared" si="0"/>
        <v>11</v>
      </c>
      <c r="Y2" s="3">
        <f t="shared" si="0"/>
        <v>12</v>
      </c>
      <c r="Z2" s="3">
        <f t="shared" si="0"/>
        <v>13</v>
      </c>
      <c r="AA2" s="3">
        <f t="shared" si="0"/>
        <v>14</v>
      </c>
      <c r="AB2" s="3">
        <f t="shared" si="0"/>
        <v>15</v>
      </c>
      <c r="AC2" s="3">
        <f t="shared" si="1"/>
        <v>16</v>
      </c>
      <c r="AD2" s="3">
        <f t="shared" si="2"/>
        <v>17</v>
      </c>
    </row>
    <row r="3" spans="1:39" x14ac:dyDescent="0.25">
      <c r="A3" s="57" t="s">
        <v>0</v>
      </c>
      <c r="B3" s="2"/>
      <c r="C3" s="2"/>
      <c r="D3" s="2"/>
      <c r="E3" s="2"/>
      <c r="F3" s="3">
        <f>F4-C7+1</f>
        <v>365</v>
      </c>
      <c r="G3" s="3">
        <f t="shared" ref="G3:J3" si="3">G4-F4</f>
        <v>366</v>
      </c>
      <c r="H3" s="3">
        <f t="shared" si="3"/>
        <v>365</v>
      </c>
      <c r="I3" s="3">
        <f t="shared" si="3"/>
        <v>365</v>
      </c>
      <c r="J3" s="3">
        <f t="shared" si="3"/>
        <v>365</v>
      </c>
      <c r="K3" s="3">
        <f>K4-J4</f>
        <v>366</v>
      </c>
      <c r="L3" s="3">
        <f t="shared" ref="L3:W3" si="4">L4-K4</f>
        <v>365</v>
      </c>
      <c r="M3" s="3">
        <f t="shared" si="4"/>
        <v>365</v>
      </c>
      <c r="N3" s="3">
        <f t="shared" si="4"/>
        <v>365</v>
      </c>
      <c r="O3" s="3">
        <f t="shared" si="4"/>
        <v>366</v>
      </c>
      <c r="P3" s="3">
        <f t="shared" si="4"/>
        <v>365</v>
      </c>
      <c r="Q3" s="3">
        <f t="shared" si="4"/>
        <v>365</v>
      </c>
      <c r="R3" s="3">
        <f t="shared" si="4"/>
        <v>365</v>
      </c>
      <c r="S3" s="3">
        <f t="shared" si="4"/>
        <v>366</v>
      </c>
      <c r="T3" s="3">
        <f t="shared" si="4"/>
        <v>365</v>
      </c>
      <c r="U3" s="3">
        <f t="shared" si="4"/>
        <v>365</v>
      </c>
      <c r="V3" s="3">
        <f t="shared" si="4"/>
        <v>365</v>
      </c>
      <c r="W3" s="3">
        <f t="shared" si="4"/>
        <v>366</v>
      </c>
      <c r="X3" s="3">
        <f t="shared" ref="X3" si="5">X4-W4</f>
        <v>365</v>
      </c>
      <c r="Y3" s="3">
        <f t="shared" ref="Y3" si="6">Y4-X4</f>
        <v>365</v>
      </c>
      <c r="Z3" s="3">
        <f t="shared" ref="Z3" si="7">Z4-Y4</f>
        <v>365</v>
      </c>
      <c r="AA3" s="3">
        <f t="shared" ref="AA3" si="8">AA4-Z4</f>
        <v>366</v>
      </c>
      <c r="AB3" s="3">
        <f t="shared" ref="AB3" si="9">AB4-AA4</f>
        <v>365</v>
      </c>
      <c r="AC3" s="3">
        <f t="shared" ref="AC3" si="10">AC4-AB4</f>
        <v>365</v>
      </c>
      <c r="AD3" s="3">
        <f t="shared" ref="AD3" si="11">AD4-AC4</f>
        <v>365</v>
      </c>
    </row>
    <row r="4" spans="1:39" x14ac:dyDescent="0.25">
      <c r="A4" s="57" t="s">
        <v>1</v>
      </c>
      <c r="B4" s="2"/>
      <c r="C4" s="2"/>
      <c r="D4" s="2"/>
      <c r="E4" s="2"/>
      <c r="F4" s="4">
        <f>EDATE(C7,12)-1</f>
        <v>42094</v>
      </c>
      <c r="G4" s="4">
        <f t="shared" ref="G4" si="12">EDATE(F4,12)</f>
        <v>42460</v>
      </c>
      <c r="H4" s="4">
        <f>EDATE(G4,12)</f>
        <v>42825</v>
      </c>
      <c r="I4" s="4">
        <f t="shared" ref="I4:AB4" si="13">EDATE(H4,12)</f>
        <v>43190</v>
      </c>
      <c r="J4" s="4">
        <f t="shared" si="13"/>
        <v>43555</v>
      </c>
      <c r="K4" s="4">
        <f t="shared" si="13"/>
        <v>43921</v>
      </c>
      <c r="L4" s="4">
        <f t="shared" si="13"/>
        <v>44286</v>
      </c>
      <c r="M4" s="4">
        <f t="shared" si="13"/>
        <v>44651</v>
      </c>
      <c r="N4" s="4">
        <f t="shared" si="13"/>
        <v>45016</v>
      </c>
      <c r="O4" s="4">
        <f t="shared" si="13"/>
        <v>45382</v>
      </c>
      <c r="P4" s="4">
        <f t="shared" si="13"/>
        <v>45747</v>
      </c>
      <c r="Q4" s="4">
        <f t="shared" si="13"/>
        <v>46112</v>
      </c>
      <c r="R4" s="4">
        <f t="shared" si="13"/>
        <v>46477</v>
      </c>
      <c r="S4" s="4">
        <f t="shared" si="13"/>
        <v>46843</v>
      </c>
      <c r="T4" s="4">
        <f t="shared" si="13"/>
        <v>47208</v>
      </c>
      <c r="U4" s="4">
        <f t="shared" si="13"/>
        <v>47573</v>
      </c>
      <c r="V4" s="4">
        <f t="shared" si="13"/>
        <v>47938</v>
      </c>
      <c r="W4" s="4">
        <f t="shared" si="13"/>
        <v>48304</v>
      </c>
      <c r="X4" s="4">
        <f t="shared" si="13"/>
        <v>48669</v>
      </c>
      <c r="Y4" s="4">
        <f t="shared" si="13"/>
        <v>49034</v>
      </c>
      <c r="Z4" s="4">
        <f t="shared" si="13"/>
        <v>49399</v>
      </c>
      <c r="AA4" s="4">
        <f t="shared" si="13"/>
        <v>49765</v>
      </c>
      <c r="AB4" s="4">
        <f t="shared" si="13"/>
        <v>50130</v>
      </c>
      <c r="AC4" s="4">
        <f t="shared" ref="AC4" si="14">EDATE(AB4,12)</f>
        <v>50495</v>
      </c>
      <c r="AD4" s="4">
        <f t="shared" ref="AD4" si="15">EDATE(AC4,12)</f>
        <v>50860</v>
      </c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99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9" t="s">
        <v>104</v>
      </c>
    </row>
    <row r="7" spans="1:39" x14ac:dyDescent="0.25">
      <c r="A7" s="2" t="s">
        <v>86</v>
      </c>
      <c r="B7" s="2"/>
      <c r="C7" s="80">
        <v>41730</v>
      </c>
    </row>
    <row r="8" spans="1:39" x14ac:dyDescent="0.25">
      <c r="A8" s="2" t="s">
        <v>87</v>
      </c>
      <c r="B8" s="3" t="s">
        <v>88</v>
      </c>
      <c r="C8" s="2">
        <v>25</v>
      </c>
    </row>
    <row r="9" spans="1:39" x14ac:dyDescent="0.25">
      <c r="A9" s="2" t="s">
        <v>89</v>
      </c>
      <c r="B9" s="2"/>
      <c r="C9" s="80">
        <f>EDATE(C7,(12*C8))-1</f>
        <v>50860</v>
      </c>
    </row>
    <row r="10" spans="1:39" x14ac:dyDescent="0.25">
      <c r="A10" s="2" t="s">
        <v>95</v>
      </c>
      <c r="B10" s="2"/>
      <c r="C10" s="80">
        <f>DATE(IF(MONTH(C9)&gt;3,YEAR(C9+1),YEAR(C9)),3,31)</f>
        <v>50860</v>
      </c>
    </row>
    <row r="11" spans="1:39" x14ac:dyDescent="0.25">
      <c r="A11" s="2" t="s">
        <v>90</v>
      </c>
      <c r="B11" s="2"/>
      <c r="C11" s="80">
        <f>C7</f>
        <v>41730</v>
      </c>
    </row>
    <row r="12" spans="1:39" x14ac:dyDescent="0.25">
      <c r="A12" s="2" t="s">
        <v>91</v>
      </c>
      <c r="B12" s="3" t="s">
        <v>88</v>
      </c>
      <c r="C12" s="2">
        <v>13</v>
      </c>
    </row>
    <row r="13" spans="1:39" x14ac:dyDescent="0.25">
      <c r="A13" s="2" t="s">
        <v>92</v>
      </c>
      <c r="B13" s="3"/>
      <c r="C13" s="80">
        <f>EDATE(C11,(12*C12))-1</f>
        <v>46477</v>
      </c>
    </row>
    <row r="14" spans="1:39" x14ac:dyDescent="0.25">
      <c r="A14" s="2" t="s">
        <v>93</v>
      </c>
      <c r="B14" s="3" t="s">
        <v>88</v>
      </c>
      <c r="C14" s="80">
        <f>EDATE(C13,0)+1</f>
        <v>46478</v>
      </c>
    </row>
    <row r="15" spans="1:39" x14ac:dyDescent="0.25">
      <c r="A15" s="2" t="s">
        <v>94</v>
      </c>
      <c r="B15" s="3"/>
      <c r="C15" s="80">
        <f>C10</f>
        <v>50860</v>
      </c>
    </row>
    <row r="16" spans="1:39" x14ac:dyDescent="0.25">
      <c r="B16" s="83"/>
      <c r="C16" s="101"/>
    </row>
    <row r="17" spans="1:30" x14ac:dyDescent="0.25">
      <c r="B17" s="83"/>
      <c r="C17" s="101"/>
    </row>
    <row r="18" spans="1:30" x14ac:dyDescent="0.25">
      <c r="A18" s="2" t="s">
        <v>105</v>
      </c>
      <c r="B18" s="3" t="s">
        <v>106</v>
      </c>
      <c r="C18" s="2">
        <v>37.5</v>
      </c>
    </row>
    <row r="19" spans="1:30" x14ac:dyDescent="0.25">
      <c r="A19" s="2" t="s">
        <v>122</v>
      </c>
      <c r="B19" s="3" t="s">
        <v>55</v>
      </c>
      <c r="C19" s="178">
        <v>0.22</v>
      </c>
    </row>
    <row r="20" spans="1:30" x14ac:dyDescent="0.25">
      <c r="A20" s="2" t="s">
        <v>123</v>
      </c>
      <c r="B20" s="3"/>
      <c r="C20" s="84">
        <v>0.15</v>
      </c>
    </row>
    <row r="21" spans="1:30" x14ac:dyDescent="0.25">
      <c r="A21" s="2" t="s">
        <v>83</v>
      </c>
      <c r="B21" s="3" t="s">
        <v>55</v>
      </c>
      <c r="C21" s="79">
        <v>5.0000000000000001E-4</v>
      </c>
    </row>
    <row r="23" spans="1:30" x14ac:dyDescent="0.25">
      <c r="A23" s="81" t="s">
        <v>85</v>
      </c>
    </row>
    <row r="24" spans="1:30" x14ac:dyDescent="0.25">
      <c r="A24" s="2" t="s">
        <v>199</v>
      </c>
      <c r="B24" s="82" t="s">
        <v>82</v>
      </c>
      <c r="C24" s="75">
        <v>5.81</v>
      </c>
      <c r="D24" s="2"/>
      <c r="E24" s="2"/>
      <c r="F24" s="2"/>
      <c r="G24" s="2"/>
      <c r="H24" s="2"/>
      <c r="I24" s="2"/>
      <c r="J24" s="2">
        <v>2.52</v>
      </c>
      <c r="K24" s="75">
        <v>2.59</v>
      </c>
      <c r="L24" s="75">
        <f>K24*(1+$C$25)</f>
        <v>2.2637078108177575</v>
      </c>
      <c r="M24" s="75">
        <f t="shared" ref="M24:AD24" si="16">L24*(1+$C$25)</f>
        <v>1.9785224141920172</v>
      </c>
      <c r="N24" s="75">
        <f t="shared" si="16"/>
        <v>1.7292651130828092</v>
      </c>
      <c r="O24" s="75">
        <f t="shared" si="16"/>
        <v>1.511409630679617</v>
      </c>
      <c r="P24" s="75">
        <f t="shared" si="16"/>
        <v>1.3209999174959965</v>
      </c>
      <c r="Q24" s="75">
        <f t="shared" si="16"/>
        <v>1.1545783132530119</v>
      </c>
      <c r="R24" s="75">
        <f t="shared" si="16"/>
        <v>1.0091227590392411</v>
      </c>
      <c r="S24" s="75">
        <f t="shared" si="16"/>
        <v>0.88199191957957368</v>
      </c>
      <c r="T24" s="75">
        <f t="shared" si="16"/>
        <v>0.77087721908510753</v>
      </c>
      <c r="U24" s="75">
        <f t="shared" si="16"/>
        <v>0.67376091970055196</v>
      </c>
      <c r="V24" s="75">
        <f t="shared" si="16"/>
        <v>0.58887948129339596</v>
      </c>
      <c r="W24" s="75">
        <f t="shared" si="16"/>
        <v>0.51469153723327032</v>
      </c>
      <c r="X24" s="75">
        <f t="shared" si="16"/>
        <v>0.44984990463195085</v>
      </c>
      <c r="Y24" s="75">
        <f t="shared" si="16"/>
        <v>0.39317712077643646</v>
      </c>
      <c r="Z24" s="75">
        <f t="shared" si="16"/>
        <v>0.34364406151986721</v>
      </c>
      <c r="AA24" s="75">
        <f t="shared" si="16"/>
        <v>0.30035125336048701</v>
      </c>
      <c r="AB24" s="75">
        <f t="shared" si="16"/>
        <v>0.2625125398536825</v>
      </c>
      <c r="AC24" s="75">
        <f t="shared" si="16"/>
        <v>0.22944080575459033</v>
      </c>
      <c r="AD24" s="75">
        <f t="shared" si="16"/>
        <v>0.20053549965520698</v>
      </c>
    </row>
    <row r="25" spans="1:30" x14ac:dyDescent="0.25">
      <c r="A25" s="2" t="s">
        <v>84</v>
      </c>
      <c r="B25" s="85" t="s">
        <v>55</v>
      </c>
      <c r="C25" s="86">
        <f>(K24/C24)^(1/COUNT(C4:K4))-1</f>
        <v>-0.12598154022480401</v>
      </c>
    </row>
    <row r="26" spans="1:30" x14ac:dyDescent="0.25">
      <c r="A26" s="2" t="s">
        <v>200</v>
      </c>
      <c r="B26" s="82" t="s">
        <v>82</v>
      </c>
      <c r="C26" s="75">
        <v>2.75</v>
      </c>
    </row>
    <row r="27" spans="1:30" x14ac:dyDescent="0.25">
      <c r="A27" s="2" t="s">
        <v>201</v>
      </c>
      <c r="B27" s="82" t="s">
        <v>82</v>
      </c>
      <c r="C27" s="2">
        <v>2.75</v>
      </c>
    </row>
    <row r="29" spans="1:30" x14ac:dyDescent="0.25">
      <c r="A29" s="2" t="s">
        <v>183</v>
      </c>
      <c r="B29" s="82" t="s">
        <v>82</v>
      </c>
      <c r="C29" s="2"/>
      <c r="D29" s="2"/>
      <c r="E29" s="2"/>
      <c r="F29" s="2"/>
      <c r="G29" s="2"/>
      <c r="H29" s="2"/>
      <c r="I29" s="2"/>
      <c r="J29" s="2"/>
      <c r="K29" s="104">
        <f>$C$24</f>
        <v>5.81</v>
      </c>
      <c r="L29" s="104">
        <f t="shared" ref="L29:R29" si="17">$C$24</f>
        <v>5.81</v>
      </c>
      <c r="M29" s="104">
        <f t="shared" si="17"/>
        <v>5.81</v>
      </c>
      <c r="N29" s="104">
        <f t="shared" si="17"/>
        <v>5.81</v>
      </c>
      <c r="O29" s="104">
        <f t="shared" si="17"/>
        <v>5.81</v>
      </c>
      <c r="P29" s="104">
        <f t="shared" si="17"/>
        <v>5.81</v>
      </c>
      <c r="Q29" s="104">
        <f t="shared" si="17"/>
        <v>5.81</v>
      </c>
      <c r="R29" s="104">
        <f t="shared" si="17"/>
        <v>5.81</v>
      </c>
      <c r="S29" s="104">
        <f t="shared" ref="S29:U29" si="18">$C$27</f>
        <v>2.75</v>
      </c>
      <c r="T29" s="104">
        <f t="shared" si="18"/>
        <v>2.75</v>
      </c>
      <c r="U29" s="104">
        <f t="shared" si="18"/>
        <v>2.75</v>
      </c>
      <c r="V29" s="104">
        <f>$C$27</f>
        <v>2.75</v>
      </c>
      <c r="W29" s="104">
        <f t="shared" ref="W29:AD29" si="19">$C$27</f>
        <v>2.75</v>
      </c>
      <c r="X29" s="104">
        <f t="shared" si="19"/>
        <v>2.75</v>
      </c>
      <c r="Y29" s="104">
        <f t="shared" si="19"/>
        <v>2.75</v>
      </c>
      <c r="Z29" s="104">
        <f t="shared" si="19"/>
        <v>2.75</v>
      </c>
      <c r="AA29" s="104">
        <f t="shared" si="19"/>
        <v>2.75</v>
      </c>
      <c r="AB29" s="104">
        <f t="shared" si="19"/>
        <v>2.75</v>
      </c>
      <c r="AC29" s="104">
        <f t="shared" si="19"/>
        <v>2.75</v>
      </c>
      <c r="AD29" s="104">
        <f t="shared" si="19"/>
        <v>2.75</v>
      </c>
    </row>
    <row r="31" spans="1:30" x14ac:dyDescent="0.25">
      <c r="A31" s="81" t="s">
        <v>202</v>
      </c>
      <c r="B31" s="82" t="s">
        <v>82</v>
      </c>
      <c r="C31" s="104">
        <v>0.5</v>
      </c>
    </row>
    <row r="33" spans="1:13" x14ac:dyDescent="0.25">
      <c r="A33" s="89" t="s">
        <v>115</v>
      </c>
      <c r="B33" s="2"/>
      <c r="C33" s="2" t="s">
        <v>98</v>
      </c>
    </row>
    <row r="35" spans="1:13" x14ac:dyDescent="0.25">
      <c r="A35" s="89" t="s">
        <v>80</v>
      </c>
      <c r="C35" s="150" t="s">
        <v>203</v>
      </c>
      <c r="D35" s="150" t="s">
        <v>204</v>
      </c>
    </row>
    <row r="36" spans="1:13" ht="30" x14ac:dyDescent="0.25">
      <c r="A36" s="2" t="s">
        <v>234</v>
      </c>
      <c r="B36" s="3" t="s">
        <v>55</v>
      </c>
      <c r="C36" s="79">
        <f>G36+4%</f>
        <v>9.3718599999999999E-2</v>
      </c>
      <c r="D36" s="75">
        <v>106.8622</v>
      </c>
      <c r="F36" s="161" t="s">
        <v>233</v>
      </c>
      <c r="G36" s="71">
        <v>5.3718599999999998E-2</v>
      </c>
      <c r="H36" t="s">
        <v>236</v>
      </c>
    </row>
    <row r="37" spans="1:13" x14ac:dyDescent="0.25">
      <c r="A37" s="2" t="s">
        <v>235</v>
      </c>
      <c r="B37" s="3" t="s">
        <v>55</v>
      </c>
      <c r="C37" s="79">
        <v>0.12</v>
      </c>
      <c r="D37" s="75">
        <v>170.9528</v>
      </c>
    </row>
    <row r="38" spans="1:13" x14ac:dyDescent="0.25">
      <c r="A38" s="2"/>
      <c r="B38" s="3" t="s">
        <v>55</v>
      </c>
      <c r="C38" s="95">
        <f>SUMPRODUCT(C36:C37,D36:D37)/SUM(D36:D37)</f>
        <v>0.10989079703010997</v>
      </c>
      <c r="D38" s="160">
        <f>SUM(D36:D37)</f>
        <v>277.815</v>
      </c>
      <c r="G38" s="92"/>
    </row>
    <row r="41" spans="1:13" x14ac:dyDescent="0.25">
      <c r="A41" s="56" t="s">
        <v>60</v>
      </c>
    </row>
    <row r="42" spans="1:13" x14ac:dyDescent="0.25">
      <c r="A42" s="58" t="s">
        <v>61</v>
      </c>
      <c r="B42" s="59" t="s">
        <v>62</v>
      </c>
      <c r="C42" s="157" t="s">
        <v>220</v>
      </c>
      <c r="D42" s="157" t="s">
        <v>221</v>
      </c>
      <c r="E42" s="157" t="s">
        <v>222</v>
      </c>
      <c r="F42" s="157" t="s">
        <v>223</v>
      </c>
      <c r="G42" s="157" t="s">
        <v>224</v>
      </c>
      <c r="H42" s="157" t="s">
        <v>225</v>
      </c>
      <c r="I42" s="157" t="s">
        <v>226</v>
      </c>
      <c r="J42" s="106" t="s">
        <v>227</v>
      </c>
      <c r="K42" s="157" t="s">
        <v>228</v>
      </c>
      <c r="L42" s="157" t="s">
        <v>229</v>
      </c>
      <c r="M42" s="158" t="s">
        <v>230</v>
      </c>
    </row>
    <row r="43" spans="1:13" x14ac:dyDescent="0.25">
      <c r="A43" s="60" t="s">
        <v>63</v>
      </c>
      <c r="B43" s="61">
        <v>100</v>
      </c>
      <c r="C43" s="62">
        <v>106.9</v>
      </c>
      <c r="D43" s="62">
        <v>112.5</v>
      </c>
      <c r="E43" s="62">
        <v>113.9</v>
      </c>
      <c r="F43" s="62">
        <v>109.7</v>
      </c>
      <c r="G43" s="62">
        <v>111.6</v>
      </c>
      <c r="H43" s="62">
        <v>114.9</v>
      </c>
      <c r="I43" s="62">
        <v>119.8</v>
      </c>
      <c r="J43" s="62">
        <v>121.8</v>
      </c>
      <c r="K43" s="62">
        <v>123.4</v>
      </c>
      <c r="L43" s="62">
        <v>139.4</v>
      </c>
      <c r="M43" s="62">
        <v>152.5</v>
      </c>
    </row>
    <row r="44" spans="1:13" x14ac:dyDescent="0.25">
      <c r="A44" s="60"/>
      <c r="B44" s="61"/>
      <c r="C44" s="63">
        <f>+C43/B43-1</f>
        <v>6.899999999999995E-2</v>
      </c>
      <c r="D44" s="63">
        <f t="shared" ref="D44:M44" si="20">+D43/C43-1</f>
        <v>5.2385406922357269E-2</v>
      </c>
      <c r="E44" s="63">
        <f t="shared" si="20"/>
        <v>1.244444444444448E-2</v>
      </c>
      <c r="F44" s="63">
        <f t="shared" si="20"/>
        <v>-3.687445127304656E-2</v>
      </c>
      <c r="G44" s="63">
        <f t="shared" si="20"/>
        <v>1.7319963536918781E-2</v>
      </c>
      <c r="H44" s="63">
        <f t="shared" si="20"/>
        <v>2.9569892473118475E-2</v>
      </c>
      <c r="I44" s="63">
        <f t="shared" si="20"/>
        <v>4.2645778938207091E-2</v>
      </c>
      <c r="J44" s="63">
        <f t="shared" si="20"/>
        <v>1.6694490818029983E-2</v>
      </c>
      <c r="K44" s="63">
        <f t="shared" si="20"/>
        <v>1.3136288998357948E-2</v>
      </c>
      <c r="L44" s="63">
        <f t="shared" si="20"/>
        <v>0.12965964343598047</v>
      </c>
      <c r="M44" s="63">
        <f t="shared" si="20"/>
        <v>9.3974175035868024E-2</v>
      </c>
    </row>
    <row r="45" spans="1:13" x14ac:dyDescent="0.25">
      <c r="A45" s="64" t="s">
        <v>64</v>
      </c>
      <c r="B45" s="65">
        <f>(M43/B43)^(1/COUNT(C43:M43))-1</f>
        <v>3.9108493961018453E-2</v>
      </c>
      <c r="C45" s="66"/>
      <c r="D45" s="67"/>
      <c r="E45" s="67"/>
      <c r="F45" s="67"/>
      <c r="G45" s="67"/>
      <c r="H45" s="67"/>
      <c r="I45" s="67"/>
    </row>
    <row r="46" spans="1:13" x14ac:dyDescent="0.25">
      <c r="A46" s="35" t="s">
        <v>65</v>
      </c>
      <c r="B46" s="68">
        <f>B45</f>
        <v>3.9108493961018453E-2</v>
      </c>
      <c r="C46" s="66"/>
      <c r="D46" s="67"/>
      <c r="E46" s="67"/>
      <c r="F46" s="67"/>
      <c r="G46" s="67"/>
      <c r="H46" s="67"/>
      <c r="I46" s="67"/>
    </row>
    <row r="48" spans="1:13" x14ac:dyDescent="0.25">
      <c r="A48" s="56" t="s">
        <v>66</v>
      </c>
      <c r="B48" s="69" t="s">
        <v>55</v>
      </c>
      <c r="C48" s="87">
        <f>B46</f>
        <v>3.9108493961018453E-2</v>
      </c>
    </row>
    <row r="49" spans="1:13" x14ac:dyDescent="0.25">
      <c r="B49" s="97"/>
    </row>
    <row r="50" spans="1:13" x14ac:dyDescent="0.25">
      <c r="A50" s="88" t="s">
        <v>102</v>
      </c>
      <c r="B50" s="97"/>
    </row>
    <row r="52" spans="1:13" x14ac:dyDescent="0.25">
      <c r="A52" s="90" t="s">
        <v>197</v>
      </c>
      <c r="B52" s="83"/>
    </row>
    <row r="53" spans="1:13" x14ac:dyDescent="0.25">
      <c r="A53" s="2" t="s">
        <v>198</v>
      </c>
      <c r="B53" s="3" t="s">
        <v>55</v>
      </c>
      <c r="C53" s="104">
        <v>7.7200000000000005E-2</v>
      </c>
    </row>
    <row r="54" spans="1:13" x14ac:dyDescent="0.25">
      <c r="A54" s="2" t="s">
        <v>96</v>
      </c>
      <c r="B54" s="3" t="s">
        <v>55</v>
      </c>
      <c r="C54" s="95">
        <v>0.05</v>
      </c>
      <c r="D54" s="91" t="s">
        <v>98</v>
      </c>
    </row>
    <row r="55" spans="1:13" x14ac:dyDescent="0.25">
      <c r="B55" s="83"/>
      <c r="C55" s="96"/>
    </row>
    <row r="56" spans="1:13" x14ac:dyDescent="0.25">
      <c r="A56" s="2" t="s">
        <v>217</v>
      </c>
      <c r="B56" s="3" t="s">
        <v>97</v>
      </c>
      <c r="C56" s="75">
        <v>3.52</v>
      </c>
      <c r="I56">
        <v>2.7153999999999998</v>
      </c>
      <c r="J56">
        <v>3.9274</v>
      </c>
      <c r="K56">
        <v>4.1294000000000004</v>
      </c>
      <c r="L56">
        <v>1.8141</v>
      </c>
      <c r="M56">
        <v>3.4773999999999998</v>
      </c>
    </row>
    <row r="57" spans="1:13" x14ac:dyDescent="0.25">
      <c r="A57" s="2" t="s">
        <v>96</v>
      </c>
      <c r="B57" s="3" t="s">
        <v>55</v>
      </c>
      <c r="C57" s="95">
        <v>0.05</v>
      </c>
    </row>
    <row r="58" spans="1:13" x14ac:dyDescent="0.25">
      <c r="B58" s="83"/>
      <c r="C58" s="96"/>
    </row>
    <row r="59" spans="1:13" x14ac:dyDescent="0.25">
      <c r="A59" s="2" t="s">
        <v>103</v>
      </c>
      <c r="B59" s="3" t="s">
        <v>55</v>
      </c>
      <c r="C59" s="79">
        <v>0.01</v>
      </c>
      <c r="D59" t="s">
        <v>218</v>
      </c>
      <c r="I59">
        <v>0.56289999999999996</v>
      </c>
      <c r="J59">
        <v>0.1837</v>
      </c>
      <c r="K59">
        <v>0.15179999999999999</v>
      </c>
      <c r="L59">
        <v>0.4577</v>
      </c>
      <c r="M59">
        <v>0.50549999999999995</v>
      </c>
    </row>
    <row r="60" spans="1:13" x14ac:dyDescent="0.25">
      <c r="A60" s="2" t="s">
        <v>214</v>
      </c>
      <c r="B60" s="3" t="s">
        <v>55</v>
      </c>
      <c r="C60" s="98">
        <v>0.05</v>
      </c>
      <c r="D60" t="s">
        <v>219</v>
      </c>
      <c r="I60">
        <v>3.4763999999999999</v>
      </c>
      <c r="J60">
        <v>12.4351</v>
      </c>
      <c r="K60">
        <v>12.649800000000001</v>
      </c>
      <c r="L60">
        <v>2.7193000000000001</v>
      </c>
      <c r="M60">
        <v>6.1654999999999998</v>
      </c>
    </row>
    <row r="62" spans="1:13" x14ac:dyDescent="0.25">
      <c r="A62" s="56" t="s">
        <v>54</v>
      </c>
      <c r="B62" s="52" t="s">
        <v>55</v>
      </c>
      <c r="C62" s="54">
        <v>0.03</v>
      </c>
    </row>
    <row r="63" spans="1:13" x14ac:dyDescent="0.25">
      <c r="A63" s="51" t="s">
        <v>56</v>
      </c>
      <c r="B63" s="52" t="s">
        <v>57</v>
      </c>
      <c r="C63" s="53">
        <f>'Depreciation Schedule'!E55/10^2</f>
        <v>2.9241000000000001</v>
      </c>
    </row>
    <row r="64" spans="1:13" x14ac:dyDescent="0.25">
      <c r="A64" s="51" t="s">
        <v>58</v>
      </c>
      <c r="B64" s="52" t="s">
        <v>57</v>
      </c>
      <c r="C64" s="55">
        <f>+C63*(1+C62)^(C8)</f>
        <v>6.1224160441018869</v>
      </c>
    </row>
    <row r="65" spans="1:14" x14ac:dyDescent="0.25">
      <c r="A65" s="51" t="s">
        <v>59</v>
      </c>
      <c r="B65" s="52" t="s">
        <v>57</v>
      </c>
      <c r="C65" s="55">
        <f>+C64-C63</f>
        <v>3.1983160441018867</v>
      </c>
    </row>
    <row r="67" spans="1:14" x14ac:dyDescent="0.25">
      <c r="A67" s="93" t="s">
        <v>99</v>
      </c>
    </row>
    <row r="68" spans="1:14" x14ac:dyDescent="0.25">
      <c r="A68" s="51" t="s">
        <v>100</v>
      </c>
      <c r="B68" s="52" t="s">
        <v>55</v>
      </c>
      <c r="C68" s="79">
        <f>22%*(1+10%)*(1+4%)</f>
        <v>0.25168000000000001</v>
      </c>
    </row>
    <row r="70" spans="1:14" x14ac:dyDescent="0.25">
      <c r="A70" s="94" t="s">
        <v>107</v>
      </c>
    </row>
    <row r="72" spans="1:14" x14ac:dyDescent="0.25">
      <c r="A72" s="2" t="s">
        <v>108</v>
      </c>
      <c r="B72" s="2"/>
      <c r="C72" s="2"/>
      <c r="D72" s="2"/>
      <c r="E72" s="2"/>
      <c r="F72" s="2"/>
      <c r="G72" s="2">
        <v>14.8157</v>
      </c>
      <c r="H72" s="2">
        <v>22.6235</v>
      </c>
      <c r="I72" s="2">
        <v>16.869499999999999</v>
      </c>
      <c r="J72" s="2">
        <v>13.050700000000001</v>
      </c>
      <c r="K72" s="159">
        <v>5.1326999999999998</v>
      </c>
      <c r="L72">
        <v>33.002699999999997</v>
      </c>
      <c r="M72">
        <v>42.654600000000002</v>
      </c>
    </row>
    <row r="73" spans="1:14" x14ac:dyDescent="0.25">
      <c r="A73" s="2" t="s">
        <v>109</v>
      </c>
      <c r="B73" s="2"/>
      <c r="C73" s="2"/>
      <c r="D73" s="2"/>
      <c r="E73" s="2"/>
      <c r="F73" s="2"/>
      <c r="G73" s="2">
        <v>19.8904</v>
      </c>
      <c r="H73" s="2">
        <v>41.892299999999999</v>
      </c>
      <c r="I73" s="2">
        <v>41.327399999999997</v>
      </c>
      <c r="J73" s="2">
        <v>42.195</v>
      </c>
      <c r="K73" s="159">
        <v>45.912700000000001</v>
      </c>
      <c r="L73" s="159">
        <v>36.098199999999999</v>
      </c>
      <c r="M73" s="159">
        <v>41.5486</v>
      </c>
    </row>
    <row r="74" spans="1:14" x14ac:dyDescent="0.25">
      <c r="A74" s="2" t="s">
        <v>112</v>
      </c>
      <c r="B74" s="3" t="s">
        <v>114</v>
      </c>
      <c r="C74" s="2"/>
      <c r="D74" s="2"/>
      <c r="E74" s="2"/>
      <c r="F74" s="2"/>
      <c r="G74" s="75">
        <f>(G72/G73)*G3</f>
        <v>272.62127458472429</v>
      </c>
      <c r="H74" s="75">
        <f>(H72/H73)*H3</f>
        <v>197.11444585281782</v>
      </c>
      <c r="I74" s="75">
        <f>(I72/I73)*I3</f>
        <v>148.98995581623814</v>
      </c>
      <c r="J74" s="75">
        <f>(J72/J73)*J3</f>
        <v>112.89265315795711</v>
      </c>
      <c r="K74" s="75">
        <f t="shared" ref="K74:M74" si="21">(K72/K73)*K3</f>
        <v>40.916090754845605</v>
      </c>
      <c r="L74" s="75">
        <f t="shared" si="21"/>
        <v>333.70044766775072</v>
      </c>
      <c r="M74" s="75">
        <f t="shared" si="21"/>
        <v>374.7160915169224</v>
      </c>
      <c r="N74" s="96">
        <v>200</v>
      </c>
    </row>
    <row r="77" spans="1:14" x14ac:dyDescent="0.25">
      <c r="A77" s="2" t="s">
        <v>110</v>
      </c>
      <c r="B77" s="2"/>
      <c r="C77" s="2"/>
      <c r="D77" s="2"/>
      <c r="E77" s="2"/>
      <c r="F77" s="2"/>
      <c r="G77" s="2">
        <v>0.58679999999999999</v>
      </c>
      <c r="H77" s="2">
        <v>1.0819000000000001</v>
      </c>
      <c r="I77" s="2">
        <v>0.17530000000000001</v>
      </c>
      <c r="J77" s="2">
        <v>4.0185000000000004</v>
      </c>
      <c r="K77" s="159">
        <v>7.2214</v>
      </c>
      <c r="L77">
        <v>7.3369999999999997</v>
      </c>
      <c r="M77">
        <v>7.2507000000000001</v>
      </c>
    </row>
    <row r="78" spans="1:14" x14ac:dyDescent="0.25">
      <c r="A78" s="2" t="s">
        <v>111</v>
      </c>
      <c r="B78" s="2"/>
      <c r="C78" s="2"/>
      <c r="D78" s="2"/>
      <c r="E78" s="2"/>
      <c r="F78" s="2"/>
      <c r="G78" s="2">
        <v>0</v>
      </c>
      <c r="H78" s="2">
        <v>0.97160000000000002</v>
      </c>
      <c r="I78" s="2">
        <v>2.7153999999999998</v>
      </c>
      <c r="J78" s="2">
        <v>3.9274</v>
      </c>
      <c r="K78" s="159">
        <v>4.1294000000000004</v>
      </c>
      <c r="L78" s="159">
        <v>1.8141</v>
      </c>
      <c r="M78" s="159">
        <v>3.4773999999999998</v>
      </c>
    </row>
    <row r="79" spans="1:14" x14ac:dyDescent="0.25">
      <c r="A79" s="2" t="s">
        <v>113</v>
      </c>
      <c r="B79" s="3" t="s">
        <v>114</v>
      </c>
      <c r="C79" s="2"/>
      <c r="D79" s="2"/>
      <c r="E79" s="2"/>
      <c r="F79" s="2"/>
      <c r="G79" s="75" t="e">
        <f>(G77/G78)*G3</f>
        <v>#DIV/0!</v>
      </c>
      <c r="H79" s="75">
        <f>(H77/H78)*H3</f>
        <v>406.43629065459044</v>
      </c>
      <c r="I79" s="75">
        <f>(I77/I78)*I3</f>
        <v>23.563563379244314</v>
      </c>
      <c r="J79" s="75">
        <f>(J77/J78)*J3</f>
        <v>373.46654275092942</v>
      </c>
      <c r="K79" s="75">
        <f t="shared" ref="K79:M79" si="22">(K77/K78)*K3</f>
        <v>640.0524047077057</v>
      </c>
      <c r="L79" s="75">
        <f t="shared" si="22"/>
        <v>1476.2168568436139</v>
      </c>
      <c r="M79" s="75">
        <f t="shared" si="22"/>
        <v>761.05869327658593</v>
      </c>
      <c r="N79" s="96">
        <v>400</v>
      </c>
    </row>
    <row r="82" spans="1:3" x14ac:dyDescent="0.25">
      <c r="A82" s="2" t="s">
        <v>216</v>
      </c>
      <c r="B82" s="3" t="s">
        <v>57</v>
      </c>
      <c r="C82" s="156">
        <v>1.6019000000000001</v>
      </c>
    </row>
    <row r="85" spans="1:3" x14ac:dyDescent="0.25">
      <c r="A85" s="88" t="s">
        <v>184</v>
      </c>
      <c r="B85" s="150" t="s">
        <v>195</v>
      </c>
      <c r="C85" s="150" t="s">
        <v>196</v>
      </c>
    </row>
    <row r="86" spans="1:3" x14ac:dyDescent="0.25">
      <c r="A86" s="2" t="s">
        <v>185</v>
      </c>
      <c r="B86" s="2" t="s">
        <v>186</v>
      </c>
      <c r="C86" s="2" t="s">
        <v>191</v>
      </c>
    </row>
    <row r="87" spans="1:3" x14ac:dyDescent="0.25">
      <c r="A87" s="2" t="s">
        <v>187</v>
      </c>
      <c r="B87" s="2" t="s">
        <v>188</v>
      </c>
      <c r="C87" s="2" t="s">
        <v>191</v>
      </c>
    </row>
    <row r="88" spans="1:3" x14ac:dyDescent="0.25">
      <c r="A88" s="2" t="s">
        <v>189</v>
      </c>
      <c r="B88" s="2" t="s">
        <v>190</v>
      </c>
      <c r="C88" s="2" t="s">
        <v>192</v>
      </c>
    </row>
    <row r="89" spans="1:3" x14ac:dyDescent="0.25">
      <c r="A89" s="2" t="s">
        <v>193</v>
      </c>
      <c r="B89" s="2" t="s">
        <v>194</v>
      </c>
      <c r="C89" s="2" t="s">
        <v>192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activeCell="N31" sqref="N31"/>
    </sheetView>
  </sheetViews>
  <sheetFormatPr defaultRowHeight="15" x14ac:dyDescent="0.25"/>
  <cols>
    <col min="1" max="1" width="54.7109375" bestFit="1" customWidth="1"/>
    <col min="2" max="2" width="9.42578125" bestFit="1" customWidth="1"/>
    <col min="3" max="3" width="11.28515625" bestFit="1" customWidth="1"/>
    <col min="4" max="4" width="11.7109375" bestFit="1" customWidth="1"/>
    <col min="5" max="5" width="9.7109375" bestFit="1" customWidth="1"/>
    <col min="6" max="13" width="9.28515625" bestFit="1" customWidth="1"/>
  </cols>
  <sheetData>
    <row r="1" spans="1:18" x14ac:dyDescent="0.25">
      <c r="A1" s="81" t="s">
        <v>205</v>
      </c>
    </row>
    <row r="3" spans="1:18" ht="45" x14ac:dyDescent="0.25">
      <c r="A3" s="77" t="s">
        <v>69</v>
      </c>
      <c r="B3" s="77" t="s">
        <v>70</v>
      </c>
      <c r="C3" s="77" t="s">
        <v>71</v>
      </c>
      <c r="D3" s="77" t="s">
        <v>72</v>
      </c>
      <c r="E3" s="77" t="s">
        <v>232</v>
      </c>
      <c r="F3" s="77" t="s">
        <v>74</v>
      </c>
    </row>
    <row r="4" spans="1:18" ht="30" x14ac:dyDescent="0.25">
      <c r="A4" s="72" t="s">
        <v>207</v>
      </c>
      <c r="B4" s="72" t="s">
        <v>57</v>
      </c>
      <c r="C4" s="72">
        <f>Assumptions!D36</f>
        <v>106.8622</v>
      </c>
      <c r="D4" s="73">
        <f>Assumptions!C36</f>
        <v>9.3718599999999999E-2</v>
      </c>
      <c r="E4" s="74">
        <f>F4*2</f>
        <v>22</v>
      </c>
      <c r="F4" s="75">
        <v>11</v>
      </c>
    </row>
    <row r="5" spans="1:18" ht="30" x14ac:dyDescent="0.25">
      <c r="A5" s="72" t="s">
        <v>208</v>
      </c>
      <c r="B5" s="72" t="s">
        <v>57</v>
      </c>
      <c r="C5" s="72">
        <v>5.0801999999999996</v>
      </c>
      <c r="D5" s="73">
        <f>Assumptions!C36</f>
        <v>9.3718599999999999E-2</v>
      </c>
      <c r="E5" s="74">
        <f>F5*2</f>
        <v>22</v>
      </c>
      <c r="F5" s="75">
        <v>11</v>
      </c>
    </row>
    <row r="6" spans="1:18" ht="30" x14ac:dyDescent="0.25">
      <c r="A6" s="103" t="s">
        <v>75</v>
      </c>
      <c r="B6" s="139" t="str">
        <f>[93]Assumptions!C75</f>
        <v>INR Crore</v>
      </c>
      <c r="C6" s="140">
        <f>SUM(C4:C5)</f>
        <v>111.94240000000001</v>
      </c>
      <c r="D6" s="141">
        <f>SUMPRODUCT(C4:C5,D4:D5)/C6</f>
        <v>9.3718599999999999E-2</v>
      </c>
      <c r="E6" s="142"/>
      <c r="F6" s="142">
        <f>F5</f>
        <v>11</v>
      </c>
    </row>
    <row r="9" spans="1:18" x14ac:dyDescent="0.25">
      <c r="A9" s="77" t="s">
        <v>69</v>
      </c>
      <c r="B9" s="78">
        <f>Assumptions!N$4</f>
        <v>45016</v>
      </c>
      <c r="C9" s="78">
        <f>Assumptions!O$4</f>
        <v>45382</v>
      </c>
      <c r="D9" s="78">
        <f>Assumptions!P$4</f>
        <v>45747</v>
      </c>
      <c r="E9" s="78">
        <f>Assumptions!Q$4</f>
        <v>46112</v>
      </c>
      <c r="F9" s="78">
        <f>Assumptions!R$4</f>
        <v>46477</v>
      </c>
      <c r="G9" s="78">
        <f>Assumptions!S$4</f>
        <v>46843</v>
      </c>
      <c r="H9" s="78">
        <f>Assumptions!T$4</f>
        <v>47208</v>
      </c>
      <c r="I9" s="78">
        <f>Assumptions!U$4</f>
        <v>47573</v>
      </c>
      <c r="J9" s="78">
        <f>Assumptions!V$4</f>
        <v>47938</v>
      </c>
      <c r="K9" s="78">
        <f>Assumptions!W$4</f>
        <v>48304</v>
      </c>
      <c r="L9" s="78">
        <f>Assumptions!X$4</f>
        <v>48669</v>
      </c>
      <c r="M9" s="78">
        <f>Assumptions!Y$4</f>
        <v>49034</v>
      </c>
      <c r="N9" s="78">
        <f>Assumptions!Z$4</f>
        <v>49399</v>
      </c>
      <c r="O9" s="78">
        <f>Assumptions!AA$4</f>
        <v>49765</v>
      </c>
      <c r="P9" s="78">
        <f>Assumptions!AB$4</f>
        <v>50130</v>
      </c>
      <c r="Q9" s="78">
        <f>Assumptions!AC$4</f>
        <v>50495</v>
      </c>
      <c r="R9" s="78">
        <f>Assumptions!AD$4</f>
        <v>50860</v>
      </c>
    </row>
    <row r="10" spans="1:18" x14ac:dyDescent="0.25">
      <c r="A10" s="2" t="s">
        <v>76</v>
      </c>
      <c r="B10" s="76">
        <f>$C$6</f>
        <v>111.94240000000001</v>
      </c>
      <c r="C10" s="76">
        <f>B13</f>
        <v>101.76581818181819</v>
      </c>
      <c r="D10" s="76">
        <f>C13</f>
        <v>91.589236363636374</v>
      </c>
      <c r="E10" s="76">
        <f t="shared" ref="E10:H10" si="0">D13</f>
        <v>81.412654545454558</v>
      </c>
      <c r="F10" s="76">
        <f t="shared" si="0"/>
        <v>71.236072727272742</v>
      </c>
      <c r="G10" s="76">
        <f t="shared" si="0"/>
        <v>61.059490909090925</v>
      </c>
      <c r="H10" s="76">
        <f t="shared" si="0"/>
        <v>50.882909090909109</v>
      </c>
      <c r="I10" s="76">
        <f t="shared" ref="I10" si="1">H13</f>
        <v>40.706327272727293</v>
      </c>
      <c r="J10" s="76">
        <f t="shared" ref="J10" si="2">I13</f>
        <v>30.529745454545477</v>
      </c>
      <c r="K10" s="76">
        <f t="shared" ref="K10" si="3">J13</f>
        <v>20.353163636363661</v>
      </c>
      <c r="L10" s="76">
        <f t="shared" ref="L10" si="4">K13</f>
        <v>10.176581818181843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 x14ac:dyDescent="0.25">
      <c r="A11" s="2" t="s">
        <v>77</v>
      </c>
      <c r="B11" s="76">
        <f>$C$6/$F$6</f>
        <v>10.176581818181818</v>
      </c>
      <c r="C11" s="76">
        <f>$C$6/$F$6</f>
        <v>10.176581818181818</v>
      </c>
      <c r="D11" s="76">
        <f t="shared" ref="D11:L11" si="5">$C$6/$F$6</f>
        <v>10.176581818181818</v>
      </c>
      <c r="E11" s="76">
        <f t="shared" si="5"/>
        <v>10.176581818181818</v>
      </c>
      <c r="F11" s="76">
        <f t="shared" si="5"/>
        <v>10.176581818181818</v>
      </c>
      <c r="G11" s="76">
        <f t="shared" si="5"/>
        <v>10.176581818181818</v>
      </c>
      <c r="H11" s="76">
        <f t="shared" si="5"/>
        <v>10.176581818181818</v>
      </c>
      <c r="I11" s="76">
        <f t="shared" si="5"/>
        <v>10.176581818181818</v>
      </c>
      <c r="J11" s="76">
        <f t="shared" si="5"/>
        <v>10.176581818181818</v>
      </c>
      <c r="K11" s="76">
        <f t="shared" si="5"/>
        <v>10.176581818181818</v>
      </c>
      <c r="L11" s="76">
        <f t="shared" si="5"/>
        <v>10.176581818181818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 x14ac:dyDescent="0.25">
      <c r="A12" s="2" t="s">
        <v>78</v>
      </c>
      <c r="B12" s="76">
        <f>B10*$D$6</f>
        <v>10.491085008640001</v>
      </c>
      <c r="C12" s="76">
        <f>C10*$D$6</f>
        <v>9.5373500078545455</v>
      </c>
      <c r="D12" s="76">
        <f t="shared" ref="D12:G12" si="6">D10*$D$6</f>
        <v>8.583615007069092</v>
      </c>
      <c r="E12" s="76">
        <f t="shared" si="6"/>
        <v>7.6298800062836376</v>
      </c>
      <c r="F12" s="76">
        <f t="shared" si="6"/>
        <v>6.6761450054981832</v>
      </c>
      <c r="G12" s="76">
        <f t="shared" si="6"/>
        <v>5.7224100047127289</v>
      </c>
      <c r="H12" s="76">
        <f t="shared" ref="H12:I12" si="7">H10*$D$6</f>
        <v>4.7686750039272745</v>
      </c>
      <c r="I12" s="76">
        <f t="shared" si="7"/>
        <v>3.8149400031418201</v>
      </c>
      <c r="J12" s="76">
        <f t="shared" ref="J12:L12" si="8">J10*$D$6</f>
        <v>2.8612050023563658</v>
      </c>
      <c r="K12" s="76">
        <f t="shared" si="8"/>
        <v>1.9074700015709114</v>
      </c>
      <c r="L12" s="76">
        <f t="shared" si="8"/>
        <v>0.95373500078545681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 x14ac:dyDescent="0.25">
      <c r="A13" s="2" t="s">
        <v>79</v>
      </c>
      <c r="B13" s="76">
        <f>B10-B11</f>
        <v>101.76581818181819</v>
      </c>
      <c r="C13" s="76">
        <f>C10-C11</f>
        <v>91.589236363636374</v>
      </c>
      <c r="D13" s="76">
        <f t="shared" ref="D13:G13" si="9">D10-D11</f>
        <v>81.412654545454558</v>
      </c>
      <c r="E13" s="76">
        <f t="shared" si="9"/>
        <v>71.236072727272742</v>
      </c>
      <c r="F13" s="76">
        <f t="shared" si="9"/>
        <v>61.059490909090925</v>
      </c>
      <c r="G13" s="76">
        <f t="shared" si="9"/>
        <v>50.882909090909109</v>
      </c>
      <c r="H13" s="76">
        <f t="shared" ref="H13:I13" si="10">H10-H11</f>
        <v>40.706327272727293</v>
      </c>
      <c r="I13" s="76">
        <f t="shared" si="10"/>
        <v>30.529745454545477</v>
      </c>
      <c r="J13" s="76">
        <f t="shared" ref="J13:L13" si="11">J10-J11</f>
        <v>20.353163636363661</v>
      </c>
      <c r="K13" s="76">
        <f t="shared" si="11"/>
        <v>10.176581818181843</v>
      </c>
      <c r="L13" s="76">
        <f t="shared" si="11"/>
        <v>2.4868995751603507E-14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</row>
    <row r="16" spans="1:18" x14ac:dyDescent="0.25">
      <c r="A16" s="81" t="s">
        <v>206</v>
      </c>
    </row>
    <row r="18" spans="1:18" ht="45" x14ac:dyDescent="0.25">
      <c r="A18" s="77" t="s">
        <v>69</v>
      </c>
      <c r="B18" s="77" t="s">
        <v>70</v>
      </c>
      <c r="C18" s="77" t="s">
        <v>71</v>
      </c>
      <c r="D18" s="77" t="s">
        <v>72</v>
      </c>
      <c r="E18" s="77" t="s">
        <v>73</v>
      </c>
      <c r="F18" s="77" t="s">
        <v>74</v>
      </c>
    </row>
    <row r="19" spans="1:18" ht="30" x14ac:dyDescent="0.25">
      <c r="A19" s="72" t="s">
        <v>207</v>
      </c>
      <c r="B19" s="72" t="s">
        <v>57</v>
      </c>
      <c r="C19" s="72">
        <f>Assumptions!D37</f>
        <v>170.9528</v>
      </c>
      <c r="D19" s="73">
        <f>Assumptions!$C$37</f>
        <v>0.12</v>
      </c>
      <c r="E19" s="74">
        <f>F19*4</f>
        <v>44</v>
      </c>
      <c r="F19" s="75">
        <v>11</v>
      </c>
    </row>
    <row r="20" spans="1:18" ht="30" x14ac:dyDescent="0.25">
      <c r="A20" s="72" t="s">
        <v>208</v>
      </c>
      <c r="B20" s="72" t="s">
        <v>57</v>
      </c>
      <c r="C20" s="72">
        <v>0</v>
      </c>
      <c r="D20" s="73">
        <f>Assumptions!$C$37</f>
        <v>0.12</v>
      </c>
      <c r="E20" s="74">
        <f>F20*4</f>
        <v>44</v>
      </c>
      <c r="F20" s="75">
        <v>11</v>
      </c>
    </row>
    <row r="21" spans="1:18" ht="30" x14ac:dyDescent="0.25">
      <c r="A21" s="103" t="s">
        <v>75</v>
      </c>
      <c r="B21" s="139" t="s">
        <v>57</v>
      </c>
      <c r="C21" s="140">
        <f>SUM(C19:C20)</f>
        <v>170.9528</v>
      </c>
      <c r="D21" s="141">
        <f>SUMPRODUCT(C19:C20,D19:D20)/C21</f>
        <v>0.12000000000000001</v>
      </c>
      <c r="E21" s="142"/>
      <c r="F21" s="142">
        <f>F20</f>
        <v>11</v>
      </c>
    </row>
    <row r="23" spans="1:18" x14ac:dyDescent="0.25">
      <c r="A23" s="77" t="s">
        <v>69</v>
      </c>
      <c r="B23" s="78">
        <f>Assumptions!N$4</f>
        <v>45016</v>
      </c>
      <c r="C23" s="78">
        <f>Assumptions!O$4</f>
        <v>45382</v>
      </c>
      <c r="D23" s="78">
        <f>Assumptions!P$4</f>
        <v>45747</v>
      </c>
      <c r="E23" s="78">
        <f>Assumptions!Q$4</f>
        <v>46112</v>
      </c>
      <c r="F23" s="78">
        <f>Assumptions!R$4</f>
        <v>46477</v>
      </c>
      <c r="G23" s="78">
        <f>Assumptions!S$4</f>
        <v>46843</v>
      </c>
      <c r="H23" s="78">
        <f>Assumptions!T$4</f>
        <v>47208</v>
      </c>
      <c r="I23" s="78">
        <f>Assumptions!U$4</f>
        <v>47573</v>
      </c>
      <c r="J23" s="78">
        <f>Assumptions!V$4</f>
        <v>47938</v>
      </c>
      <c r="K23" s="78">
        <f>Assumptions!W$4</f>
        <v>48304</v>
      </c>
      <c r="L23" s="78">
        <f>Assumptions!X$4</f>
        <v>48669</v>
      </c>
      <c r="M23" s="78">
        <f>Assumptions!Y$4</f>
        <v>49034</v>
      </c>
      <c r="N23" s="78">
        <f>Assumptions!Z$4</f>
        <v>49399</v>
      </c>
      <c r="O23" s="78">
        <f>Assumptions!AA$4</f>
        <v>49765</v>
      </c>
      <c r="P23" s="78">
        <f>Assumptions!AB$4</f>
        <v>50130</v>
      </c>
      <c r="Q23" s="78">
        <f>Assumptions!AC$4</f>
        <v>50495</v>
      </c>
      <c r="R23" s="78">
        <f>Assumptions!AD$4</f>
        <v>50860</v>
      </c>
    </row>
    <row r="24" spans="1:18" x14ac:dyDescent="0.25">
      <c r="A24" s="2" t="s">
        <v>76</v>
      </c>
      <c r="B24" s="76">
        <f>C21</f>
        <v>170.9528</v>
      </c>
      <c r="C24" s="76">
        <f>B27</f>
        <v>155.41163636363635</v>
      </c>
      <c r="D24" s="76">
        <f>C27</f>
        <v>139.8704727272727</v>
      </c>
      <c r="E24" s="76">
        <f t="shared" ref="E24" si="12">D27</f>
        <v>124.32930909090906</v>
      </c>
      <c r="F24" s="76">
        <f t="shared" ref="F24" si="13">E27</f>
        <v>108.78814545454543</v>
      </c>
      <c r="G24" s="76">
        <f t="shared" ref="G24" si="14">F27</f>
        <v>93.246981818181794</v>
      </c>
      <c r="H24" s="76">
        <f t="shared" ref="H24" si="15">G27</f>
        <v>77.705818181818159</v>
      </c>
      <c r="I24" s="76">
        <f t="shared" ref="I24" si="16">H27</f>
        <v>62.164654545454525</v>
      </c>
      <c r="J24" s="76">
        <f t="shared" ref="J24" si="17">I27</f>
        <v>46.62349090909089</v>
      </c>
      <c r="K24" s="76">
        <f t="shared" ref="K24" si="18">J27</f>
        <v>31.082327272727255</v>
      </c>
      <c r="L24" s="76">
        <f t="shared" ref="L24" si="19">K27</f>
        <v>15.541163636363619</v>
      </c>
      <c r="M24" s="76">
        <v>0</v>
      </c>
      <c r="N24" s="76">
        <f t="shared" ref="N24" si="20">M27</f>
        <v>0</v>
      </c>
      <c r="O24" s="76">
        <f t="shared" ref="O24" si="21">N27</f>
        <v>0</v>
      </c>
      <c r="P24" s="76">
        <f t="shared" ref="P24" si="22">O27</f>
        <v>0</v>
      </c>
      <c r="Q24" s="76">
        <f t="shared" ref="Q24" si="23">P27</f>
        <v>0</v>
      </c>
      <c r="R24" s="76">
        <f t="shared" ref="R24" si="24">Q27</f>
        <v>0</v>
      </c>
    </row>
    <row r="25" spans="1:18" x14ac:dyDescent="0.25">
      <c r="A25" s="2" t="s">
        <v>77</v>
      </c>
      <c r="B25" s="76">
        <f>$C$21/$F$21</f>
        <v>15.541163636363637</v>
      </c>
      <c r="C25" s="76">
        <f t="shared" ref="C25:L25" si="25">$C$21/$F$21</f>
        <v>15.541163636363637</v>
      </c>
      <c r="D25" s="76">
        <f t="shared" si="25"/>
        <v>15.541163636363637</v>
      </c>
      <c r="E25" s="76">
        <f t="shared" si="25"/>
        <v>15.541163636363637</v>
      </c>
      <c r="F25" s="76">
        <f t="shared" si="25"/>
        <v>15.541163636363637</v>
      </c>
      <c r="G25" s="76">
        <f t="shared" si="25"/>
        <v>15.541163636363637</v>
      </c>
      <c r="H25" s="76">
        <f t="shared" si="25"/>
        <v>15.541163636363637</v>
      </c>
      <c r="I25" s="76">
        <f t="shared" si="25"/>
        <v>15.541163636363637</v>
      </c>
      <c r="J25" s="76">
        <f t="shared" si="25"/>
        <v>15.541163636363637</v>
      </c>
      <c r="K25" s="76">
        <f t="shared" si="25"/>
        <v>15.541163636363637</v>
      </c>
      <c r="L25" s="76">
        <f t="shared" si="25"/>
        <v>15.541163636363637</v>
      </c>
      <c r="M25" s="76">
        <f>M24</f>
        <v>0</v>
      </c>
      <c r="N25" s="76">
        <f t="shared" ref="N25:R25" si="26">N24</f>
        <v>0</v>
      </c>
      <c r="O25" s="76">
        <f t="shared" si="26"/>
        <v>0</v>
      </c>
      <c r="P25" s="76">
        <f t="shared" si="26"/>
        <v>0</v>
      </c>
      <c r="Q25" s="76">
        <f t="shared" si="26"/>
        <v>0</v>
      </c>
      <c r="R25" s="76">
        <f t="shared" si="26"/>
        <v>0</v>
      </c>
    </row>
    <row r="26" spans="1:18" x14ac:dyDescent="0.25">
      <c r="A26" s="2" t="s">
        <v>78</v>
      </c>
      <c r="B26" s="76">
        <f>B24*Assumptions!$C$36</f>
        <v>16.021457082079998</v>
      </c>
      <c r="C26" s="76">
        <f>C24*$D$6</f>
        <v>14.564960983709089</v>
      </c>
      <c r="D26" s="76">
        <f t="shared" ref="D26:H26" si="27">D24*$D$6</f>
        <v>13.108464885338179</v>
      </c>
      <c r="E26" s="76">
        <f t="shared" si="27"/>
        <v>11.65196878696727</v>
      </c>
      <c r="F26" s="76">
        <f t="shared" si="27"/>
        <v>10.195472688596361</v>
      </c>
      <c r="G26" s="76">
        <f t="shared" si="27"/>
        <v>8.7389765902254517</v>
      </c>
      <c r="H26" s="76">
        <f t="shared" si="27"/>
        <v>7.2824804918545434</v>
      </c>
      <c r="I26" s="76">
        <f t="shared" ref="I26:M26" si="28">I24*$D$6</f>
        <v>5.8259843934836342</v>
      </c>
      <c r="J26" s="76">
        <f t="shared" si="28"/>
        <v>4.3694882951127259</v>
      </c>
      <c r="K26" s="76">
        <f t="shared" si="28"/>
        <v>2.9129921967418166</v>
      </c>
      <c r="L26" s="76">
        <f t="shared" si="28"/>
        <v>1.4564960983709074</v>
      </c>
      <c r="M26" s="76">
        <f t="shared" si="28"/>
        <v>0</v>
      </c>
      <c r="N26" s="76">
        <f t="shared" ref="N26:R26" si="29">N24*$D$6</f>
        <v>0</v>
      </c>
      <c r="O26" s="76">
        <f t="shared" si="29"/>
        <v>0</v>
      </c>
      <c r="P26" s="76">
        <f t="shared" si="29"/>
        <v>0</v>
      </c>
      <c r="Q26" s="76">
        <f t="shared" si="29"/>
        <v>0</v>
      </c>
      <c r="R26" s="76">
        <f t="shared" si="29"/>
        <v>0</v>
      </c>
    </row>
    <row r="27" spans="1:18" x14ac:dyDescent="0.25">
      <c r="A27" s="2" t="s">
        <v>79</v>
      </c>
      <c r="B27" s="76">
        <f>B24-B25</f>
        <v>155.41163636363635</v>
      </c>
      <c r="C27" s="76">
        <f>C24-C25</f>
        <v>139.8704727272727</v>
      </c>
      <c r="D27" s="76">
        <f t="shared" ref="D27:H27" si="30">D24-D25</f>
        <v>124.32930909090906</v>
      </c>
      <c r="E27" s="76">
        <f t="shared" si="30"/>
        <v>108.78814545454543</v>
      </c>
      <c r="F27" s="76">
        <f t="shared" si="30"/>
        <v>93.246981818181794</v>
      </c>
      <c r="G27" s="76">
        <f t="shared" si="30"/>
        <v>77.705818181818159</v>
      </c>
      <c r="H27" s="76">
        <f t="shared" si="30"/>
        <v>62.164654545454525</v>
      </c>
      <c r="I27" s="76">
        <f t="shared" ref="I27:M27" si="31">I24-I25</f>
        <v>46.62349090909089</v>
      </c>
      <c r="J27" s="76">
        <f t="shared" si="31"/>
        <v>31.082327272727255</v>
      </c>
      <c r="K27" s="76">
        <f t="shared" si="31"/>
        <v>15.541163636363619</v>
      </c>
      <c r="L27" s="76">
        <f t="shared" si="31"/>
        <v>-1.7763568394002505E-14</v>
      </c>
      <c r="M27" s="76">
        <f t="shared" si="31"/>
        <v>0</v>
      </c>
      <c r="N27" s="76">
        <f t="shared" ref="N27:R27" si="32">N24-N25</f>
        <v>0</v>
      </c>
      <c r="O27" s="76">
        <f t="shared" si="32"/>
        <v>0</v>
      </c>
      <c r="P27" s="76">
        <f t="shared" si="32"/>
        <v>0</v>
      </c>
      <c r="Q27" s="76">
        <f t="shared" si="32"/>
        <v>0</v>
      </c>
      <c r="R27" s="76">
        <f t="shared" si="32"/>
        <v>0</v>
      </c>
    </row>
    <row r="29" spans="1:18" x14ac:dyDescent="0.25">
      <c r="A29" s="81" t="s">
        <v>81</v>
      </c>
      <c r="B29" s="75">
        <f t="shared" ref="B29:M29" si="33">SUMIF($A$10:$A$28,"Interest Expense",B10:B28)</f>
        <v>26.512542090719997</v>
      </c>
      <c r="C29" s="75">
        <f t="shared" si="33"/>
        <v>24.102310991563634</v>
      </c>
      <c r="D29" s="75">
        <f t="shared" si="33"/>
        <v>21.692079892407271</v>
      </c>
      <c r="E29" s="75">
        <f t="shared" si="33"/>
        <v>19.281848793250909</v>
      </c>
      <c r="F29" s="75">
        <f t="shared" si="33"/>
        <v>16.871617694094546</v>
      </c>
      <c r="G29" s="75">
        <f t="shared" si="33"/>
        <v>14.46138659493818</v>
      </c>
      <c r="H29" s="75">
        <f t="shared" si="33"/>
        <v>12.051155495781817</v>
      </c>
      <c r="I29" s="75">
        <f t="shared" si="33"/>
        <v>9.6409243966254543</v>
      </c>
      <c r="J29" s="75">
        <f t="shared" si="33"/>
        <v>7.2306932974690916</v>
      </c>
      <c r="K29" s="75">
        <f t="shared" si="33"/>
        <v>4.820462198312728</v>
      </c>
      <c r="L29" s="75">
        <f t="shared" si="33"/>
        <v>2.4102310991563645</v>
      </c>
      <c r="M29" s="75">
        <f t="shared" si="3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2"/>
  <sheetViews>
    <sheetView topLeftCell="A50" zoomScaleNormal="100" workbookViewId="0">
      <pane ySplit="4" topLeftCell="A60" activePane="bottomLeft" state="frozen"/>
      <selection activeCell="A50" sqref="A50"/>
      <selection pane="bottomLeft" activeCell="D102" sqref="D102"/>
    </sheetView>
  </sheetViews>
  <sheetFormatPr defaultColWidth="9.140625" defaultRowHeight="12" outlineLevelRow="1" x14ac:dyDescent="0.2"/>
  <cols>
    <col min="1" max="1" width="26" style="5" bestFit="1" customWidth="1"/>
    <col min="2" max="2" width="16.85546875" style="5" bestFit="1" customWidth="1"/>
    <col min="3" max="3" width="33.140625" style="5" bestFit="1" customWidth="1"/>
    <col min="4" max="4" width="17.7109375" style="36" bestFit="1" customWidth="1"/>
    <col min="5" max="5" width="17.7109375" style="5" bestFit="1" customWidth="1"/>
    <col min="6" max="7" width="14.42578125" style="5" bestFit="1" customWidth="1"/>
    <col min="8" max="8" width="14" style="5" bestFit="1" customWidth="1"/>
    <col min="9" max="9" width="14.7109375" style="5" bestFit="1" customWidth="1"/>
    <col min="10" max="21" width="19.42578125" style="5" bestFit="1" customWidth="1"/>
    <col min="22" max="26" width="8.140625" style="5" bestFit="1" customWidth="1"/>
    <col min="27" max="34" width="8.140625" style="5" customWidth="1"/>
    <col min="35" max="16384" width="9.140625" style="5"/>
  </cols>
  <sheetData>
    <row r="1" spans="1:12" customFormat="1" ht="15" hidden="1" outlineLevel="1" x14ac:dyDescent="0.25">
      <c r="A1" s="5"/>
      <c r="B1" s="5"/>
      <c r="C1" s="5"/>
      <c r="D1" s="36"/>
      <c r="E1" s="5"/>
      <c r="F1" s="5"/>
      <c r="G1" s="5"/>
      <c r="H1" s="5"/>
      <c r="I1" s="5"/>
      <c r="J1" s="5"/>
    </row>
    <row r="2" spans="1:12" customFormat="1" ht="15" hidden="1" outlineLevel="1" x14ac:dyDescent="0.25">
      <c r="A2" s="5"/>
      <c r="B2" s="5"/>
      <c r="C2" s="6" t="s">
        <v>3</v>
      </c>
      <c r="D2" s="36"/>
      <c r="E2" s="5"/>
      <c r="F2" s="5"/>
      <c r="G2" s="5"/>
      <c r="H2" s="5"/>
      <c r="I2" s="5"/>
      <c r="J2" s="5"/>
    </row>
    <row r="3" spans="1:12" ht="15" hidden="1" outlineLevel="1" x14ac:dyDescent="0.25">
      <c r="C3" t="s">
        <v>4</v>
      </c>
      <c r="D3" s="37" t="s">
        <v>5</v>
      </c>
      <c r="E3" t="s">
        <v>6</v>
      </c>
      <c r="F3" t="s">
        <v>7</v>
      </c>
      <c r="G3" t="s">
        <v>8</v>
      </c>
      <c r="H3" t="s">
        <v>2</v>
      </c>
      <c r="I3" t="s">
        <v>9</v>
      </c>
      <c r="J3" t="s">
        <v>10</v>
      </c>
      <c r="K3" t="s">
        <v>11</v>
      </c>
      <c r="L3" t="s">
        <v>12</v>
      </c>
    </row>
    <row r="4" spans="1:12" hidden="1" outlineLevel="1" x14ac:dyDescent="0.2">
      <c r="C4" s="7" t="s">
        <v>13</v>
      </c>
      <c r="D4" s="38"/>
      <c r="E4" s="8"/>
      <c r="F4" s="8"/>
      <c r="G4" s="8" t="s">
        <v>14</v>
      </c>
      <c r="H4" s="8"/>
      <c r="I4" s="8"/>
      <c r="J4" s="8"/>
      <c r="K4" s="8"/>
      <c r="L4" s="8"/>
    </row>
    <row r="5" spans="1:12" ht="14.25" hidden="1" customHeight="1" outlineLevel="1" x14ac:dyDescent="0.2">
      <c r="C5" s="8" t="s">
        <v>15</v>
      </c>
      <c r="D5" s="39">
        <v>8840.35</v>
      </c>
      <c r="E5" s="9">
        <v>452268.38</v>
      </c>
      <c r="F5" s="9"/>
      <c r="G5" s="9">
        <v>8180.53</v>
      </c>
      <c r="H5" s="9">
        <v>36.409999999999997</v>
      </c>
      <c r="I5" s="9">
        <v>51.51</v>
      </c>
      <c r="J5" s="9">
        <v>176.81</v>
      </c>
      <c r="K5" s="9">
        <v>75.33</v>
      </c>
      <c r="L5" s="9">
        <f>SUM(D5:K5)</f>
        <v>469629.32</v>
      </c>
    </row>
    <row r="6" spans="1:12" hidden="1" outlineLevel="1" x14ac:dyDescent="0.2">
      <c r="C6" s="10" t="s">
        <v>16</v>
      </c>
      <c r="D6" s="38"/>
      <c r="E6" s="8">
        <v>148.41999999999999</v>
      </c>
      <c r="F6" s="8"/>
      <c r="G6" s="9">
        <v>7771.89</v>
      </c>
      <c r="H6" s="8">
        <v>1.82</v>
      </c>
      <c r="I6" s="8">
        <v>0.42</v>
      </c>
      <c r="J6" s="8">
        <v>1.22</v>
      </c>
      <c r="K6" s="8"/>
      <c r="L6" s="9">
        <f>SUM(D6:K6)</f>
        <v>7923.77</v>
      </c>
    </row>
    <row r="7" spans="1:12" hidden="1" outlineLevel="1" x14ac:dyDescent="0.2">
      <c r="C7" s="11" t="s">
        <v>17</v>
      </c>
      <c r="D7" s="38"/>
      <c r="E7" s="9">
        <v>2116.39</v>
      </c>
      <c r="F7" s="9"/>
      <c r="G7" s="8"/>
      <c r="H7" s="8"/>
      <c r="I7" s="8"/>
      <c r="J7" s="8"/>
      <c r="K7" s="8"/>
      <c r="L7" s="9">
        <f>SUM(D7:K7)</f>
        <v>2116.39</v>
      </c>
    </row>
    <row r="8" spans="1:12" hidden="1" outlineLevel="1" x14ac:dyDescent="0.2">
      <c r="C8" s="12" t="s">
        <v>18</v>
      </c>
      <c r="D8" s="38"/>
      <c r="E8" s="9">
        <v>1299.96</v>
      </c>
      <c r="F8" s="9"/>
      <c r="G8" s="8">
        <v>744.38</v>
      </c>
      <c r="H8" s="8"/>
      <c r="I8" s="8"/>
      <c r="J8" s="8"/>
      <c r="K8" s="8"/>
      <c r="L8" s="9">
        <f>SUM(D8:K8)</f>
        <v>2044.3400000000001</v>
      </c>
    </row>
    <row r="9" spans="1:12" hidden="1" outlineLevel="1" x14ac:dyDescent="0.2">
      <c r="C9" s="8" t="s">
        <v>19</v>
      </c>
      <c r="D9" s="39">
        <f t="shared" ref="D9:L9" si="0">SUM(D5:D6)-D7-D8</f>
        <v>8840.35</v>
      </c>
      <c r="E9" s="9">
        <f t="shared" si="0"/>
        <v>449000.44999999995</v>
      </c>
      <c r="F9" s="9"/>
      <c r="G9" s="9">
        <f t="shared" si="0"/>
        <v>15208.04</v>
      </c>
      <c r="H9" s="9">
        <f t="shared" si="0"/>
        <v>38.229999999999997</v>
      </c>
      <c r="I9" s="9">
        <f t="shared" si="0"/>
        <v>51.93</v>
      </c>
      <c r="J9" s="9">
        <f t="shared" si="0"/>
        <v>178.03</v>
      </c>
      <c r="K9" s="9">
        <f t="shared" si="0"/>
        <v>75.33</v>
      </c>
      <c r="L9" s="9">
        <f t="shared" si="0"/>
        <v>473392.36</v>
      </c>
    </row>
    <row r="10" spans="1:12" hidden="1" outlineLevel="1" x14ac:dyDescent="0.2">
      <c r="C10" s="13" t="s">
        <v>16</v>
      </c>
      <c r="D10" s="38">
        <v>378.99</v>
      </c>
      <c r="E10" s="9">
        <v>269627.37</v>
      </c>
      <c r="F10" s="9"/>
      <c r="G10" s="8"/>
      <c r="H10" s="9">
        <v>1.05</v>
      </c>
      <c r="I10" s="8">
        <v>1.1200000000000001</v>
      </c>
      <c r="J10" s="9">
        <v>12.05</v>
      </c>
      <c r="K10" s="8">
        <v>6.51</v>
      </c>
      <c r="L10" s="9">
        <f>SUM(D10:K10)</f>
        <v>270027.08999999997</v>
      </c>
    </row>
    <row r="11" spans="1:12" hidden="1" outlineLevel="1" x14ac:dyDescent="0.2">
      <c r="C11" s="11"/>
      <c r="D11" s="38"/>
      <c r="E11" s="8"/>
      <c r="F11" s="8"/>
      <c r="G11" s="8"/>
      <c r="H11" s="8"/>
      <c r="I11" s="8"/>
      <c r="J11" s="8"/>
      <c r="K11" s="8"/>
      <c r="L11" s="9"/>
    </row>
    <row r="12" spans="1:12" hidden="1" outlineLevel="1" x14ac:dyDescent="0.2">
      <c r="C12" s="12" t="s">
        <v>18</v>
      </c>
      <c r="D12" s="38"/>
      <c r="E12" s="9">
        <v>706.15</v>
      </c>
      <c r="F12" s="9"/>
      <c r="G12" s="8"/>
      <c r="H12" s="8"/>
      <c r="I12" s="8"/>
      <c r="J12" s="8"/>
      <c r="K12" s="8">
        <v>3.47</v>
      </c>
      <c r="L12" s="9">
        <f>SUM(D12:K12)</f>
        <v>709.62</v>
      </c>
    </row>
    <row r="13" spans="1:12" hidden="1" outlineLevel="1" x14ac:dyDescent="0.2">
      <c r="C13" s="8" t="s">
        <v>20</v>
      </c>
      <c r="D13" s="39">
        <f t="shared" ref="D13:L13" si="1">SUM(D9:D10)-D11-D12</f>
        <v>9219.34</v>
      </c>
      <c r="E13" s="9">
        <f t="shared" si="1"/>
        <v>717921.66999999993</v>
      </c>
      <c r="F13" s="9"/>
      <c r="G13" s="9">
        <f t="shared" si="1"/>
        <v>15208.04</v>
      </c>
      <c r="H13" s="9">
        <f t="shared" si="1"/>
        <v>39.279999999999994</v>
      </c>
      <c r="I13" s="9">
        <f t="shared" si="1"/>
        <v>53.05</v>
      </c>
      <c r="J13" s="9">
        <f t="shared" si="1"/>
        <v>190.08</v>
      </c>
      <c r="K13" s="9">
        <f t="shared" si="1"/>
        <v>78.37</v>
      </c>
      <c r="L13" s="9">
        <f t="shared" si="1"/>
        <v>742709.83</v>
      </c>
    </row>
    <row r="14" spans="1:12" hidden="1" outlineLevel="1" x14ac:dyDescent="0.2">
      <c r="C14" s="13" t="s">
        <v>16</v>
      </c>
      <c r="D14" s="38">
        <v>378.99</v>
      </c>
      <c r="E14" s="9">
        <v>373366.79</v>
      </c>
      <c r="F14" s="9">
        <v>2418.4499999999998</v>
      </c>
      <c r="G14" s="8"/>
      <c r="H14" s="9">
        <v>0.6</v>
      </c>
      <c r="I14" s="8">
        <v>6.02</v>
      </c>
      <c r="J14" s="9">
        <v>0.28000000000000003</v>
      </c>
      <c r="K14" s="8"/>
      <c r="L14" s="9">
        <f>SUM(D14:K14)</f>
        <v>376171.13</v>
      </c>
    </row>
    <row r="15" spans="1:12" hidden="1" outlineLevel="1" x14ac:dyDescent="0.2">
      <c r="C15" s="11" t="s">
        <v>17</v>
      </c>
      <c r="D15" s="38"/>
      <c r="E15" s="8"/>
      <c r="F15" s="8"/>
      <c r="G15" s="8"/>
      <c r="H15" s="8"/>
      <c r="I15" s="8"/>
      <c r="J15" s="8"/>
      <c r="K15" s="8"/>
      <c r="L15" s="9"/>
    </row>
    <row r="16" spans="1:12" hidden="1" outlineLevel="1" x14ac:dyDescent="0.2">
      <c r="C16" s="12" t="s">
        <v>18</v>
      </c>
      <c r="D16" s="38"/>
      <c r="E16" s="9"/>
      <c r="F16" s="9"/>
      <c r="G16" s="8"/>
      <c r="H16" s="8"/>
      <c r="I16" s="8"/>
      <c r="J16" s="8"/>
      <c r="K16" s="8">
        <v>9.09</v>
      </c>
      <c r="L16" s="9">
        <f>SUM(D16:K16)</f>
        <v>9.09</v>
      </c>
    </row>
    <row r="17" spans="3:12" hidden="1" outlineLevel="1" x14ac:dyDescent="0.2">
      <c r="C17" s="8" t="s">
        <v>21</v>
      </c>
      <c r="D17" s="39">
        <f t="shared" ref="D17:K17" si="2">SUM(D13:D14)-D15-D16</f>
        <v>9598.33</v>
      </c>
      <c r="E17" s="9">
        <f t="shared" si="2"/>
        <v>1091288.46</v>
      </c>
      <c r="F17" s="9">
        <f t="shared" si="2"/>
        <v>2418.4499999999998</v>
      </c>
      <c r="G17" s="9">
        <f t="shared" si="2"/>
        <v>15208.04</v>
      </c>
      <c r="H17" s="9">
        <f t="shared" si="2"/>
        <v>39.879999999999995</v>
      </c>
      <c r="I17" s="9">
        <f t="shared" si="2"/>
        <v>59.069999999999993</v>
      </c>
      <c r="J17" s="9">
        <f t="shared" si="2"/>
        <v>190.36</v>
      </c>
      <c r="K17" s="9">
        <f t="shared" si="2"/>
        <v>69.28</v>
      </c>
      <c r="L17" s="9">
        <f>SUM(D17:K17)</f>
        <v>1118871.8700000001</v>
      </c>
    </row>
    <row r="18" spans="3:12" hidden="1" outlineLevel="1" x14ac:dyDescent="0.2">
      <c r="C18" s="8"/>
      <c r="D18" s="38"/>
      <c r="E18" s="8"/>
      <c r="F18" s="8"/>
      <c r="G18" s="8"/>
      <c r="H18" s="8"/>
      <c r="I18" s="8"/>
      <c r="J18" s="8"/>
      <c r="K18" s="8"/>
      <c r="L18" s="9"/>
    </row>
    <row r="19" spans="3:12" hidden="1" outlineLevel="1" x14ac:dyDescent="0.2">
      <c r="C19" s="7" t="s">
        <v>22</v>
      </c>
      <c r="D19" s="38"/>
      <c r="E19" s="8"/>
      <c r="F19" s="8"/>
      <c r="G19" s="8"/>
      <c r="H19" s="8"/>
      <c r="I19" s="8"/>
      <c r="J19" s="8"/>
      <c r="K19" s="8"/>
      <c r="L19" s="9"/>
    </row>
    <row r="20" spans="3:12" hidden="1" outlineLevel="1" x14ac:dyDescent="0.2">
      <c r="C20" s="8" t="s">
        <v>23</v>
      </c>
      <c r="D20" s="38">
        <v>274.19</v>
      </c>
      <c r="E20" s="9">
        <v>2484.2600000000002</v>
      </c>
      <c r="F20" s="9"/>
      <c r="G20" s="8">
        <v>530.86</v>
      </c>
      <c r="H20" s="8">
        <v>12.24</v>
      </c>
      <c r="I20" s="8">
        <v>6.01</v>
      </c>
      <c r="J20" s="8">
        <v>40.17</v>
      </c>
      <c r="K20" s="8">
        <v>9.9600000000000009</v>
      </c>
      <c r="L20" s="9">
        <f t="shared" ref="L20:L29" si="3">SUM(D20:K20)</f>
        <v>3357.6900000000005</v>
      </c>
    </row>
    <row r="21" spans="3:12" hidden="1" outlineLevel="1" x14ac:dyDescent="0.2">
      <c r="C21" s="13" t="s">
        <v>24</v>
      </c>
      <c r="D21" s="38">
        <v>280.74</v>
      </c>
      <c r="E21" s="14">
        <v>10725.99</v>
      </c>
      <c r="F21" s="14"/>
      <c r="G21" s="8">
        <v>530.86</v>
      </c>
      <c r="H21" s="8">
        <v>11.78</v>
      </c>
      <c r="I21" s="8">
        <v>6.15</v>
      </c>
      <c r="J21" s="8">
        <v>35.200000000000003</v>
      </c>
      <c r="K21" s="8">
        <v>12.39</v>
      </c>
      <c r="L21" s="9">
        <f t="shared" si="3"/>
        <v>11603.11</v>
      </c>
    </row>
    <row r="22" spans="3:12" hidden="1" outlineLevel="1" x14ac:dyDescent="0.2">
      <c r="C22" s="12" t="s">
        <v>25</v>
      </c>
      <c r="D22" s="38"/>
      <c r="E22" s="8">
        <v>22.75</v>
      </c>
      <c r="F22" s="8"/>
      <c r="G22" s="8">
        <v>630.03</v>
      </c>
      <c r="H22" s="8"/>
      <c r="I22" s="8"/>
      <c r="J22" s="8"/>
      <c r="K22" s="8"/>
      <c r="L22" s="9">
        <f t="shared" si="3"/>
        <v>652.78</v>
      </c>
    </row>
    <row r="23" spans="3:12" hidden="1" outlineLevel="1" x14ac:dyDescent="0.2">
      <c r="C23" s="8" t="s">
        <v>19</v>
      </c>
      <c r="D23" s="39">
        <f t="shared" ref="D23:K23" si="4">SUM(D20:D21)-D22</f>
        <v>554.93000000000006</v>
      </c>
      <c r="E23" s="9">
        <f t="shared" si="4"/>
        <v>13187.5</v>
      </c>
      <c r="F23" s="9"/>
      <c r="G23" s="9">
        <f t="shared" si="4"/>
        <v>431.69000000000005</v>
      </c>
      <c r="H23" s="9">
        <f t="shared" si="4"/>
        <v>24.02</v>
      </c>
      <c r="I23" s="9">
        <f t="shared" si="4"/>
        <v>12.16</v>
      </c>
      <c r="J23" s="9">
        <f t="shared" si="4"/>
        <v>75.37</v>
      </c>
      <c r="K23" s="9">
        <f t="shared" si="4"/>
        <v>22.35</v>
      </c>
      <c r="L23" s="9">
        <f t="shared" si="3"/>
        <v>14308.020000000002</v>
      </c>
    </row>
    <row r="24" spans="3:12" hidden="1" outlineLevel="1" x14ac:dyDescent="0.2">
      <c r="C24" s="13" t="s">
        <v>24</v>
      </c>
      <c r="D24" s="38">
        <v>285.27999999999997</v>
      </c>
      <c r="E24" s="9">
        <v>13087.89</v>
      </c>
      <c r="F24" s="9"/>
      <c r="G24" s="8">
        <v>361.19</v>
      </c>
      <c r="H24" s="9">
        <v>9.02</v>
      </c>
      <c r="I24" s="8">
        <v>6.06</v>
      </c>
      <c r="J24" s="9">
        <v>39.130000000000003</v>
      </c>
      <c r="K24" s="8">
        <v>10.58</v>
      </c>
      <c r="L24" s="9">
        <f t="shared" si="3"/>
        <v>13799.15</v>
      </c>
    </row>
    <row r="25" spans="3:12" hidden="1" outlineLevel="1" x14ac:dyDescent="0.2">
      <c r="C25" s="12" t="s">
        <v>25</v>
      </c>
      <c r="D25" s="38"/>
      <c r="E25" s="9">
        <v>24</v>
      </c>
      <c r="F25" s="9"/>
      <c r="G25" s="8"/>
      <c r="H25" s="8"/>
      <c r="I25" s="8"/>
      <c r="J25" s="8"/>
      <c r="K25" s="8">
        <v>0.95</v>
      </c>
      <c r="L25" s="9">
        <f t="shared" si="3"/>
        <v>24.95</v>
      </c>
    </row>
    <row r="26" spans="3:12" hidden="1" outlineLevel="1" x14ac:dyDescent="0.2">
      <c r="C26" s="8" t="s">
        <v>26</v>
      </c>
      <c r="D26" s="39">
        <f t="shared" ref="D26:K26" si="5">SUM(D23:D24)-D25</f>
        <v>840.21</v>
      </c>
      <c r="E26" s="9">
        <f t="shared" si="5"/>
        <v>26251.39</v>
      </c>
      <c r="F26" s="9"/>
      <c r="G26" s="9">
        <f t="shared" si="5"/>
        <v>792.88000000000011</v>
      </c>
      <c r="H26" s="9">
        <f t="shared" si="5"/>
        <v>33.04</v>
      </c>
      <c r="I26" s="9">
        <f t="shared" si="5"/>
        <v>18.22</v>
      </c>
      <c r="J26" s="9">
        <f t="shared" si="5"/>
        <v>114.5</v>
      </c>
      <c r="K26" s="9">
        <f t="shared" si="5"/>
        <v>31.98</v>
      </c>
      <c r="L26" s="9">
        <f t="shared" si="3"/>
        <v>28082.22</v>
      </c>
    </row>
    <row r="27" spans="3:12" hidden="1" outlineLevel="1" x14ac:dyDescent="0.2">
      <c r="C27" s="13" t="s">
        <v>24</v>
      </c>
      <c r="D27" s="38">
        <v>293.14</v>
      </c>
      <c r="E27" s="9">
        <v>17342.169999999998</v>
      </c>
      <c r="F27" s="9">
        <v>483.69</v>
      </c>
      <c r="G27" s="8">
        <v>361.19</v>
      </c>
      <c r="H27" s="9">
        <v>2.44</v>
      </c>
      <c r="I27" s="8">
        <v>6.06</v>
      </c>
      <c r="J27" s="9">
        <v>38.43</v>
      </c>
      <c r="K27" s="8">
        <v>8.85</v>
      </c>
      <c r="L27" s="9">
        <f t="shared" si="3"/>
        <v>18535.969999999994</v>
      </c>
    </row>
    <row r="28" spans="3:12" hidden="1" outlineLevel="1" x14ac:dyDescent="0.2">
      <c r="C28" s="12" t="s">
        <v>25</v>
      </c>
      <c r="D28" s="38"/>
      <c r="E28" s="9"/>
      <c r="F28" s="9"/>
      <c r="G28" s="8"/>
      <c r="H28" s="8"/>
      <c r="I28" s="8"/>
      <c r="J28" s="8"/>
      <c r="K28" s="8">
        <v>4.57</v>
      </c>
      <c r="L28" s="9">
        <f t="shared" si="3"/>
        <v>4.57</v>
      </c>
    </row>
    <row r="29" spans="3:12" hidden="1" outlineLevel="1" x14ac:dyDescent="0.2">
      <c r="C29" s="8" t="s">
        <v>27</v>
      </c>
      <c r="D29" s="39">
        <f t="shared" ref="D29:K29" si="6">SUM(D26:D27)-D28</f>
        <v>1133.3499999999999</v>
      </c>
      <c r="E29" s="9">
        <f t="shared" si="6"/>
        <v>43593.56</v>
      </c>
      <c r="F29" s="9">
        <f t="shared" si="6"/>
        <v>483.69</v>
      </c>
      <c r="G29" s="9">
        <f t="shared" si="6"/>
        <v>1154.0700000000002</v>
      </c>
      <c r="H29" s="9">
        <f t="shared" si="6"/>
        <v>35.479999999999997</v>
      </c>
      <c r="I29" s="9">
        <f t="shared" si="6"/>
        <v>24.279999999999998</v>
      </c>
      <c r="J29" s="9">
        <f t="shared" si="6"/>
        <v>152.93</v>
      </c>
      <c r="K29" s="9">
        <f t="shared" si="6"/>
        <v>36.26</v>
      </c>
      <c r="L29" s="9">
        <f t="shared" si="3"/>
        <v>46613.62</v>
      </c>
    </row>
    <row r="30" spans="3:12" hidden="1" outlineLevel="1" x14ac:dyDescent="0.2">
      <c r="C30" s="8"/>
      <c r="D30" s="39"/>
      <c r="E30" s="9"/>
      <c r="F30" s="9"/>
      <c r="G30" s="9"/>
      <c r="H30" s="9"/>
      <c r="I30" s="9"/>
      <c r="J30" s="9"/>
      <c r="K30" s="9"/>
      <c r="L30" s="9"/>
    </row>
    <row r="31" spans="3:12" hidden="1" outlineLevel="1" x14ac:dyDescent="0.2">
      <c r="C31" s="8" t="s">
        <v>28</v>
      </c>
      <c r="D31" s="38"/>
      <c r="E31" s="8"/>
      <c r="F31" s="8"/>
      <c r="G31" s="8"/>
      <c r="H31" s="8"/>
      <c r="I31" s="8"/>
      <c r="J31" s="8"/>
      <c r="K31" s="8"/>
      <c r="L31" s="9"/>
    </row>
    <row r="32" spans="3:12" hidden="1" outlineLevel="1" x14ac:dyDescent="0.2">
      <c r="C32" s="13" t="s">
        <v>29</v>
      </c>
      <c r="D32" s="39">
        <f t="shared" ref="D32:K32" si="7">D9-D23</f>
        <v>8285.42</v>
      </c>
      <c r="E32" s="9">
        <f t="shared" si="7"/>
        <v>435812.94999999995</v>
      </c>
      <c r="F32" s="9">
        <f t="shared" si="7"/>
        <v>0</v>
      </c>
      <c r="G32" s="9">
        <f t="shared" si="7"/>
        <v>14776.35</v>
      </c>
      <c r="H32" s="9">
        <f t="shared" si="7"/>
        <v>14.209999999999997</v>
      </c>
      <c r="I32" s="9">
        <f t="shared" si="7"/>
        <v>39.769999999999996</v>
      </c>
      <c r="J32" s="9">
        <f t="shared" si="7"/>
        <v>102.66</v>
      </c>
      <c r="K32" s="9">
        <f t="shared" si="7"/>
        <v>52.98</v>
      </c>
      <c r="L32" s="9">
        <f>SUM(D32:K32)</f>
        <v>459084.33999999991</v>
      </c>
    </row>
    <row r="33" spans="3:12" hidden="1" outlineLevel="1" x14ac:dyDescent="0.2">
      <c r="C33" s="12" t="s">
        <v>30</v>
      </c>
      <c r="D33" s="39">
        <f t="shared" ref="D33:K33" si="8">D13-D26</f>
        <v>8379.130000000001</v>
      </c>
      <c r="E33" s="9">
        <f t="shared" si="8"/>
        <v>691670.27999999991</v>
      </c>
      <c r="F33" s="9">
        <f t="shared" si="8"/>
        <v>0</v>
      </c>
      <c r="G33" s="9">
        <f t="shared" si="8"/>
        <v>14415.16</v>
      </c>
      <c r="H33" s="9">
        <f t="shared" si="8"/>
        <v>6.2399999999999949</v>
      </c>
      <c r="I33" s="9">
        <f t="shared" si="8"/>
        <v>34.83</v>
      </c>
      <c r="J33" s="9">
        <f t="shared" si="8"/>
        <v>75.580000000000013</v>
      </c>
      <c r="K33" s="9">
        <f t="shared" si="8"/>
        <v>46.39</v>
      </c>
      <c r="L33" s="9">
        <f>SUM(D33:K33)</f>
        <v>714627.60999999987</v>
      </c>
    </row>
    <row r="34" spans="3:12" hidden="1" outlineLevel="1" x14ac:dyDescent="0.2">
      <c r="C34" s="12" t="s">
        <v>31</v>
      </c>
      <c r="D34" s="39">
        <f t="shared" ref="D34:K34" si="9">D17-D29</f>
        <v>8464.98</v>
      </c>
      <c r="E34" s="9">
        <f t="shared" si="9"/>
        <v>1047694.8999999999</v>
      </c>
      <c r="F34" s="9">
        <f t="shared" si="9"/>
        <v>1934.7599999999998</v>
      </c>
      <c r="G34" s="9">
        <f t="shared" si="9"/>
        <v>14053.970000000001</v>
      </c>
      <c r="H34" s="9">
        <f t="shared" si="9"/>
        <v>4.3999999999999986</v>
      </c>
      <c r="I34" s="9">
        <f t="shared" si="9"/>
        <v>34.789999999999992</v>
      </c>
      <c r="J34" s="9">
        <f t="shared" si="9"/>
        <v>37.430000000000007</v>
      </c>
      <c r="K34" s="9">
        <f t="shared" si="9"/>
        <v>33.020000000000003</v>
      </c>
      <c r="L34" s="9">
        <f>SUM(D34:K34)</f>
        <v>1072258.2499999998</v>
      </c>
    </row>
    <row r="35" spans="3:12" hidden="1" outlineLevel="1" x14ac:dyDescent="0.2"/>
    <row r="36" spans="3:12" hidden="1" outlineLevel="1" x14ac:dyDescent="0.2">
      <c r="C36" s="5" t="s">
        <v>32</v>
      </c>
      <c r="D36" s="40">
        <f t="shared" ref="D36:L36" si="10">D21/D9/(1-5%)</f>
        <v>3.3428064440173093E-2</v>
      </c>
      <c r="E36" s="15">
        <f t="shared" si="10"/>
        <v>2.5145889696711183E-2</v>
      </c>
      <c r="F36" s="15" t="e">
        <f t="shared" si="10"/>
        <v>#DIV/0!</v>
      </c>
      <c r="G36" s="15">
        <f t="shared" si="10"/>
        <v>3.6743722399467646E-2</v>
      </c>
      <c r="H36" s="15">
        <f t="shared" si="10"/>
        <v>0.32435260266806176</v>
      </c>
      <c r="I36" s="15">
        <f t="shared" si="10"/>
        <v>0.12466174100763174</v>
      </c>
      <c r="J36" s="15">
        <f t="shared" si="10"/>
        <v>0.20812577418944769</v>
      </c>
      <c r="K36" s="15">
        <f t="shared" si="10"/>
        <v>0.17313295185394792</v>
      </c>
      <c r="L36" s="15">
        <f t="shared" si="10"/>
        <v>2.5800585374888604E-2</v>
      </c>
    </row>
    <row r="37" spans="3:12" hidden="1" outlineLevel="1" x14ac:dyDescent="0.2">
      <c r="D37" s="40">
        <f t="shared" ref="D37:L37" si="11">D24/D9/(1-5%)</f>
        <v>3.3968647942910088E-2</v>
      </c>
      <c r="E37" s="15">
        <f t="shared" si="11"/>
        <v>3.0683101354997473E-2</v>
      </c>
      <c r="F37" s="15" t="e">
        <f t="shared" si="11"/>
        <v>#DIV/0!</v>
      </c>
      <c r="G37" s="15">
        <f t="shared" si="11"/>
        <v>2.4999934245307085E-2</v>
      </c>
      <c r="H37" s="15">
        <f t="shared" si="11"/>
        <v>0.24835827470848193</v>
      </c>
      <c r="I37" s="15">
        <f t="shared" si="11"/>
        <v>0.12283742284654443</v>
      </c>
      <c r="J37" s="15">
        <f t="shared" si="11"/>
        <v>0.23136254386457636</v>
      </c>
      <c r="K37" s="15">
        <f t="shared" si="11"/>
        <v>0.14784072886317748</v>
      </c>
      <c r="L37" s="15">
        <f t="shared" si="11"/>
        <v>3.0683682881218401E-2</v>
      </c>
    </row>
    <row r="38" spans="3:12" hidden="1" outlineLevel="1" x14ac:dyDescent="0.2">
      <c r="D38" s="40">
        <f t="shared" ref="D38:L38" si="12">D27/D13/(1-5%)</f>
        <v>3.346968666440673E-2</v>
      </c>
      <c r="E38" s="15">
        <f t="shared" si="12"/>
        <v>2.542744780147629E-2</v>
      </c>
      <c r="F38" s="15" t="e">
        <f t="shared" si="12"/>
        <v>#DIV/0!</v>
      </c>
      <c r="G38" s="15">
        <f t="shared" si="12"/>
        <v>2.4999934245307085E-2</v>
      </c>
      <c r="H38" s="15">
        <f t="shared" si="12"/>
        <v>6.5387501339907825E-2</v>
      </c>
      <c r="I38" s="15">
        <f t="shared" si="12"/>
        <v>0.12024405972518479</v>
      </c>
      <c r="J38" s="15">
        <f t="shared" si="12"/>
        <v>0.21281897926634766</v>
      </c>
      <c r="K38" s="15">
        <f t="shared" si="12"/>
        <v>0.11886933104101327</v>
      </c>
      <c r="L38" s="15">
        <f t="shared" si="12"/>
        <v>2.6270754176528199E-2</v>
      </c>
    </row>
    <row r="39" spans="3:12" hidden="1" outlineLevel="1" x14ac:dyDescent="0.2"/>
    <row r="40" spans="3:12" hidden="1" outlineLevel="1" x14ac:dyDescent="0.2">
      <c r="C40" s="5" t="s">
        <v>33</v>
      </c>
      <c r="D40" s="41">
        <f t="shared" ref="D40:L40" si="13">1/D36</f>
        <v>29.914983614732492</v>
      </c>
      <c r="E40" s="16">
        <f t="shared" si="13"/>
        <v>39.767930745786636</v>
      </c>
      <c r="F40" s="16" t="e">
        <f t="shared" si="13"/>
        <v>#DIV/0!</v>
      </c>
      <c r="G40" s="16">
        <f t="shared" si="13"/>
        <v>27.215533285612029</v>
      </c>
      <c r="H40" s="16">
        <f t="shared" si="13"/>
        <v>3.0830645161290318</v>
      </c>
      <c r="I40" s="16">
        <f t="shared" si="13"/>
        <v>8.0217073170731705</v>
      </c>
      <c r="J40" s="16">
        <f t="shared" si="13"/>
        <v>4.8047869318181808</v>
      </c>
      <c r="K40" s="16">
        <f t="shared" si="13"/>
        <v>5.775907990314769</v>
      </c>
      <c r="L40" s="16">
        <f t="shared" si="13"/>
        <v>38.758810525798687</v>
      </c>
    </row>
    <row r="41" spans="3:12" hidden="1" outlineLevel="1" x14ac:dyDescent="0.2">
      <c r="D41" s="41">
        <f t="shared" ref="D41:L42" si="14">1/D37</f>
        <v>29.438910894559736</v>
      </c>
      <c r="E41" s="16">
        <f t="shared" si="14"/>
        <v>32.591229564123779</v>
      </c>
      <c r="F41" s="16" t="e">
        <f t="shared" si="14"/>
        <v>#DIV/0!</v>
      </c>
      <c r="G41" s="16">
        <f t="shared" si="14"/>
        <v>40.000105207785381</v>
      </c>
      <c r="H41" s="16">
        <f t="shared" si="14"/>
        <v>4.0264412416851441</v>
      </c>
      <c r="I41" s="16">
        <f t="shared" si="14"/>
        <v>8.1408415841584159</v>
      </c>
      <c r="J41" s="16">
        <f t="shared" si="14"/>
        <v>4.3222208024533604</v>
      </c>
      <c r="K41" s="16">
        <f t="shared" si="14"/>
        <v>6.7640359168241959</v>
      </c>
      <c r="L41" s="16">
        <f t="shared" si="14"/>
        <v>32.59061188551469</v>
      </c>
    </row>
    <row r="42" spans="3:12" hidden="1" outlineLevel="1" x14ac:dyDescent="0.2">
      <c r="D42" s="41">
        <f t="shared" si="14"/>
        <v>29.877781947192471</v>
      </c>
      <c r="E42" s="16">
        <f t="shared" si="14"/>
        <v>39.32758048733232</v>
      </c>
      <c r="F42" s="16" t="e">
        <f t="shared" si="14"/>
        <v>#DIV/0!</v>
      </c>
      <c r="G42" s="16">
        <f t="shared" si="14"/>
        <v>40.000105207785381</v>
      </c>
      <c r="H42" s="16">
        <f t="shared" si="14"/>
        <v>15.293442622950817</v>
      </c>
      <c r="I42" s="16">
        <f t="shared" si="14"/>
        <v>8.3164191419141904</v>
      </c>
      <c r="J42" s="16">
        <f t="shared" si="14"/>
        <v>4.6988290398126473</v>
      </c>
      <c r="K42" s="16">
        <f t="shared" si="14"/>
        <v>8.4125988700564971</v>
      </c>
      <c r="L42" s="16">
        <f t="shared" si="14"/>
        <v>38.06514245005792</v>
      </c>
    </row>
    <row r="43" spans="3:12" hidden="1" outlineLevel="1" x14ac:dyDescent="0.2"/>
    <row r="44" spans="3:12" hidden="1" outlineLevel="1" x14ac:dyDescent="0.2">
      <c r="C44" s="5" t="s">
        <v>34</v>
      </c>
      <c r="D44" s="41">
        <f t="shared" ref="D44:L44" si="15">D32/D9</f>
        <v>0.93722759845481229</v>
      </c>
      <c r="E44" s="16">
        <f t="shared" si="15"/>
        <v>0.97062920538275632</v>
      </c>
      <c r="F44" s="16" t="e">
        <f t="shared" si="15"/>
        <v>#DIV/0!</v>
      </c>
      <c r="G44" s="16">
        <f t="shared" si="15"/>
        <v>0.97161435661663165</v>
      </c>
      <c r="H44" s="16">
        <f t="shared" si="15"/>
        <v>0.37169761967041587</v>
      </c>
      <c r="I44" s="16">
        <f t="shared" si="15"/>
        <v>0.76583862892355081</v>
      </c>
      <c r="J44" s="16">
        <f t="shared" si="15"/>
        <v>0.57664438577767785</v>
      </c>
      <c r="K44" s="16">
        <f t="shared" si="15"/>
        <v>0.70330545599362804</v>
      </c>
      <c r="L44" s="16">
        <f t="shared" si="15"/>
        <v>0.96977555784803948</v>
      </c>
    </row>
    <row r="45" spans="3:12" hidden="1" outlineLevel="1" x14ac:dyDescent="0.2">
      <c r="D45" s="41">
        <f t="shared" ref="D45:L45" si="16">D33/D13</f>
        <v>0.90886440894901377</v>
      </c>
      <c r="E45" s="16">
        <f t="shared" si="16"/>
        <v>0.96343418635071987</v>
      </c>
      <c r="F45" s="16" t="e">
        <f t="shared" si="16"/>
        <v>#DIV/0!</v>
      </c>
      <c r="G45" s="16">
        <f t="shared" si="16"/>
        <v>0.94786441908358998</v>
      </c>
      <c r="H45" s="16">
        <f t="shared" si="16"/>
        <v>0.15885947046843166</v>
      </c>
      <c r="I45" s="16">
        <f t="shared" si="16"/>
        <v>0.65655042412818099</v>
      </c>
      <c r="J45" s="16">
        <f t="shared" si="16"/>
        <v>0.3976220538720539</v>
      </c>
      <c r="K45" s="16">
        <f t="shared" si="16"/>
        <v>0.59193568967717236</v>
      </c>
      <c r="L45" s="16">
        <f t="shared" si="16"/>
        <v>0.96218951350085125</v>
      </c>
    </row>
    <row r="46" spans="3:12" hidden="1" outlineLevel="1" x14ac:dyDescent="0.2">
      <c r="D46" s="41">
        <f t="shared" ref="D46:L46" si="17">D34/D17</f>
        <v>0.88192216771042464</v>
      </c>
      <c r="E46" s="16">
        <f t="shared" si="17"/>
        <v>0.96005312839100299</v>
      </c>
      <c r="F46" s="16">
        <f t="shared" si="17"/>
        <v>0.79999999999999993</v>
      </c>
      <c r="G46" s="16">
        <f t="shared" si="17"/>
        <v>0.92411448155054832</v>
      </c>
      <c r="H46" s="16">
        <f t="shared" si="17"/>
        <v>0.11033099297893678</v>
      </c>
      <c r="I46" s="16">
        <f t="shared" si="17"/>
        <v>0.58896224818012521</v>
      </c>
      <c r="J46" s="16">
        <f t="shared" si="17"/>
        <v>0.19662744274007146</v>
      </c>
      <c r="K46" s="16">
        <f t="shared" si="17"/>
        <v>0.47661662817551964</v>
      </c>
      <c r="L46" s="16">
        <f t="shared" si="17"/>
        <v>0.95833873274515313</v>
      </c>
    </row>
    <row r="47" spans="3:12" hidden="1" outlineLevel="1" x14ac:dyDescent="0.2"/>
    <row r="48" spans="3:12" hidden="1" outlineLevel="1" x14ac:dyDescent="0.2"/>
    <row r="49" spans="1:21" hidden="1" outlineLevel="1" x14ac:dyDescent="0.2"/>
    <row r="50" spans="1:21" outlineLevel="1" x14ac:dyDescent="0.2">
      <c r="A50" s="5" t="str">
        <f>Assumptions!A1</f>
        <v>Plant Year</v>
      </c>
      <c r="D50" s="36">
        <f>Assumptions!M1</f>
        <v>8</v>
      </c>
      <c r="E50" s="5">
        <f>Assumptions!N1</f>
        <v>9</v>
      </c>
      <c r="F50" s="5">
        <f>Assumptions!O1</f>
        <v>10</v>
      </c>
      <c r="G50" s="5">
        <f>Assumptions!P1</f>
        <v>11</v>
      </c>
      <c r="H50" s="5">
        <f>Assumptions!Q1</f>
        <v>12</v>
      </c>
      <c r="I50" s="5">
        <f>Assumptions!R1</f>
        <v>13</v>
      </c>
      <c r="J50" s="5">
        <f>Assumptions!S1</f>
        <v>14</v>
      </c>
      <c r="K50" s="5">
        <f>Assumptions!T1</f>
        <v>15</v>
      </c>
      <c r="L50" s="5">
        <f>Assumptions!U1</f>
        <v>16</v>
      </c>
      <c r="M50" s="5">
        <f>Assumptions!V1</f>
        <v>17</v>
      </c>
      <c r="N50" s="5">
        <f>Assumptions!W1</f>
        <v>18</v>
      </c>
      <c r="O50" s="5">
        <f>Assumptions!X1</f>
        <v>19</v>
      </c>
      <c r="P50" s="5">
        <f>Assumptions!Y1</f>
        <v>20</v>
      </c>
      <c r="Q50" s="5">
        <f>Assumptions!Z1</f>
        <v>21</v>
      </c>
      <c r="R50" s="5">
        <f>Assumptions!AA1</f>
        <v>22</v>
      </c>
      <c r="S50" s="5">
        <f>Assumptions!AB1</f>
        <v>23</v>
      </c>
      <c r="T50" s="5">
        <f>Assumptions!AC1</f>
        <v>24</v>
      </c>
      <c r="U50" s="5">
        <f>Assumptions!AD1</f>
        <v>25</v>
      </c>
    </row>
    <row r="51" spans="1:21" outlineLevel="1" x14ac:dyDescent="0.2">
      <c r="A51" s="5" t="s">
        <v>35</v>
      </c>
      <c r="D51" s="36">
        <f>Assumptions!M3</f>
        <v>365</v>
      </c>
      <c r="E51" s="5">
        <f>Assumptions!N3</f>
        <v>365</v>
      </c>
      <c r="F51" s="5">
        <f>Assumptions!O3</f>
        <v>366</v>
      </c>
      <c r="G51" s="5">
        <f>Assumptions!P3</f>
        <v>365</v>
      </c>
      <c r="H51" s="5">
        <f>Assumptions!Q3</f>
        <v>365</v>
      </c>
      <c r="I51" s="5">
        <f>Assumptions!R3</f>
        <v>365</v>
      </c>
      <c r="J51" s="5">
        <f>Assumptions!S3</f>
        <v>366</v>
      </c>
      <c r="K51" s="5">
        <f>Assumptions!T3</f>
        <v>365</v>
      </c>
      <c r="L51" s="5">
        <f>Assumptions!U3</f>
        <v>365</v>
      </c>
      <c r="M51" s="5">
        <f>Assumptions!V3</f>
        <v>365</v>
      </c>
      <c r="N51" s="5">
        <f>Assumptions!W3</f>
        <v>366</v>
      </c>
      <c r="O51" s="5">
        <f>Assumptions!X3</f>
        <v>365</v>
      </c>
      <c r="P51" s="5">
        <f>Assumptions!Y3</f>
        <v>365</v>
      </c>
      <c r="Q51" s="5">
        <f>Assumptions!Z3</f>
        <v>365</v>
      </c>
      <c r="R51" s="5">
        <f>Assumptions!AA3</f>
        <v>366</v>
      </c>
      <c r="S51" s="5">
        <f>Assumptions!AB3</f>
        <v>365</v>
      </c>
      <c r="T51" s="5">
        <f>Assumptions!AC3</f>
        <v>365</v>
      </c>
      <c r="U51" s="5">
        <f>Assumptions!AD3</f>
        <v>365</v>
      </c>
    </row>
    <row r="52" spans="1:21" outlineLevel="1" x14ac:dyDescent="0.2">
      <c r="A52" s="5" t="s">
        <v>36</v>
      </c>
      <c r="B52" s="5">
        <f>SUM(D51:S51)</f>
        <v>5844</v>
      </c>
    </row>
    <row r="53" spans="1:21" x14ac:dyDescent="0.2">
      <c r="A53" s="17" t="s">
        <v>37</v>
      </c>
      <c r="B53" s="17" t="s">
        <v>38</v>
      </c>
      <c r="D53" s="50">
        <f>Assumptions!M4</f>
        <v>44651</v>
      </c>
      <c r="E53" s="30">
        <f>Assumptions!N4</f>
        <v>45016</v>
      </c>
      <c r="F53" s="30">
        <f>Assumptions!O4</f>
        <v>45382</v>
      </c>
      <c r="G53" s="30">
        <f>Assumptions!P4</f>
        <v>45747</v>
      </c>
      <c r="H53" s="30">
        <f>Assumptions!Q4</f>
        <v>46112</v>
      </c>
      <c r="I53" s="30">
        <f>Assumptions!R4</f>
        <v>46477</v>
      </c>
      <c r="J53" s="30">
        <f>Assumptions!S4</f>
        <v>46843</v>
      </c>
      <c r="K53" s="30">
        <f>Assumptions!T4</f>
        <v>47208</v>
      </c>
      <c r="L53" s="30">
        <f>Assumptions!U4</f>
        <v>47573</v>
      </c>
      <c r="M53" s="30">
        <f>Assumptions!V4</f>
        <v>47938</v>
      </c>
      <c r="N53" s="30">
        <f>Assumptions!W4</f>
        <v>48304</v>
      </c>
      <c r="O53" s="30">
        <f>Assumptions!X4</f>
        <v>48669</v>
      </c>
      <c r="P53" s="30">
        <f>Assumptions!Y4</f>
        <v>49034</v>
      </c>
      <c r="Q53" s="30">
        <f>Assumptions!Z4</f>
        <v>49399</v>
      </c>
      <c r="R53" s="30">
        <f>Assumptions!AA4</f>
        <v>49765</v>
      </c>
      <c r="S53" s="30">
        <f>Assumptions!AB4</f>
        <v>50130</v>
      </c>
      <c r="T53" s="30">
        <f>Assumptions!AC4</f>
        <v>50495</v>
      </c>
      <c r="U53" s="30">
        <f>Assumptions!AD4</f>
        <v>50860</v>
      </c>
    </row>
    <row r="54" spans="1:21" x14ac:dyDescent="0.2">
      <c r="A54" s="17" t="s">
        <v>52</v>
      </c>
      <c r="C54" s="34" t="s">
        <v>39</v>
      </c>
    </row>
    <row r="55" spans="1:21" x14ac:dyDescent="0.2">
      <c r="C55" s="5" t="s">
        <v>40</v>
      </c>
      <c r="D55" s="42">
        <v>292.41000000000003</v>
      </c>
      <c r="E55" s="31">
        <f t="shared" ref="E55:S55" si="18">D55+D56-D57</f>
        <v>292.41000000000003</v>
      </c>
      <c r="F55" s="31">
        <f t="shared" si="18"/>
        <v>292.41000000000003</v>
      </c>
      <c r="G55" s="31">
        <f t="shared" si="18"/>
        <v>292.41000000000003</v>
      </c>
      <c r="H55" s="31">
        <f t="shared" si="18"/>
        <v>292.41000000000003</v>
      </c>
      <c r="I55" s="31">
        <f t="shared" si="18"/>
        <v>292.41000000000003</v>
      </c>
      <c r="J55" s="31">
        <f t="shared" si="18"/>
        <v>292.41000000000003</v>
      </c>
      <c r="K55" s="31">
        <f t="shared" si="18"/>
        <v>292.41000000000003</v>
      </c>
      <c r="L55" s="31">
        <f t="shared" si="18"/>
        <v>292.41000000000003</v>
      </c>
      <c r="M55" s="31">
        <f t="shared" si="18"/>
        <v>292.41000000000003</v>
      </c>
      <c r="N55" s="31">
        <f t="shared" si="18"/>
        <v>292.41000000000003</v>
      </c>
      <c r="O55" s="31">
        <f t="shared" si="18"/>
        <v>292.41000000000003</v>
      </c>
      <c r="P55" s="31">
        <f t="shared" si="18"/>
        <v>292.41000000000003</v>
      </c>
      <c r="Q55" s="31">
        <f t="shared" si="18"/>
        <v>292.41000000000003</v>
      </c>
      <c r="R55" s="31">
        <f t="shared" si="18"/>
        <v>292.41000000000003</v>
      </c>
      <c r="S55" s="31">
        <f t="shared" si="18"/>
        <v>292.41000000000003</v>
      </c>
      <c r="T55" s="31">
        <f t="shared" ref="T55" si="19">S55+S56-S57</f>
        <v>292.41000000000003</v>
      </c>
      <c r="U55" s="31">
        <f t="shared" ref="U55" si="20">T55+T56-T57</f>
        <v>292.41000000000003</v>
      </c>
    </row>
    <row r="56" spans="1:21" x14ac:dyDescent="0.2">
      <c r="C56" s="5" t="s">
        <v>41</v>
      </c>
      <c r="D56" s="41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x14ac:dyDescent="0.2">
      <c r="C57" s="5" t="s">
        <v>42</v>
      </c>
      <c r="D57" s="41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x14ac:dyDescent="0.2">
      <c r="C58" s="5" t="s">
        <v>32</v>
      </c>
      <c r="D58" s="41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x14ac:dyDescent="0.2">
      <c r="C59" s="5" t="s">
        <v>43</v>
      </c>
      <c r="D59" s="41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f t="shared" ref="U59" si="21">U55</f>
        <v>292.41000000000003</v>
      </c>
    </row>
    <row r="60" spans="1:21" x14ac:dyDescent="0.2">
      <c r="C60" s="5" t="s">
        <v>44</v>
      </c>
      <c r="D60" s="43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>
        <f t="shared" ref="U60" si="22">U58+T60+U59-U57</f>
        <v>292.41000000000003</v>
      </c>
    </row>
    <row r="61" spans="1:21" x14ac:dyDescent="0.2">
      <c r="C61" s="5" t="s">
        <v>45</v>
      </c>
      <c r="D61" s="44">
        <f t="shared" ref="D61:R61" si="23">D55</f>
        <v>292.41000000000003</v>
      </c>
      <c r="E61" s="33">
        <f t="shared" si="23"/>
        <v>292.41000000000003</v>
      </c>
      <c r="F61" s="33">
        <f t="shared" si="23"/>
        <v>292.41000000000003</v>
      </c>
      <c r="G61" s="33">
        <f t="shared" si="23"/>
        <v>292.41000000000003</v>
      </c>
      <c r="H61" s="33">
        <f t="shared" si="23"/>
        <v>292.41000000000003</v>
      </c>
      <c r="I61" s="33">
        <f t="shared" si="23"/>
        <v>292.41000000000003</v>
      </c>
      <c r="J61" s="33">
        <f t="shared" si="23"/>
        <v>292.41000000000003</v>
      </c>
      <c r="K61" s="33">
        <f t="shared" si="23"/>
        <v>292.41000000000003</v>
      </c>
      <c r="L61" s="33">
        <f t="shared" si="23"/>
        <v>292.41000000000003</v>
      </c>
      <c r="M61" s="33">
        <f t="shared" si="23"/>
        <v>292.41000000000003</v>
      </c>
      <c r="N61" s="33">
        <f t="shared" si="23"/>
        <v>292.41000000000003</v>
      </c>
      <c r="O61" s="33">
        <f t="shared" si="23"/>
        <v>292.41000000000003</v>
      </c>
      <c r="P61" s="33">
        <f t="shared" si="23"/>
        <v>292.41000000000003</v>
      </c>
      <c r="Q61" s="33">
        <f t="shared" si="23"/>
        <v>292.41000000000003</v>
      </c>
      <c r="R61" s="33">
        <f t="shared" si="23"/>
        <v>292.41000000000003</v>
      </c>
      <c r="S61" s="33">
        <f>S55+S56-S60-S57</f>
        <v>292.41000000000003</v>
      </c>
      <c r="T61" s="33">
        <f t="shared" ref="T61:U61" si="24">T55+T56-T60-T57</f>
        <v>292.41000000000003</v>
      </c>
      <c r="U61" s="33">
        <f t="shared" si="24"/>
        <v>0</v>
      </c>
    </row>
    <row r="62" spans="1:21" x14ac:dyDescent="0.2">
      <c r="D62" s="45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x14ac:dyDescent="0.2">
      <c r="C63" s="34" t="s">
        <v>10</v>
      </c>
    </row>
    <row r="64" spans="1:21" x14ac:dyDescent="0.2">
      <c r="A64" s="20">
        <v>0.05</v>
      </c>
      <c r="C64" s="5" t="s">
        <v>40</v>
      </c>
      <c r="D64" s="42">
        <v>1.1299999999999999</v>
      </c>
      <c r="E64" s="31">
        <f t="shared" ref="E64:S64" si="25">D64+D65-D66</f>
        <v>1.1299999999999999</v>
      </c>
      <c r="F64" s="31">
        <f t="shared" si="25"/>
        <v>1.1299999999999999</v>
      </c>
      <c r="G64" s="31">
        <f t="shared" si="25"/>
        <v>1.1299999999999999</v>
      </c>
      <c r="H64" s="31">
        <f t="shared" si="25"/>
        <v>1.3689352852772796</v>
      </c>
      <c r="I64" s="31">
        <f t="shared" si="25"/>
        <v>1.3689352852772796</v>
      </c>
      <c r="J64" s="31">
        <f t="shared" si="25"/>
        <v>1.3689352852772796</v>
      </c>
      <c r="K64" s="31">
        <f t="shared" si="25"/>
        <v>1.3689352852772796</v>
      </c>
      <c r="L64" s="31">
        <f t="shared" si="25"/>
        <v>1.3689352852772796</v>
      </c>
      <c r="M64" s="31">
        <f t="shared" si="25"/>
        <v>1.5869711856164246</v>
      </c>
      <c r="N64" s="31">
        <f t="shared" si="25"/>
        <v>1.5869711856164246</v>
      </c>
      <c r="O64" s="31">
        <f t="shared" si="25"/>
        <v>1.5869711856164246</v>
      </c>
      <c r="P64" s="31">
        <f t="shared" si="25"/>
        <v>1.5869711856164246</v>
      </c>
      <c r="Q64" s="31">
        <f t="shared" si="25"/>
        <v>1.5869711856164246</v>
      </c>
      <c r="R64" s="31">
        <f t="shared" si="25"/>
        <v>1.839734552146254</v>
      </c>
      <c r="S64" s="31">
        <f t="shared" si="25"/>
        <v>1.839734552146254</v>
      </c>
      <c r="T64" s="31">
        <f t="shared" ref="T64" si="26">S64+S65-S66</f>
        <v>1.839734552146254</v>
      </c>
      <c r="U64" s="31">
        <f t="shared" ref="U64" si="27">T64+T65-T66</f>
        <v>1.839734552146254</v>
      </c>
    </row>
    <row r="65" spans="1:21" x14ac:dyDescent="0.2">
      <c r="A65" s="20"/>
      <c r="B65" s="16">
        <v>5</v>
      </c>
      <c r="C65" s="5" t="s">
        <v>41</v>
      </c>
      <c r="D65" s="41"/>
      <c r="E65" s="16"/>
      <c r="F65" s="16"/>
      <c r="G65" s="16">
        <f>G64*(1+Assumptions!$C$48)^'Depreciation Schedule'!$B$65</f>
        <v>1.3689352852772794</v>
      </c>
      <c r="H65" s="16"/>
      <c r="I65" s="16"/>
      <c r="J65" s="16"/>
      <c r="K65" s="16"/>
      <c r="L65" s="16">
        <f>L64*(1+[94]Assumptions!$D$247)^'Depreciation Schedule'!$B$65</f>
        <v>1.5869711856164246</v>
      </c>
      <c r="M65" s="16"/>
      <c r="N65" s="16"/>
      <c r="O65" s="16"/>
      <c r="P65" s="16"/>
      <c r="Q65" s="16">
        <f>Q64*(1+[94]Assumptions!$D$247)^'Depreciation Schedule'!$B$65</f>
        <v>1.8397345521462538</v>
      </c>
      <c r="R65" s="16"/>
      <c r="S65" s="16"/>
      <c r="T65" s="16"/>
      <c r="U65" s="16"/>
    </row>
    <row r="66" spans="1:21" x14ac:dyDescent="0.2">
      <c r="B66" s="15">
        <f>1/B65</f>
        <v>0.2</v>
      </c>
      <c r="C66" s="5" t="s">
        <v>42</v>
      </c>
      <c r="D66" s="41"/>
      <c r="E66" s="16"/>
      <c r="F66" s="16"/>
      <c r="G66" s="16">
        <f>G64</f>
        <v>1.1299999999999999</v>
      </c>
      <c r="H66" s="16"/>
      <c r="I66" s="16"/>
      <c r="J66" s="16"/>
      <c r="K66" s="16"/>
      <c r="L66" s="16">
        <f>L64</f>
        <v>1.3689352852772796</v>
      </c>
      <c r="M66" s="16"/>
      <c r="N66" s="16"/>
      <c r="O66" s="16"/>
      <c r="P66" s="16"/>
      <c r="Q66" s="16">
        <f>Q64</f>
        <v>1.5869711856164246</v>
      </c>
      <c r="R66" s="16"/>
      <c r="S66" s="16"/>
      <c r="T66" s="16"/>
      <c r="U66" s="16">
        <f t="shared" ref="U66" si="28">U64</f>
        <v>1.839734552146254</v>
      </c>
    </row>
    <row r="67" spans="1:21" x14ac:dyDescent="0.2">
      <c r="C67" s="5" t="s">
        <v>32</v>
      </c>
      <c r="D67" s="41">
        <v>0</v>
      </c>
      <c r="E67" s="16">
        <f t="shared" ref="E67:S67" si="29">(E64*(1-$A$64))/$B$65</f>
        <v>0.21469999999999997</v>
      </c>
      <c r="F67" s="16">
        <f t="shared" si="29"/>
        <v>0.21469999999999997</v>
      </c>
      <c r="G67" s="16">
        <f t="shared" si="29"/>
        <v>0.21469999999999997</v>
      </c>
      <c r="H67" s="16">
        <f>(H64*(1-$A$64))/$B$65</f>
        <v>0.26009770420268313</v>
      </c>
      <c r="I67" s="16">
        <f t="shared" si="29"/>
        <v>0.26009770420268313</v>
      </c>
      <c r="J67" s="16">
        <f t="shared" si="29"/>
        <v>0.26009770420268313</v>
      </c>
      <c r="K67" s="16">
        <f t="shared" si="29"/>
        <v>0.26009770420268313</v>
      </c>
      <c r="L67" s="16">
        <f t="shared" ref="L67" si="30">(L64*(1-$A$64))/$B$65</f>
        <v>0.26009770420268313</v>
      </c>
      <c r="M67" s="16">
        <f t="shared" si="29"/>
        <v>0.30152452526712065</v>
      </c>
      <c r="N67" s="16">
        <f t="shared" si="29"/>
        <v>0.30152452526712065</v>
      </c>
      <c r="O67" s="16">
        <f t="shared" si="29"/>
        <v>0.30152452526712065</v>
      </c>
      <c r="P67" s="16">
        <f t="shared" si="29"/>
        <v>0.30152452526712065</v>
      </c>
      <c r="Q67" s="16">
        <f t="shared" ref="Q67" si="31">(Q64*(1-$A$64))/$B$65</f>
        <v>0.30152452526712065</v>
      </c>
      <c r="R67" s="16">
        <f t="shared" si="29"/>
        <v>0.34954956490778827</v>
      </c>
      <c r="S67" s="16">
        <f t="shared" si="29"/>
        <v>0.34954956490778827</v>
      </c>
      <c r="T67" s="16">
        <f t="shared" ref="T67:U67" si="32">(T64*(1-$A$64))/$B$65</f>
        <v>0.34954956490778827</v>
      </c>
      <c r="U67" s="16">
        <f t="shared" si="32"/>
        <v>0.34954956490778827</v>
      </c>
    </row>
    <row r="68" spans="1:21" x14ac:dyDescent="0.2">
      <c r="C68" s="5" t="s">
        <v>43</v>
      </c>
      <c r="D68" s="41"/>
      <c r="E68" s="16"/>
      <c r="F68" s="16"/>
      <c r="G68" s="16">
        <f>F70-G67</f>
        <v>-0.29410000000000014</v>
      </c>
      <c r="H68" s="16"/>
      <c r="I68" s="16"/>
      <c r="J68" s="16"/>
      <c r="K68" s="16"/>
      <c r="L68" s="16">
        <f>L64*$A$64</f>
        <v>6.8446764263863979E-2</v>
      </c>
      <c r="M68" s="16"/>
      <c r="N68" s="16"/>
      <c r="O68" s="16"/>
      <c r="P68" s="16"/>
      <c r="Q68" s="16">
        <f>Q64*$A$64</f>
        <v>7.934855928082124E-2</v>
      </c>
      <c r="R68" s="16"/>
      <c r="S68" s="16"/>
      <c r="T68" s="16"/>
      <c r="U68" s="16">
        <f t="shared" ref="U68" si="33">T70-U67</f>
        <v>0.4415362925151009</v>
      </c>
    </row>
    <row r="69" spans="1:21" x14ac:dyDescent="0.2">
      <c r="C69" s="5" t="s">
        <v>44</v>
      </c>
      <c r="D69" s="43">
        <v>0.78</v>
      </c>
      <c r="E69" s="32">
        <f>E67+D69+E68-E66</f>
        <v>0.99470000000000003</v>
      </c>
      <c r="F69" s="32">
        <f>F67+E69+F68-F66</f>
        <v>1.2094</v>
      </c>
      <c r="G69" s="32">
        <f>G67+F69+G68-G66</f>
        <v>0</v>
      </c>
      <c r="H69" s="32">
        <f t="shared" ref="H69:S69" si="34">H67+G69+H68-H66</f>
        <v>0.26009770420268313</v>
      </c>
      <c r="I69" s="32">
        <f t="shared" si="34"/>
        <v>0.52019540840536627</v>
      </c>
      <c r="J69" s="32">
        <f t="shared" si="34"/>
        <v>0.78029311260804946</v>
      </c>
      <c r="K69" s="32">
        <f t="shared" si="34"/>
        <v>1.0403908168107325</v>
      </c>
      <c r="L69" s="32">
        <f t="shared" si="34"/>
        <v>0</v>
      </c>
      <c r="M69" s="32">
        <f t="shared" si="34"/>
        <v>0.30152452526712065</v>
      </c>
      <c r="N69" s="32">
        <f t="shared" si="34"/>
        <v>0.60304905053424129</v>
      </c>
      <c r="O69" s="32">
        <f t="shared" si="34"/>
        <v>0.904573575801362</v>
      </c>
      <c r="P69" s="32">
        <f t="shared" si="34"/>
        <v>1.2060981010684826</v>
      </c>
      <c r="Q69" s="32">
        <f t="shared" si="34"/>
        <v>0</v>
      </c>
      <c r="R69" s="32">
        <f t="shared" si="34"/>
        <v>0.34954956490778827</v>
      </c>
      <c r="S69" s="32">
        <f t="shared" si="34"/>
        <v>0.69909912981557654</v>
      </c>
      <c r="T69" s="32">
        <f t="shared" ref="T69" si="35">T67+S69+T68-T66</f>
        <v>1.0486486947233649</v>
      </c>
      <c r="U69" s="32">
        <f t="shared" ref="U69" si="36">U67+T69+U68-U66</f>
        <v>0</v>
      </c>
    </row>
    <row r="70" spans="1:21" x14ac:dyDescent="0.2">
      <c r="C70" s="5" t="s">
        <v>45</v>
      </c>
      <c r="D70" s="44">
        <f t="shared" ref="D70:E70" si="37">D64+D65-D69+D66</f>
        <v>0.34999999999999987</v>
      </c>
      <c r="E70" s="33">
        <f t="shared" si="37"/>
        <v>0.13529999999999986</v>
      </c>
      <c r="F70" s="33">
        <f>F64+F65-F69-F66</f>
        <v>-7.9400000000000137E-2</v>
      </c>
      <c r="G70" s="33">
        <f t="shared" ref="G70:S70" si="38">G64+G65-G69-G66</f>
        <v>1.3689352852772796</v>
      </c>
      <c r="H70" s="33">
        <f t="shared" si="38"/>
        <v>1.1088375810745965</v>
      </c>
      <c r="I70" s="33">
        <f t="shared" si="38"/>
        <v>0.84873987687191332</v>
      </c>
      <c r="J70" s="33">
        <f t="shared" si="38"/>
        <v>0.58864217266923013</v>
      </c>
      <c r="K70" s="33">
        <f t="shared" si="38"/>
        <v>0.32854446846654706</v>
      </c>
      <c r="L70" s="33">
        <f t="shared" si="38"/>
        <v>1.5869711856164246</v>
      </c>
      <c r="M70" s="33">
        <f t="shared" si="38"/>
        <v>1.285446660349304</v>
      </c>
      <c r="N70" s="33">
        <f t="shared" si="38"/>
        <v>0.98392213508218329</v>
      </c>
      <c r="O70" s="33">
        <f t="shared" si="38"/>
        <v>0.68239760981506259</v>
      </c>
      <c r="P70" s="33">
        <f t="shared" si="38"/>
        <v>0.380873084547942</v>
      </c>
      <c r="Q70" s="33">
        <f t="shared" si="38"/>
        <v>1.839734552146254</v>
      </c>
      <c r="R70" s="33">
        <f t="shared" si="38"/>
        <v>1.4901849872384658</v>
      </c>
      <c r="S70" s="33">
        <f t="shared" si="38"/>
        <v>1.1406354223306776</v>
      </c>
      <c r="T70" s="33">
        <f t="shared" ref="T70:U70" si="39">T64+T65-T69-T66</f>
        <v>0.79108585742288917</v>
      </c>
      <c r="U70" s="33">
        <f t="shared" si="39"/>
        <v>0</v>
      </c>
    </row>
    <row r="71" spans="1:21" x14ac:dyDescent="0.2">
      <c r="D71" s="45">
        <f t="shared" ref="D71:S71" si="40">IF(D69=0,(D68-D66)/D64,D70/D64)</f>
        <v>0.30973451327433621</v>
      </c>
      <c r="E71" s="19">
        <f t="shared" si="40"/>
        <v>0.11973451327433618</v>
      </c>
      <c r="F71" s="19">
        <f t="shared" si="40"/>
        <v>-7.026548672566385E-2</v>
      </c>
      <c r="G71" s="19">
        <f t="shared" si="40"/>
        <v>-1.260265486725664</v>
      </c>
      <c r="H71" s="19">
        <f t="shared" si="40"/>
        <v>0.81</v>
      </c>
      <c r="I71" s="19">
        <f t="shared" si="40"/>
        <v>0.62</v>
      </c>
      <c r="J71" s="19">
        <f t="shared" si="40"/>
        <v>0.42999999999999994</v>
      </c>
      <c r="K71" s="19">
        <f t="shared" si="40"/>
        <v>0.23999999999999996</v>
      </c>
      <c r="L71" s="19">
        <f t="shared" si="40"/>
        <v>-0.95</v>
      </c>
      <c r="M71" s="19">
        <f t="shared" si="40"/>
        <v>0.81</v>
      </c>
      <c r="N71" s="19">
        <f t="shared" si="40"/>
        <v>0.62</v>
      </c>
      <c r="O71" s="19">
        <f t="shared" si="40"/>
        <v>0.43</v>
      </c>
      <c r="P71" s="19">
        <f t="shared" si="40"/>
        <v>0.24000000000000007</v>
      </c>
      <c r="Q71" s="19">
        <f t="shared" si="40"/>
        <v>-0.95000000000000007</v>
      </c>
      <c r="R71" s="19">
        <f t="shared" si="40"/>
        <v>0.81</v>
      </c>
      <c r="S71" s="19">
        <f t="shared" si="40"/>
        <v>0.62000000000000011</v>
      </c>
      <c r="T71" s="19">
        <f t="shared" ref="T71:U71" si="41">IF(T69=0,(T68-T66)/T64,T70/T64)</f>
        <v>0.43</v>
      </c>
      <c r="U71" s="19">
        <f t="shared" si="41"/>
        <v>-0.76</v>
      </c>
    </row>
    <row r="72" spans="1:21" x14ac:dyDescent="0.2">
      <c r="C72" s="34" t="s">
        <v>46</v>
      </c>
    </row>
    <row r="73" spans="1:21" x14ac:dyDescent="0.2">
      <c r="A73" s="20">
        <v>0.05</v>
      </c>
      <c r="C73" s="5" t="s">
        <v>40</v>
      </c>
      <c r="D73" s="42">
        <v>9212.86</v>
      </c>
      <c r="E73" s="31">
        <f t="shared" ref="E73:S73" si="42">D73+D74-D75</f>
        <v>9212.86</v>
      </c>
      <c r="F73" s="31">
        <f t="shared" si="42"/>
        <v>9212.86</v>
      </c>
      <c r="G73" s="31">
        <f t="shared" si="42"/>
        <v>9212.86</v>
      </c>
      <c r="H73" s="31">
        <f t="shared" si="42"/>
        <v>9212.86</v>
      </c>
      <c r="I73" s="31">
        <f t="shared" si="42"/>
        <v>9212.86</v>
      </c>
      <c r="J73" s="31">
        <f t="shared" si="42"/>
        <v>9212.86</v>
      </c>
      <c r="K73" s="31">
        <f t="shared" si="42"/>
        <v>9212.86</v>
      </c>
      <c r="L73" s="31">
        <f t="shared" si="42"/>
        <v>9212.86</v>
      </c>
      <c r="M73" s="31">
        <f t="shared" si="42"/>
        <v>9212.86</v>
      </c>
      <c r="N73" s="31">
        <f t="shared" si="42"/>
        <v>9212.86</v>
      </c>
      <c r="O73" s="31">
        <f t="shared" si="42"/>
        <v>9212.86</v>
      </c>
      <c r="P73" s="31">
        <f t="shared" si="42"/>
        <v>9212.86</v>
      </c>
      <c r="Q73" s="31">
        <f t="shared" si="42"/>
        <v>9212.86</v>
      </c>
      <c r="R73" s="31">
        <f t="shared" si="42"/>
        <v>9212.86</v>
      </c>
      <c r="S73" s="31">
        <f t="shared" si="42"/>
        <v>9212.86</v>
      </c>
      <c r="T73" s="31">
        <f t="shared" ref="T73" si="43">S73+S74-S75</f>
        <v>9212.86</v>
      </c>
      <c r="U73" s="31">
        <f t="shared" ref="U73" si="44">T73+T74-T75</f>
        <v>9212.86</v>
      </c>
    </row>
    <row r="74" spans="1:21" x14ac:dyDescent="0.2">
      <c r="B74" s="5">
        <v>22</v>
      </c>
      <c r="C74" s="5" t="s">
        <v>41</v>
      </c>
      <c r="D74" s="41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1:21" x14ac:dyDescent="0.2">
      <c r="A75" s="20"/>
      <c r="B75" s="15">
        <f>1/B74</f>
        <v>4.5454545454545456E-2</v>
      </c>
      <c r="C75" s="5" t="s">
        <v>42</v>
      </c>
      <c r="D75" s="41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 t="shared" ref="U75" si="45">U73</f>
        <v>9212.86</v>
      </c>
    </row>
    <row r="76" spans="1:21" x14ac:dyDescent="0.2">
      <c r="B76" s="21"/>
      <c r="C76" s="5" t="s">
        <v>32</v>
      </c>
      <c r="D76" s="41">
        <v>414.19</v>
      </c>
      <c r="E76" s="16">
        <f t="shared" ref="E76:S76" si="46">(E73*(1-$A$73))*$B$75</f>
        <v>397.82804545454547</v>
      </c>
      <c r="F76" s="16">
        <f t="shared" si="46"/>
        <v>397.82804545454547</v>
      </c>
      <c r="G76" s="16">
        <f t="shared" si="46"/>
        <v>397.82804545454547</v>
      </c>
      <c r="H76" s="16">
        <f t="shared" si="46"/>
        <v>397.82804545454547</v>
      </c>
      <c r="I76" s="16">
        <f t="shared" si="46"/>
        <v>397.82804545454547</v>
      </c>
      <c r="J76" s="16">
        <f t="shared" si="46"/>
        <v>397.82804545454547</v>
      </c>
      <c r="K76" s="16">
        <f t="shared" si="46"/>
        <v>397.82804545454547</v>
      </c>
      <c r="L76" s="16">
        <f t="shared" si="46"/>
        <v>397.82804545454547</v>
      </c>
      <c r="M76" s="16">
        <f t="shared" si="46"/>
        <v>397.82804545454547</v>
      </c>
      <c r="N76" s="16">
        <f t="shared" si="46"/>
        <v>397.82804545454547</v>
      </c>
      <c r="O76" s="16">
        <f t="shared" si="46"/>
        <v>397.82804545454547</v>
      </c>
      <c r="P76" s="16">
        <f t="shared" si="46"/>
        <v>397.82804545454547</v>
      </c>
      <c r="Q76" s="16">
        <f t="shared" si="46"/>
        <v>397.82804545454547</v>
      </c>
      <c r="R76" s="16">
        <f t="shared" si="46"/>
        <v>397.82804545454547</v>
      </c>
      <c r="S76" s="16">
        <f t="shared" si="46"/>
        <v>397.82804545454547</v>
      </c>
      <c r="T76" s="16">
        <f t="shared" ref="T76:U76" si="47">(T73*(1-$A$73))*$B$75</f>
        <v>397.82804545454547</v>
      </c>
      <c r="U76" s="16">
        <f t="shared" si="47"/>
        <v>397.82804545454547</v>
      </c>
    </row>
    <row r="77" spans="1:21" x14ac:dyDescent="0.2">
      <c r="C77" s="5" t="s">
        <v>43</v>
      </c>
      <c r="D77" s="41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 t="shared" ref="U77" si="48">T79-U76</f>
        <v>-177.5267727272747</v>
      </c>
    </row>
    <row r="78" spans="1:21" x14ac:dyDescent="0.2">
      <c r="C78" s="5" t="s">
        <v>44</v>
      </c>
      <c r="D78" s="43">
        <v>2627.31</v>
      </c>
      <c r="E78" s="32">
        <f>E76+D78+E77-E75</f>
        <v>3025.1380454545456</v>
      </c>
      <c r="F78" s="32">
        <f t="shared" ref="F78:S78" si="49">F76+E78+F77-F75</f>
        <v>3422.9660909090912</v>
      </c>
      <c r="G78" s="32">
        <f>G76+F78+G77-G75</f>
        <v>3820.7941363636369</v>
      </c>
      <c r="H78" s="32">
        <f t="shared" si="49"/>
        <v>4218.6221818181821</v>
      </c>
      <c r="I78" s="32">
        <f t="shared" si="49"/>
        <v>4616.4502272727277</v>
      </c>
      <c r="J78" s="32">
        <f t="shared" si="49"/>
        <v>5014.2782727272734</v>
      </c>
      <c r="K78" s="32">
        <f t="shared" si="49"/>
        <v>5412.106318181819</v>
      </c>
      <c r="L78" s="32">
        <f t="shared" si="49"/>
        <v>5809.9343636363647</v>
      </c>
      <c r="M78" s="32">
        <f t="shared" si="49"/>
        <v>6207.7624090909103</v>
      </c>
      <c r="N78" s="32">
        <f t="shared" si="49"/>
        <v>6605.5904545454559</v>
      </c>
      <c r="O78" s="32">
        <f t="shared" si="49"/>
        <v>7003.4185000000016</v>
      </c>
      <c r="P78" s="32">
        <f t="shared" si="49"/>
        <v>7401.2465454545472</v>
      </c>
      <c r="Q78" s="32">
        <f t="shared" si="49"/>
        <v>7799.0745909090929</v>
      </c>
      <c r="R78" s="32">
        <f t="shared" si="49"/>
        <v>8196.9026363636385</v>
      </c>
      <c r="S78" s="32">
        <f t="shared" si="49"/>
        <v>8594.7306818181842</v>
      </c>
      <c r="T78" s="32">
        <f t="shared" ref="T78" si="50">T76+S78+T77-T75</f>
        <v>8992.5587272727298</v>
      </c>
      <c r="U78" s="32">
        <f t="shared" ref="U78" si="51">U76+T78+U77-U75</f>
        <v>0</v>
      </c>
    </row>
    <row r="79" spans="1:21" x14ac:dyDescent="0.2">
      <c r="C79" s="5" t="s">
        <v>45</v>
      </c>
      <c r="D79" s="44">
        <f>D73+D74-D78-D75</f>
        <v>6585.5500000000011</v>
      </c>
      <c r="E79" s="33">
        <f>E73+D74-E78-E75</f>
        <v>6187.7219545454554</v>
      </c>
      <c r="F79" s="33">
        <f t="shared" ref="F79:S79" si="52">F73+F74-F78-F75</f>
        <v>5789.8939090909098</v>
      </c>
      <c r="G79" s="33">
        <f t="shared" si="52"/>
        <v>5392.0658636363642</v>
      </c>
      <c r="H79" s="33">
        <f t="shared" si="52"/>
        <v>4994.2378181818185</v>
      </c>
      <c r="I79" s="33">
        <f t="shared" si="52"/>
        <v>4596.4097727272729</v>
      </c>
      <c r="J79" s="33">
        <f t="shared" si="52"/>
        <v>4198.5817272727272</v>
      </c>
      <c r="K79" s="33">
        <f t="shared" si="52"/>
        <v>3800.7536818181816</v>
      </c>
      <c r="L79" s="33">
        <f t="shared" si="52"/>
        <v>3402.9256363636359</v>
      </c>
      <c r="M79" s="33">
        <f t="shared" si="52"/>
        <v>3005.0975909090903</v>
      </c>
      <c r="N79" s="33">
        <f t="shared" si="52"/>
        <v>2607.2695454545446</v>
      </c>
      <c r="O79" s="33">
        <f t="shared" si="52"/>
        <v>2209.441499999999</v>
      </c>
      <c r="P79" s="33">
        <f t="shared" si="52"/>
        <v>1811.6134545454534</v>
      </c>
      <c r="Q79" s="33">
        <f t="shared" si="52"/>
        <v>1413.7854090909077</v>
      </c>
      <c r="R79" s="33">
        <f t="shared" si="52"/>
        <v>1015.9573636363621</v>
      </c>
      <c r="S79" s="33">
        <f t="shared" si="52"/>
        <v>618.12931818181642</v>
      </c>
      <c r="T79" s="33">
        <f t="shared" ref="T79:U79" si="53">T73+T74-T78-T75</f>
        <v>220.30127272727077</v>
      </c>
      <c r="U79" s="33">
        <f t="shared" si="53"/>
        <v>0</v>
      </c>
    </row>
    <row r="80" spans="1:21" x14ac:dyDescent="0.2">
      <c r="D80" s="45">
        <f t="shared" ref="D80:S80" si="54">IF(D78=0,(D77-D75)/D73,D79/D73)</f>
        <v>0.7148214560950672</v>
      </c>
      <c r="E80" s="19">
        <f t="shared" si="54"/>
        <v>0.67163963791324899</v>
      </c>
      <c r="F80" s="19">
        <f t="shared" si="54"/>
        <v>0.62845781973143078</v>
      </c>
      <c r="G80" s="19">
        <f t="shared" si="54"/>
        <v>0.58527600154961257</v>
      </c>
      <c r="H80" s="19">
        <f t="shared" si="54"/>
        <v>0.54209418336779436</v>
      </c>
      <c r="I80" s="19">
        <f t="shared" si="54"/>
        <v>0.4989123651859762</v>
      </c>
      <c r="J80" s="19">
        <f t="shared" si="54"/>
        <v>0.45573054700415799</v>
      </c>
      <c r="K80" s="19">
        <f t="shared" si="54"/>
        <v>0.41254872882233978</v>
      </c>
      <c r="L80" s="19">
        <f t="shared" si="54"/>
        <v>0.36936691064052157</v>
      </c>
      <c r="M80" s="19">
        <f t="shared" si="54"/>
        <v>0.32618509245870336</v>
      </c>
      <c r="N80" s="19">
        <f t="shared" si="54"/>
        <v>0.28300327427688521</v>
      </c>
      <c r="O80" s="19">
        <f t="shared" si="54"/>
        <v>0.239821456095067</v>
      </c>
      <c r="P80" s="19">
        <f t="shared" si="54"/>
        <v>0.19663963791324879</v>
      </c>
      <c r="Q80" s="19">
        <f t="shared" si="54"/>
        <v>0.15345781973143058</v>
      </c>
      <c r="R80" s="19">
        <f t="shared" si="54"/>
        <v>0.1102760015496124</v>
      </c>
      <c r="S80" s="19">
        <f t="shared" si="54"/>
        <v>6.7094183367794186E-2</v>
      </c>
      <c r="T80" s="19">
        <f t="shared" ref="T80:U80" si="55">IF(T78=0,(T77-T75)/T73,T79/T73)</f>
        <v>2.3912365185975989E-2</v>
      </c>
      <c r="U80" s="19">
        <f t="shared" si="55"/>
        <v>-1.0192694529958422</v>
      </c>
    </row>
    <row r="81" spans="1:21" x14ac:dyDescent="0.2">
      <c r="C81" s="34" t="str">
        <f>H3</f>
        <v>Computers</v>
      </c>
    </row>
    <row r="82" spans="1:21" x14ac:dyDescent="0.2">
      <c r="A82" s="20">
        <v>0.05</v>
      </c>
      <c r="C82" s="5" t="s">
        <v>40</v>
      </c>
      <c r="D82" s="46">
        <v>3.19</v>
      </c>
      <c r="E82" s="22">
        <f t="shared" ref="E82:S82" si="56">D82+D83-D84</f>
        <v>3.19</v>
      </c>
      <c r="F82" s="22">
        <f t="shared" si="56"/>
        <v>3.5790961674991633</v>
      </c>
      <c r="G82" s="22">
        <f t="shared" si="56"/>
        <v>3.5790961674991633</v>
      </c>
      <c r="H82" s="22">
        <f t="shared" si="56"/>
        <v>3.5790961674991633</v>
      </c>
      <c r="I82" s="22">
        <f t="shared" si="56"/>
        <v>4.0156518420712235</v>
      </c>
      <c r="J82" s="22">
        <f t="shared" si="56"/>
        <v>4.0156518420712235</v>
      </c>
      <c r="K82" s="22">
        <f t="shared" si="56"/>
        <v>4.0156518420712235</v>
      </c>
      <c r="L82" s="22">
        <f t="shared" si="56"/>
        <v>4.5054558363536277</v>
      </c>
      <c r="M82" s="22">
        <f t="shared" si="56"/>
        <v>4.5054558363536277</v>
      </c>
      <c r="N82" s="22">
        <f t="shared" si="56"/>
        <v>4.5054558363536277</v>
      </c>
      <c r="O82" s="22">
        <f t="shared" si="56"/>
        <v>5.0550030459968678</v>
      </c>
      <c r="P82" s="22">
        <f t="shared" si="56"/>
        <v>5.0550030459968678</v>
      </c>
      <c r="Q82" s="22">
        <f t="shared" si="56"/>
        <v>5.0550030459968678</v>
      </c>
      <c r="R82" s="22">
        <f t="shared" si="56"/>
        <v>5.6715805732363602</v>
      </c>
      <c r="S82" s="22">
        <f t="shared" si="56"/>
        <v>5.6715805732363602</v>
      </c>
      <c r="T82" s="22">
        <f t="shared" ref="T82" si="57">S82+S83-S84</f>
        <v>5.6715805732363602</v>
      </c>
      <c r="U82" s="22">
        <f t="shared" ref="U82" si="58">T82+T83-T84</f>
        <v>5.6715805732363602</v>
      </c>
    </row>
    <row r="83" spans="1:21" x14ac:dyDescent="0.2">
      <c r="B83" s="5">
        <v>3</v>
      </c>
      <c r="C83" s="5" t="s">
        <v>41</v>
      </c>
      <c r="D83" s="47"/>
      <c r="E83" s="23">
        <f>E82*((1+Assumptions!$C$48)^'Depreciation Schedule'!$B$83)</f>
        <v>3.5790961674991633</v>
      </c>
      <c r="F83" s="23"/>
      <c r="G83" s="23"/>
      <c r="H83" s="23">
        <f>H82*(1+Assumptions!C48)^$B$83</f>
        <v>4.0156518420712226</v>
      </c>
      <c r="I83" s="23"/>
      <c r="J83" s="23"/>
      <c r="K83" s="23">
        <f>K82*(1+Assumptions!C48)^$B$83</f>
        <v>4.5054558363536277</v>
      </c>
      <c r="L83" s="23"/>
      <c r="M83" s="18">
        <v>0</v>
      </c>
      <c r="N83" s="23">
        <f>N82*(1+Assumptions!C48)^$B$83</f>
        <v>5.0550030459968678</v>
      </c>
      <c r="O83" s="23"/>
      <c r="P83" s="23"/>
      <c r="Q83" s="23">
        <f>Q82*(1+Assumptions!C48)^$B$83</f>
        <v>5.6715805732363593</v>
      </c>
      <c r="R83" s="23"/>
      <c r="S83" s="23"/>
      <c r="T83" s="23"/>
      <c r="U83" s="23"/>
    </row>
    <row r="84" spans="1:21" x14ac:dyDescent="0.2">
      <c r="A84" s="20"/>
      <c r="B84" s="15">
        <f>1/B83</f>
        <v>0.33333333333333331</v>
      </c>
      <c r="C84" s="5" t="s">
        <v>42</v>
      </c>
      <c r="D84" s="47"/>
      <c r="E84" s="23">
        <f>E82</f>
        <v>3.19</v>
      </c>
      <c r="F84" s="23"/>
      <c r="G84" s="23"/>
      <c r="H84" s="23">
        <f>H82</f>
        <v>3.5790961674991633</v>
      </c>
      <c r="I84" s="23"/>
      <c r="J84" s="23"/>
      <c r="K84" s="23">
        <f>K82</f>
        <v>4.0156518420712235</v>
      </c>
      <c r="L84" s="23"/>
      <c r="M84" s="18">
        <v>0</v>
      </c>
      <c r="N84" s="23">
        <f>N82</f>
        <v>4.5054558363536277</v>
      </c>
      <c r="O84" s="23"/>
      <c r="P84" s="23"/>
      <c r="Q84" s="23">
        <f>Q82</f>
        <v>5.0550030459968678</v>
      </c>
      <c r="R84" s="23"/>
      <c r="S84" s="23"/>
      <c r="T84" s="23"/>
      <c r="U84" s="23">
        <f t="shared" ref="U84" si="59">U82</f>
        <v>5.6715805732363602</v>
      </c>
    </row>
    <row r="85" spans="1:21" x14ac:dyDescent="0.2">
      <c r="B85" s="21"/>
      <c r="C85" s="5" t="s">
        <v>32</v>
      </c>
      <c r="D85" s="41">
        <v>0.9</v>
      </c>
      <c r="E85" s="16">
        <f t="shared" ref="E85:S85" si="60">(E82*(1-$A$82))/$B$83</f>
        <v>1.0101666666666667</v>
      </c>
      <c r="F85" s="16">
        <f t="shared" si="60"/>
        <v>1.1333804530414018</v>
      </c>
      <c r="G85" s="16">
        <f t="shared" si="60"/>
        <v>1.1333804530414018</v>
      </c>
      <c r="H85" s="16">
        <f t="shared" si="60"/>
        <v>1.1333804530414018</v>
      </c>
      <c r="I85" s="16">
        <f t="shared" si="60"/>
        <v>1.2716230833225539</v>
      </c>
      <c r="J85" s="16">
        <f t="shared" si="60"/>
        <v>1.2716230833225539</v>
      </c>
      <c r="K85" s="16">
        <f t="shared" si="60"/>
        <v>1.2716230833225539</v>
      </c>
      <c r="L85" s="16">
        <f t="shared" si="60"/>
        <v>1.4267276815119818</v>
      </c>
      <c r="M85" s="16">
        <f t="shared" si="60"/>
        <v>1.4267276815119818</v>
      </c>
      <c r="N85" s="16">
        <f t="shared" si="60"/>
        <v>1.4267276815119818</v>
      </c>
      <c r="O85" s="16">
        <f t="shared" si="60"/>
        <v>1.6007509645656748</v>
      </c>
      <c r="P85" s="16">
        <f t="shared" si="60"/>
        <v>1.6007509645656748</v>
      </c>
      <c r="Q85" s="16">
        <f t="shared" si="60"/>
        <v>1.6007509645656748</v>
      </c>
      <c r="R85" s="16">
        <f t="shared" si="60"/>
        <v>1.7960005148581806</v>
      </c>
      <c r="S85" s="16">
        <f t="shared" si="60"/>
        <v>1.7960005148581806</v>
      </c>
      <c r="T85" s="16">
        <f t="shared" ref="T85" si="61">(T82*(1-$A$82))/$B$83</f>
        <v>1.7960005148581806</v>
      </c>
      <c r="U85" s="16">
        <f>T88</f>
        <v>0.28357902866181828</v>
      </c>
    </row>
    <row r="86" spans="1:21" x14ac:dyDescent="0.2">
      <c r="C86" s="5" t="s">
        <v>43</v>
      </c>
      <c r="D86" s="47"/>
      <c r="E86" s="23">
        <f>+D82*A82</f>
        <v>0.1595</v>
      </c>
      <c r="F86" s="23"/>
      <c r="G86" s="23"/>
      <c r="H86" s="16">
        <f>H82-(G87+H85)</f>
        <v>0.54928814170829154</v>
      </c>
      <c r="I86" s="23"/>
      <c r="J86" s="23"/>
      <c r="K86" s="16">
        <f>K82-(J87+K85)</f>
        <v>0.20078259210356197</v>
      </c>
      <c r="L86" s="23"/>
      <c r="M86" s="18">
        <v>0</v>
      </c>
      <c r="N86" s="16">
        <f>N82-(M87+N85)</f>
        <v>0.22527279181768201</v>
      </c>
      <c r="O86" s="23"/>
      <c r="P86" s="23"/>
      <c r="Q86" s="16">
        <f>Q82-(P87+Q85)</f>
        <v>0.25275015229984366</v>
      </c>
      <c r="R86" s="23"/>
      <c r="S86" s="23"/>
      <c r="T86" s="23"/>
      <c r="U86" s="23">
        <f t="shared" ref="U86" si="62">T88-U85</f>
        <v>0</v>
      </c>
    </row>
    <row r="87" spans="1:21" x14ac:dyDescent="0.2">
      <c r="C87" s="5" t="s">
        <v>44</v>
      </c>
      <c r="D87" s="47">
        <v>1.65</v>
      </c>
      <c r="E87" s="23">
        <f t="shared" ref="E87:S87" si="63">D87+E85+E86-E84</f>
        <v>-0.3703333333333334</v>
      </c>
      <c r="F87" s="23">
        <f t="shared" si="63"/>
        <v>0.76304711970806838</v>
      </c>
      <c r="G87" s="23">
        <f t="shared" si="63"/>
        <v>1.8964275727494702</v>
      </c>
      <c r="H87" s="23">
        <f t="shared" si="63"/>
        <v>0</v>
      </c>
      <c r="I87" s="23">
        <f t="shared" si="63"/>
        <v>1.2716230833225539</v>
      </c>
      <c r="J87" s="23">
        <f t="shared" si="63"/>
        <v>2.5432461666451078</v>
      </c>
      <c r="K87" s="23">
        <f t="shared" si="63"/>
        <v>0</v>
      </c>
      <c r="L87" s="23">
        <f t="shared" si="63"/>
        <v>1.4267276815119818</v>
      </c>
      <c r="M87" s="23">
        <f t="shared" si="63"/>
        <v>2.8534553630239636</v>
      </c>
      <c r="N87" s="23">
        <f t="shared" si="63"/>
        <v>0</v>
      </c>
      <c r="O87" s="23">
        <f t="shared" si="63"/>
        <v>1.6007509645656748</v>
      </c>
      <c r="P87" s="23">
        <f t="shared" si="63"/>
        <v>3.2015019291313496</v>
      </c>
      <c r="Q87" s="23">
        <f t="shared" si="63"/>
        <v>0</v>
      </c>
      <c r="R87" s="23">
        <f t="shared" si="63"/>
        <v>1.7960005148581806</v>
      </c>
      <c r="S87" s="23">
        <f t="shared" si="63"/>
        <v>3.5920010297163611</v>
      </c>
      <c r="T87" s="23">
        <f t="shared" ref="T87" si="64">S87+T85+T86-T84</f>
        <v>5.3880015445745419</v>
      </c>
      <c r="U87" s="23">
        <f t="shared" ref="U87" si="65">T87+U85+U86-U84</f>
        <v>0</v>
      </c>
    </row>
    <row r="88" spans="1:21" x14ac:dyDescent="0.2">
      <c r="C88" s="5" t="s">
        <v>45</v>
      </c>
      <c r="D88" s="48">
        <f t="shared" ref="D88:S88" si="66">D82+D83-D87-D84</f>
        <v>1.54</v>
      </c>
      <c r="E88" s="24">
        <f t="shared" si="66"/>
        <v>3.9494295008324971</v>
      </c>
      <c r="F88" s="24">
        <f t="shared" si="66"/>
        <v>2.8160490477910951</v>
      </c>
      <c r="G88" s="24">
        <f t="shared" si="66"/>
        <v>1.6826685947496931</v>
      </c>
      <c r="H88" s="24">
        <f t="shared" si="66"/>
        <v>4.0156518420712235</v>
      </c>
      <c r="I88" s="24">
        <f t="shared" si="66"/>
        <v>2.7440287587486694</v>
      </c>
      <c r="J88" s="24">
        <f t="shared" si="66"/>
        <v>1.4724056754261157</v>
      </c>
      <c r="K88" s="24">
        <f t="shared" si="66"/>
        <v>4.5054558363536277</v>
      </c>
      <c r="L88" s="24">
        <f t="shared" si="66"/>
        <v>3.0787281548416461</v>
      </c>
      <c r="M88" s="24">
        <f t="shared" si="66"/>
        <v>1.652000473329664</v>
      </c>
      <c r="N88" s="24">
        <f t="shared" si="66"/>
        <v>5.0550030459968678</v>
      </c>
      <c r="O88" s="24">
        <f t="shared" si="66"/>
        <v>3.4542520814311928</v>
      </c>
      <c r="P88" s="24">
        <f t="shared" si="66"/>
        <v>1.8535011168655182</v>
      </c>
      <c r="Q88" s="24">
        <f t="shared" si="66"/>
        <v>5.6715805732363602</v>
      </c>
      <c r="R88" s="24">
        <f t="shared" si="66"/>
        <v>3.8755800583781799</v>
      </c>
      <c r="S88" s="24">
        <f t="shared" si="66"/>
        <v>2.0795795435199991</v>
      </c>
      <c r="T88" s="24">
        <f t="shared" ref="T88:U88" si="67">T82+T83-T87-T84</f>
        <v>0.28357902866181828</v>
      </c>
      <c r="U88" s="24">
        <f t="shared" si="67"/>
        <v>0</v>
      </c>
    </row>
    <row r="89" spans="1:21" x14ac:dyDescent="0.2">
      <c r="D89" s="45">
        <f t="shared" ref="D89:S89" si="68">IF(D87=0,(D86-D84)/D82,D88/D82)</f>
        <v>0.48275862068965519</v>
      </c>
      <c r="E89" s="19">
        <f t="shared" si="68"/>
        <v>1.2380656742421621</v>
      </c>
      <c r="F89" s="19">
        <f t="shared" si="68"/>
        <v>0.78680452158924941</v>
      </c>
      <c r="G89" s="19">
        <f t="shared" si="68"/>
        <v>0.47013785492258264</v>
      </c>
      <c r="H89" s="19">
        <f t="shared" si="68"/>
        <v>-0.84652881174408401</v>
      </c>
      <c r="I89" s="19">
        <f t="shared" si="68"/>
        <v>0.68333333333333335</v>
      </c>
      <c r="J89" s="19">
        <f t="shared" si="68"/>
        <v>0.36666666666666675</v>
      </c>
      <c r="K89" s="19">
        <f t="shared" si="68"/>
        <v>-0.94999999999999984</v>
      </c>
      <c r="L89" s="19">
        <f t="shared" si="68"/>
        <v>0.68333333333333346</v>
      </c>
      <c r="M89" s="19">
        <f t="shared" si="68"/>
        <v>0.36666666666666681</v>
      </c>
      <c r="N89" s="19">
        <f t="shared" si="68"/>
        <v>-0.94999999999999984</v>
      </c>
      <c r="O89" s="19">
        <f t="shared" si="68"/>
        <v>0.68333333333333324</v>
      </c>
      <c r="P89" s="19">
        <f t="shared" si="68"/>
        <v>0.3666666666666667</v>
      </c>
      <c r="Q89" s="19">
        <f t="shared" si="68"/>
        <v>-0.95</v>
      </c>
      <c r="R89" s="19">
        <f t="shared" si="68"/>
        <v>0.68333333333333335</v>
      </c>
      <c r="S89" s="19">
        <f t="shared" si="68"/>
        <v>0.36666666666666675</v>
      </c>
      <c r="T89" s="19">
        <f t="shared" ref="T89:U89" si="69">IF(T87=0,(T86-T84)/T82,T88/T82)</f>
        <v>5.0000000000000044E-2</v>
      </c>
      <c r="U89" s="19">
        <f t="shared" si="69"/>
        <v>-1</v>
      </c>
    </row>
    <row r="90" spans="1:21" x14ac:dyDescent="0.2">
      <c r="C90" s="34" t="s">
        <v>209</v>
      </c>
    </row>
    <row r="91" spans="1:21" x14ac:dyDescent="0.2">
      <c r="A91" s="20">
        <v>0.05</v>
      </c>
      <c r="C91" s="5" t="s">
        <v>40</v>
      </c>
      <c r="D91" s="46">
        <v>15932.47</v>
      </c>
      <c r="E91" s="31">
        <f t="shared" ref="E91:S91" si="70">D91+D92-D93</f>
        <v>15932.47</v>
      </c>
      <c r="F91" s="31">
        <f t="shared" si="70"/>
        <v>15932.47</v>
      </c>
      <c r="G91" s="31">
        <f t="shared" si="70"/>
        <v>15932.47</v>
      </c>
      <c r="H91" s="31">
        <f t="shared" si="70"/>
        <v>15932.47</v>
      </c>
      <c r="I91" s="31">
        <f t="shared" si="70"/>
        <v>15932.47</v>
      </c>
      <c r="J91" s="31">
        <f t="shared" si="70"/>
        <v>15932.47</v>
      </c>
      <c r="K91" s="31">
        <f t="shared" si="70"/>
        <v>15932.47</v>
      </c>
      <c r="L91" s="31">
        <f t="shared" si="70"/>
        <v>15932.47</v>
      </c>
      <c r="M91" s="31">
        <f t="shared" si="70"/>
        <v>15932.47</v>
      </c>
      <c r="N91" s="31">
        <f t="shared" si="70"/>
        <v>15932.47</v>
      </c>
      <c r="O91" s="31">
        <f t="shared" si="70"/>
        <v>15932.47</v>
      </c>
      <c r="P91" s="31">
        <f t="shared" si="70"/>
        <v>15932.47</v>
      </c>
      <c r="Q91" s="31">
        <f t="shared" si="70"/>
        <v>15932.47</v>
      </c>
      <c r="R91" s="31">
        <f t="shared" si="70"/>
        <v>15932.47</v>
      </c>
      <c r="S91" s="31">
        <f t="shared" si="70"/>
        <v>15932.47</v>
      </c>
      <c r="T91" s="31">
        <f t="shared" ref="T91" si="71">S91+S92-S93</f>
        <v>15932.47</v>
      </c>
      <c r="U91" s="31">
        <f t="shared" ref="U91" si="72">T91+T92-T93</f>
        <v>15932.47</v>
      </c>
    </row>
    <row r="92" spans="1:21" x14ac:dyDescent="0.2">
      <c r="B92" s="5">
        <v>25</v>
      </c>
      <c r="C92" s="5" t="s">
        <v>41</v>
      </c>
      <c r="D92" s="4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21" x14ac:dyDescent="0.2">
      <c r="A93" s="20"/>
      <c r="B93" s="25">
        <f>1/B92</f>
        <v>0.04</v>
      </c>
      <c r="C93" s="5" t="s">
        <v>42</v>
      </c>
      <c r="D93" s="4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 t="shared" ref="U93" si="73">U91</f>
        <v>15932.47</v>
      </c>
    </row>
    <row r="94" spans="1:21" x14ac:dyDescent="0.2">
      <c r="A94" s="26"/>
      <c r="B94" s="21"/>
      <c r="C94" s="5" t="s">
        <v>32</v>
      </c>
      <c r="D94" s="47">
        <v>715.38</v>
      </c>
      <c r="E94" s="16">
        <f t="shared" ref="E94:S94" si="74">(E91*(1-$A$91))*$B$93</f>
        <v>605.43385999999998</v>
      </c>
      <c r="F94" s="16">
        <f t="shared" si="74"/>
        <v>605.43385999999998</v>
      </c>
      <c r="G94" s="16">
        <f t="shared" si="74"/>
        <v>605.43385999999998</v>
      </c>
      <c r="H94" s="16">
        <f t="shared" si="74"/>
        <v>605.43385999999998</v>
      </c>
      <c r="I94" s="16">
        <f t="shared" si="74"/>
        <v>605.43385999999998</v>
      </c>
      <c r="J94" s="16">
        <f t="shared" si="74"/>
        <v>605.43385999999998</v>
      </c>
      <c r="K94" s="16">
        <f t="shared" si="74"/>
        <v>605.43385999999998</v>
      </c>
      <c r="L94" s="16">
        <f t="shared" si="74"/>
        <v>605.43385999999998</v>
      </c>
      <c r="M94" s="16">
        <f t="shared" si="74"/>
        <v>605.43385999999998</v>
      </c>
      <c r="N94" s="16">
        <f t="shared" si="74"/>
        <v>605.43385999999998</v>
      </c>
      <c r="O94" s="16">
        <f t="shared" si="74"/>
        <v>605.43385999999998</v>
      </c>
      <c r="P94" s="16">
        <f t="shared" si="74"/>
        <v>605.43385999999998</v>
      </c>
      <c r="Q94" s="16">
        <f t="shared" si="74"/>
        <v>605.43385999999998</v>
      </c>
      <c r="R94" s="16">
        <f t="shared" si="74"/>
        <v>605.43385999999998</v>
      </c>
      <c r="S94" s="16">
        <f t="shared" si="74"/>
        <v>605.43385999999998</v>
      </c>
      <c r="T94" s="16">
        <f t="shared" ref="T94:U94" si="75">(T91*(1-$A$91))*$B$93</f>
        <v>605.43385999999998</v>
      </c>
      <c r="U94" s="16">
        <f t="shared" si="75"/>
        <v>605.43385999999998</v>
      </c>
    </row>
    <row r="95" spans="1:21" x14ac:dyDescent="0.2">
      <c r="C95" s="5" t="s">
        <v>43</v>
      </c>
      <c r="D95" s="4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 t="shared" ref="U95" si="76">T97-U94</f>
        <v>623.54438000000766</v>
      </c>
    </row>
    <row r="96" spans="1:21" x14ac:dyDescent="0.2">
      <c r="A96" s="27"/>
      <c r="C96" s="5" t="s">
        <v>44</v>
      </c>
      <c r="D96" s="47">
        <v>5016.55</v>
      </c>
      <c r="E96" s="16">
        <f t="shared" ref="E96:S96" si="77">D96+E94+E95-E93</f>
        <v>5621.9838600000003</v>
      </c>
      <c r="F96" s="16">
        <f t="shared" si="77"/>
        <v>6227.4177200000004</v>
      </c>
      <c r="G96" s="16">
        <f t="shared" si="77"/>
        <v>6832.8515800000005</v>
      </c>
      <c r="H96" s="16">
        <f t="shared" si="77"/>
        <v>7438.2854400000006</v>
      </c>
      <c r="I96" s="16">
        <f t="shared" si="77"/>
        <v>8043.7193000000007</v>
      </c>
      <c r="J96" s="16">
        <f t="shared" si="77"/>
        <v>8649.1531599999998</v>
      </c>
      <c r="K96" s="16">
        <f t="shared" si="77"/>
        <v>9254.587019999999</v>
      </c>
      <c r="L96" s="16">
        <f t="shared" si="77"/>
        <v>9860.0208799999982</v>
      </c>
      <c r="M96" s="16">
        <f t="shared" si="77"/>
        <v>10465.454739999997</v>
      </c>
      <c r="N96" s="16">
        <f t="shared" si="77"/>
        <v>11070.888599999997</v>
      </c>
      <c r="O96" s="16">
        <f t="shared" si="77"/>
        <v>11676.322459999996</v>
      </c>
      <c r="P96" s="16">
        <f t="shared" si="77"/>
        <v>12281.756319999995</v>
      </c>
      <c r="Q96" s="16">
        <f t="shared" si="77"/>
        <v>12887.190179999994</v>
      </c>
      <c r="R96" s="16">
        <f t="shared" si="77"/>
        <v>13492.624039999993</v>
      </c>
      <c r="S96" s="16">
        <f t="shared" si="77"/>
        <v>14098.057899999993</v>
      </c>
      <c r="T96" s="16">
        <f t="shared" ref="T96" si="78">S96+T94+T95-T93</f>
        <v>14703.491759999992</v>
      </c>
      <c r="U96" s="16">
        <f t="shared" ref="U96" si="79">T96+U94+U95-U93</f>
        <v>0</v>
      </c>
    </row>
    <row r="97" spans="2:21" x14ac:dyDescent="0.2">
      <c r="B97" s="15"/>
      <c r="C97" s="5" t="s">
        <v>45</v>
      </c>
      <c r="D97" s="48">
        <f t="shared" ref="D97:S97" si="80">D91+D92-D96-D93</f>
        <v>10915.919999999998</v>
      </c>
      <c r="E97" s="33">
        <f t="shared" si="80"/>
        <v>10310.486139999999</v>
      </c>
      <c r="F97" s="33">
        <f t="shared" si="80"/>
        <v>9705.0522799999999</v>
      </c>
      <c r="G97" s="33">
        <f t="shared" si="80"/>
        <v>9099.6184199999989</v>
      </c>
      <c r="H97" s="33">
        <f t="shared" si="80"/>
        <v>8494.1845599999979</v>
      </c>
      <c r="I97" s="33">
        <f t="shared" si="80"/>
        <v>7888.7506999999987</v>
      </c>
      <c r="J97" s="33">
        <f t="shared" si="80"/>
        <v>7283.3168399999995</v>
      </c>
      <c r="K97" s="33">
        <f t="shared" si="80"/>
        <v>6677.8829800000003</v>
      </c>
      <c r="L97" s="33">
        <f t="shared" si="80"/>
        <v>6072.4491200000011</v>
      </c>
      <c r="M97" s="33">
        <f t="shared" si="80"/>
        <v>5467.0152600000019</v>
      </c>
      <c r="N97" s="33">
        <f t="shared" si="80"/>
        <v>4861.5814000000028</v>
      </c>
      <c r="O97" s="33">
        <f t="shared" si="80"/>
        <v>4256.1475400000036</v>
      </c>
      <c r="P97" s="33">
        <f t="shared" si="80"/>
        <v>3650.7136800000044</v>
      </c>
      <c r="Q97" s="33">
        <f t="shared" si="80"/>
        <v>3045.2798200000052</v>
      </c>
      <c r="R97" s="33">
        <f t="shared" si="80"/>
        <v>2439.845960000006</v>
      </c>
      <c r="S97" s="33">
        <f t="shared" si="80"/>
        <v>1834.4121000000068</v>
      </c>
      <c r="T97" s="33">
        <f t="shared" ref="T97:U97" si="81">T91+T92-T96-T93</f>
        <v>1228.9782400000076</v>
      </c>
      <c r="U97" s="33">
        <f t="shared" si="81"/>
        <v>0</v>
      </c>
    </row>
    <row r="98" spans="2:21" x14ac:dyDescent="0.2">
      <c r="D98" s="49">
        <f t="shared" ref="D98:S98" si="82">IF(D96=0,(D95-D93)/D91,D97/D91)</f>
        <v>0.6851367051059879</v>
      </c>
      <c r="E98" s="28">
        <f t="shared" si="82"/>
        <v>0.64713670510598797</v>
      </c>
      <c r="F98" s="28">
        <f t="shared" si="82"/>
        <v>0.60913670510598794</v>
      </c>
      <c r="G98" s="28">
        <f t="shared" si="82"/>
        <v>0.57113670510598791</v>
      </c>
      <c r="H98" s="28">
        <f t="shared" si="82"/>
        <v>0.53313670510598787</v>
      </c>
      <c r="I98" s="28">
        <f t="shared" si="82"/>
        <v>0.4951367051059879</v>
      </c>
      <c r="J98" s="28">
        <f t="shared" si="82"/>
        <v>0.45713670510598797</v>
      </c>
      <c r="K98" s="28">
        <f t="shared" si="82"/>
        <v>0.41913670510598799</v>
      </c>
      <c r="L98" s="28">
        <f t="shared" si="82"/>
        <v>0.38113670510598807</v>
      </c>
      <c r="M98" s="28">
        <f t="shared" si="82"/>
        <v>0.34313670510598809</v>
      </c>
      <c r="N98" s="28">
        <f t="shared" si="82"/>
        <v>0.30513670510598817</v>
      </c>
      <c r="O98" s="28">
        <f t="shared" si="82"/>
        <v>0.26713670510598819</v>
      </c>
      <c r="P98" s="28">
        <f t="shared" si="82"/>
        <v>0.22913670510598824</v>
      </c>
      <c r="Q98" s="28">
        <f t="shared" si="82"/>
        <v>0.19113670510598829</v>
      </c>
      <c r="R98" s="28">
        <f t="shared" si="82"/>
        <v>0.15313670510598834</v>
      </c>
      <c r="S98" s="28">
        <f t="shared" si="82"/>
        <v>0.11513670510598839</v>
      </c>
      <c r="T98" s="28">
        <f t="shared" ref="T98:U98" si="83">IF(T96=0,(T95-T93)/T91,T97/T91)</f>
        <v>7.713670510598844E-2</v>
      </c>
      <c r="U98" s="28">
        <f t="shared" si="83"/>
        <v>-0.96086329489401145</v>
      </c>
    </row>
    <row r="99" spans="2:21" x14ac:dyDescent="0.2">
      <c r="C99" s="29" t="s">
        <v>53</v>
      </c>
    </row>
    <row r="100" spans="2:21" x14ac:dyDescent="0.2">
      <c r="C100" s="35" t="s">
        <v>47</v>
      </c>
      <c r="D100" s="162">
        <f t="shared" ref="D100:S100" si="84">SUMIF($C54:$C97,"Addition",D54:D97)/(10^2)</f>
        <v>0</v>
      </c>
      <c r="E100" s="70">
        <f t="shared" si="84"/>
        <v>3.5790961674991635E-2</v>
      </c>
      <c r="F100" s="70">
        <f t="shared" si="84"/>
        <v>0</v>
      </c>
      <c r="G100" s="70">
        <f t="shared" si="84"/>
        <v>1.3689352852772793E-2</v>
      </c>
      <c r="H100" s="70">
        <f t="shared" si="84"/>
        <v>4.0156518420712224E-2</v>
      </c>
      <c r="I100" s="70">
        <f t="shared" si="84"/>
        <v>0</v>
      </c>
      <c r="J100" s="70">
        <f t="shared" si="84"/>
        <v>0</v>
      </c>
      <c r="K100" s="70">
        <f t="shared" si="84"/>
        <v>4.5054558363536279E-2</v>
      </c>
      <c r="L100" s="70">
        <f t="shared" si="84"/>
        <v>1.5869711856164245E-2</v>
      </c>
      <c r="M100" s="70">
        <f t="shared" si="84"/>
        <v>0</v>
      </c>
      <c r="N100" s="70">
        <f t="shared" si="84"/>
        <v>5.0550030459968677E-2</v>
      </c>
      <c r="O100" s="70">
        <f t="shared" si="84"/>
        <v>0</v>
      </c>
      <c r="P100" s="70">
        <f t="shared" si="84"/>
        <v>0</v>
      </c>
      <c r="Q100" s="70">
        <f t="shared" si="84"/>
        <v>7.511315125382613E-2</v>
      </c>
      <c r="R100" s="70">
        <f t="shared" si="84"/>
        <v>0</v>
      </c>
      <c r="S100" s="70">
        <f t="shared" si="84"/>
        <v>0</v>
      </c>
      <c r="T100" s="70">
        <f t="shared" ref="T100:U100" si="85">SUMIF($C54:$C97,"Addition",T54:T97)/(10^2)</f>
        <v>0</v>
      </c>
      <c r="U100" s="70">
        <f t="shared" si="85"/>
        <v>0</v>
      </c>
    </row>
    <row r="101" spans="2:21" x14ac:dyDescent="0.2">
      <c r="C101" s="35" t="s">
        <v>48</v>
      </c>
      <c r="D101" s="162">
        <f t="shared" ref="D101:S101" si="86">SUMIF($C54:$C98,"Asset Write off (Net block)",D54:D98)/(10^2)</f>
        <v>0</v>
      </c>
      <c r="E101" s="70">
        <f t="shared" si="86"/>
        <v>1.5950000000000001E-3</v>
      </c>
      <c r="F101" s="70">
        <f t="shared" si="86"/>
        <v>0</v>
      </c>
      <c r="G101" s="70">
        <f t="shared" si="86"/>
        <v>-2.9410000000000013E-3</v>
      </c>
      <c r="H101" s="70">
        <f t="shared" si="86"/>
        <v>5.4928814170829158E-3</v>
      </c>
      <c r="I101" s="70">
        <f t="shared" si="86"/>
        <v>0</v>
      </c>
      <c r="J101" s="70">
        <f t="shared" si="86"/>
        <v>0</v>
      </c>
      <c r="K101" s="70">
        <f t="shared" si="86"/>
        <v>2.0078259210356197E-3</v>
      </c>
      <c r="L101" s="70">
        <f t="shared" si="86"/>
        <v>6.844676426386398E-4</v>
      </c>
      <c r="M101" s="70">
        <f t="shared" si="86"/>
        <v>0</v>
      </c>
      <c r="N101" s="70">
        <f t="shared" si="86"/>
        <v>2.2527279181768201E-3</v>
      </c>
      <c r="O101" s="70">
        <f t="shared" si="86"/>
        <v>0</v>
      </c>
      <c r="P101" s="70">
        <f t="shared" si="86"/>
        <v>0</v>
      </c>
      <c r="Q101" s="70">
        <f t="shared" si="86"/>
        <v>3.3209871158066491E-3</v>
      </c>
      <c r="R101" s="70">
        <f t="shared" si="86"/>
        <v>0</v>
      </c>
      <c r="S101" s="70">
        <f t="shared" si="86"/>
        <v>0</v>
      </c>
      <c r="T101" s="70">
        <f t="shared" ref="T101:U101" si="87">SUMIF($C54:$C98,"Asset Write off (Net block)",T54:T98)/(10^2)</f>
        <v>0</v>
      </c>
      <c r="U101" s="70">
        <f t="shared" si="87"/>
        <v>7.3886914356524809</v>
      </c>
    </row>
    <row r="102" spans="2:21" x14ac:dyDescent="0.2">
      <c r="C102" s="35" t="s">
        <v>49</v>
      </c>
      <c r="D102" s="162">
        <f t="shared" ref="D102:S102" si="88">SUMIF($C54:$C99,"Depreciation",D54:D99)/(10^2)</f>
        <v>11.3047</v>
      </c>
      <c r="E102" s="70">
        <f t="shared" si="88"/>
        <v>10.044867721212121</v>
      </c>
      <c r="F102" s="70">
        <f t="shared" si="88"/>
        <v>10.046099859075868</v>
      </c>
      <c r="G102" s="70">
        <f t="shared" si="88"/>
        <v>10.046099859075868</v>
      </c>
      <c r="H102" s="70">
        <f t="shared" si="88"/>
        <v>10.046553836117896</v>
      </c>
      <c r="I102" s="70">
        <f t="shared" si="88"/>
        <v>10.047936262420707</v>
      </c>
      <c r="J102" s="70">
        <f t="shared" si="88"/>
        <v>10.047936262420707</v>
      </c>
      <c r="K102" s="70">
        <f t="shared" si="88"/>
        <v>10.047936262420707</v>
      </c>
      <c r="L102" s="70">
        <f t="shared" si="88"/>
        <v>10.049487308402602</v>
      </c>
      <c r="M102" s="70">
        <f t="shared" si="88"/>
        <v>10.049901576613244</v>
      </c>
      <c r="N102" s="70">
        <f t="shared" si="88"/>
        <v>10.049901576613244</v>
      </c>
      <c r="O102" s="70">
        <f t="shared" si="88"/>
        <v>10.051641809443783</v>
      </c>
      <c r="P102" s="70">
        <f t="shared" si="88"/>
        <v>10.051641809443783</v>
      </c>
      <c r="Q102" s="70">
        <f t="shared" si="88"/>
        <v>10.051641809443783</v>
      </c>
      <c r="R102" s="70">
        <f t="shared" si="88"/>
        <v>10.054074555343114</v>
      </c>
      <c r="S102" s="70">
        <f t="shared" si="88"/>
        <v>10.054074555343114</v>
      </c>
      <c r="T102" s="70">
        <f t="shared" ref="T102:U102" si="89">SUMIF($C54:$C99,"Depreciation",T54:T99)/(10^2)</f>
        <v>10.054074555343114</v>
      </c>
      <c r="U102" s="70">
        <f t="shared" si="89"/>
        <v>10.038950340481151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6171-B123-49CF-BEE5-447198E92A6C}">
  <dimension ref="B1:J21"/>
  <sheetViews>
    <sheetView workbookViewId="0">
      <pane ySplit="2" topLeftCell="A9" activePane="bottomLeft" state="frozen"/>
      <selection pane="bottomLeft" activeCell="J5" sqref="J5"/>
    </sheetView>
  </sheetViews>
  <sheetFormatPr defaultRowHeight="15" x14ac:dyDescent="0.25"/>
  <cols>
    <col min="2" max="2" width="33.42578125" bestFit="1" customWidth="1"/>
    <col min="3" max="3" width="11.7109375" style="164" bestFit="1" customWidth="1"/>
    <col min="4" max="4" width="8" style="164" bestFit="1" customWidth="1"/>
    <col min="5" max="6" width="8" style="83" bestFit="1" customWidth="1"/>
    <col min="8" max="8" width="7.28515625" bestFit="1" customWidth="1"/>
  </cols>
  <sheetData>
    <row r="1" spans="2:10" ht="30" x14ac:dyDescent="0.25">
      <c r="I1" s="165" t="s">
        <v>237</v>
      </c>
    </row>
    <row r="2" spans="2:10" s="168" customFormat="1" x14ac:dyDescent="0.25">
      <c r="B2" s="166" t="s">
        <v>158</v>
      </c>
      <c r="C2" s="167">
        <v>42430</v>
      </c>
      <c r="D2" s="167">
        <v>42795</v>
      </c>
      <c r="E2" s="167">
        <v>43160</v>
      </c>
      <c r="F2" s="167">
        <v>43525</v>
      </c>
      <c r="G2" s="167">
        <f>EDATE(F2,12)+1</f>
        <v>43892</v>
      </c>
      <c r="H2" s="167">
        <f t="shared" ref="H2:I2" si="0">EDATE(G2,12)+1</f>
        <v>44258</v>
      </c>
      <c r="I2" s="167">
        <f t="shared" si="0"/>
        <v>44624</v>
      </c>
    </row>
    <row r="3" spans="2:10" x14ac:dyDescent="0.25">
      <c r="B3" s="2"/>
      <c r="C3" s="169"/>
      <c r="D3" s="169"/>
      <c r="E3" s="3"/>
      <c r="F3" s="3"/>
      <c r="H3">
        <v>100</v>
      </c>
    </row>
    <row r="4" spans="2:10" x14ac:dyDescent="0.25">
      <c r="B4" s="2" t="s">
        <v>148</v>
      </c>
      <c r="C4" s="169">
        <f>([95]Kayathar!D6)/100</f>
        <v>29.709</v>
      </c>
      <c r="D4" s="169">
        <f>([95]Kayathar!E6)/100</f>
        <v>36.366299999999995</v>
      </c>
      <c r="E4" s="169">
        <f>([95]Kayathar!F6)/100</f>
        <v>42.371700000000004</v>
      </c>
      <c r="F4" s="169">
        <f>([95]Kayathar!G6)/100</f>
        <v>58.094499999999996</v>
      </c>
      <c r="G4" s="169">
        <f>([95]Kayathar!H6)/100</f>
        <v>53.986500000000007</v>
      </c>
      <c r="H4" s="169">
        <f>([95]Kayathar!I6)/100</f>
        <v>41.850999999999992</v>
      </c>
      <c r="I4" s="169">
        <f>([95]Kayathar!J6)/100</f>
        <v>41.573800000000013</v>
      </c>
    </row>
    <row r="5" spans="2:10" x14ac:dyDescent="0.25">
      <c r="B5" s="2" t="s">
        <v>238</v>
      </c>
      <c r="C5" s="169">
        <f>([95]Kayathar!D8+[95]Kayathar!D9+[95]Kayathar!D12+[95]Kayathar!D16)/100</f>
        <v>1.8811000000000002</v>
      </c>
      <c r="D5" s="169">
        <f>([95]Kayathar!E8+[95]Kayathar!E9+[95]Kayathar!E12+[95]Kayathar!E16)/100</f>
        <v>3.3692000000000002</v>
      </c>
      <c r="E5" s="169">
        <f>([95]Kayathar!F8+[95]Kayathar!F9+[95]Kayathar!F12+[95]Kayathar!F16)/100</f>
        <v>11.607799999999999</v>
      </c>
      <c r="F5" s="169">
        <f>([95]Kayathar!G8+[95]Kayathar!G9+[95]Kayathar!G12+[95]Kayathar!G16)/100</f>
        <v>18.019599999999997</v>
      </c>
      <c r="G5" s="169">
        <f>([95]Kayathar!H8+[95]Kayathar!H9+[95]Kayathar!H12+[95]Kayathar!H16)/100</f>
        <v>17.038899999999998</v>
      </c>
      <c r="H5" s="169">
        <f>([95]Kayathar!I8+[95]Kayathar!I9+[95]Kayathar!I12+[95]Kayathar!I16)/100</f>
        <v>4.9910999999999994</v>
      </c>
      <c r="I5" s="169">
        <f>([95]Kayathar!J8+[95]Kayathar!J9+[95]Kayathar!J12+[95]Kayathar!J16)/100</f>
        <v>10.238399999999999</v>
      </c>
      <c r="J5" t="s">
        <v>242</v>
      </c>
    </row>
    <row r="6" spans="2:10" x14ac:dyDescent="0.25">
      <c r="B6" s="57" t="s">
        <v>131</v>
      </c>
      <c r="C6" s="104">
        <f t="shared" ref="C6:I6" si="1">C4-C5</f>
        <v>27.8279</v>
      </c>
      <c r="D6" s="104">
        <f t="shared" si="1"/>
        <v>32.997099999999996</v>
      </c>
      <c r="E6" s="104">
        <f t="shared" si="1"/>
        <v>30.763900000000007</v>
      </c>
      <c r="F6" s="104">
        <f t="shared" si="1"/>
        <v>40.0749</v>
      </c>
      <c r="G6" s="104">
        <f t="shared" si="1"/>
        <v>36.947600000000008</v>
      </c>
      <c r="H6" s="104">
        <f t="shared" si="1"/>
        <v>36.859899999999996</v>
      </c>
      <c r="I6" s="104">
        <f t="shared" si="1"/>
        <v>31.335400000000014</v>
      </c>
    </row>
    <row r="7" spans="2:10" x14ac:dyDescent="0.25">
      <c r="B7" s="115" t="s">
        <v>132</v>
      </c>
      <c r="C7" s="116">
        <f>C6/C$4</f>
        <v>0.93668248678851529</v>
      </c>
      <c r="D7" s="116">
        <f>D6/D$4</f>
        <v>0.90735378633515096</v>
      </c>
      <c r="E7" s="116">
        <f>E6/E$4</f>
        <v>0.72604828222610851</v>
      </c>
      <c r="F7" s="116">
        <f>F6/F$4</f>
        <v>0.6898226165988175</v>
      </c>
      <c r="G7" s="116">
        <f t="shared" ref="G7:I7" si="2">G6/G$4</f>
        <v>0.68438591129263804</v>
      </c>
      <c r="H7" s="116">
        <f t="shared" si="2"/>
        <v>0.88074120092709862</v>
      </c>
      <c r="I7" s="116">
        <f t="shared" si="2"/>
        <v>0.75372951233709706</v>
      </c>
    </row>
    <row r="8" spans="2:10" x14ac:dyDescent="0.25">
      <c r="B8" s="2" t="s">
        <v>239</v>
      </c>
      <c r="C8" s="169">
        <f>([95]Kayathar!D11)/100</f>
        <v>9.0416999999999987</v>
      </c>
      <c r="D8" s="169">
        <f>([95]Kayathar!E11)/100</f>
        <v>11.468599999999999</v>
      </c>
      <c r="E8" s="169">
        <f>([95]Kayathar!F11)/100</f>
        <v>11.2979</v>
      </c>
      <c r="F8" s="169">
        <f>([95]Kayathar!G11)/100</f>
        <v>11.3154</v>
      </c>
      <c r="G8" s="169">
        <f>([95]Kayathar!H11)/100</f>
        <v>11.761600000000001</v>
      </c>
      <c r="H8" s="169">
        <f>([95]Kayathar!I11)/100</f>
        <v>11.7173</v>
      </c>
      <c r="I8" s="169">
        <f>([95]Kayathar!J11)/100</f>
        <v>11.719100000000001</v>
      </c>
    </row>
    <row r="9" spans="2:10" x14ac:dyDescent="0.25">
      <c r="B9" s="57" t="s">
        <v>134</v>
      </c>
      <c r="C9" s="104">
        <f t="shared" ref="C9:I9" si="3">C6-C8</f>
        <v>18.786200000000001</v>
      </c>
      <c r="D9" s="104">
        <f t="shared" si="3"/>
        <v>21.528499999999998</v>
      </c>
      <c r="E9" s="104">
        <f t="shared" si="3"/>
        <v>19.466000000000008</v>
      </c>
      <c r="F9" s="104">
        <f t="shared" si="3"/>
        <v>28.759499999999999</v>
      </c>
      <c r="G9" s="104">
        <f t="shared" si="3"/>
        <v>25.186000000000007</v>
      </c>
      <c r="H9" s="104">
        <f t="shared" si="3"/>
        <v>25.142599999999995</v>
      </c>
      <c r="I9" s="104">
        <f t="shared" si="3"/>
        <v>19.616300000000013</v>
      </c>
    </row>
    <row r="10" spans="2:10" x14ac:dyDescent="0.25">
      <c r="B10" s="115" t="s">
        <v>135</v>
      </c>
      <c r="C10" s="116">
        <f>C9/C$4</f>
        <v>0.63234036823858097</v>
      </c>
      <c r="D10" s="116">
        <f>D9/D$4</f>
        <v>0.59199038670417392</v>
      </c>
      <c r="E10" s="116">
        <f>E9/E$4</f>
        <v>0.45941040836218527</v>
      </c>
      <c r="F10" s="116">
        <f>F9/F$4</f>
        <v>0.49504686330031245</v>
      </c>
      <c r="G10" s="116">
        <f t="shared" ref="G10:I10" si="4">G9/G$4</f>
        <v>0.46652403841701173</v>
      </c>
      <c r="H10" s="116">
        <f t="shared" si="4"/>
        <v>0.60076461733291919</v>
      </c>
      <c r="I10" s="116">
        <f t="shared" si="4"/>
        <v>0.47184284332921234</v>
      </c>
    </row>
    <row r="11" spans="2:10" x14ac:dyDescent="0.25">
      <c r="B11" s="2" t="s">
        <v>240</v>
      </c>
      <c r="C11" s="169">
        <f>([95]Kayathar!D10)/100</f>
        <v>9.4946000000000002</v>
      </c>
      <c r="D11" s="169">
        <f>([95]Kayathar!E10)/100</f>
        <v>14.9693</v>
      </c>
      <c r="E11" s="169">
        <f>([95]Kayathar!F10)/100</f>
        <v>38.884899999999995</v>
      </c>
      <c r="F11" s="169">
        <f>([95]Kayathar!G10)/100</f>
        <v>36.411500000000004</v>
      </c>
      <c r="G11" s="169">
        <f>([95]Kayathar!H10)/100</f>
        <v>33.162399999999998</v>
      </c>
      <c r="H11" s="169">
        <f>([95]Kayathar!I10)/100</f>
        <v>32.2453</v>
      </c>
      <c r="I11" s="169">
        <f>([95]Kayathar!J10)/100</f>
        <v>13.583399999999999</v>
      </c>
    </row>
    <row r="12" spans="2:10" x14ac:dyDescent="0.25">
      <c r="B12" s="57" t="s">
        <v>136</v>
      </c>
      <c r="C12" s="104">
        <f t="shared" ref="C12:I12" si="5">C9-C11</f>
        <v>9.2916000000000007</v>
      </c>
      <c r="D12" s="104">
        <f t="shared" si="5"/>
        <v>6.559199999999997</v>
      </c>
      <c r="E12" s="104">
        <f t="shared" si="5"/>
        <v>-19.418899999999987</v>
      </c>
      <c r="F12" s="104">
        <f t="shared" si="5"/>
        <v>-7.6520000000000046</v>
      </c>
      <c r="G12" s="104">
        <f t="shared" si="5"/>
        <v>-7.9763999999999911</v>
      </c>
      <c r="H12" s="104">
        <f t="shared" si="5"/>
        <v>-7.1027000000000058</v>
      </c>
      <c r="I12" s="104">
        <f t="shared" si="5"/>
        <v>6.0329000000000139</v>
      </c>
    </row>
    <row r="13" spans="2:10" x14ac:dyDescent="0.25">
      <c r="B13" s="115" t="s">
        <v>137</v>
      </c>
      <c r="C13" s="116">
        <f>C12/C$4</f>
        <v>0.31275371099666771</v>
      </c>
      <c r="D13" s="116">
        <f>D12/D$4</f>
        <v>0.18036478827925848</v>
      </c>
      <c r="E13" s="116">
        <f>E12/E$4</f>
        <v>-0.45829881737102796</v>
      </c>
      <c r="F13" s="116">
        <f>F12/F$4</f>
        <v>-0.13171642754477628</v>
      </c>
      <c r="G13" s="116">
        <f t="shared" ref="G13:I13" si="6">G12/G$4</f>
        <v>-0.14774804812314171</v>
      </c>
      <c r="H13" s="116">
        <f t="shared" si="6"/>
        <v>-0.16971398532890511</v>
      </c>
      <c r="I13" s="116">
        <f t="shared" si="6"/>
        <v>0.14511302791662087</v>
      </c>
    </row>
    <row r="14" spans="2:10" x14ac:dyDescent="0.25">
      <c r="B14" s="2" t="s">
        <v>241</v>
      </c>
      <c r="C14" s="169">
        <f>([95]Kayathar!D22)/100</f>
        <v>-3.4300000000000004E-2</v>
      </c>
      <c r="D14" s="169">
        <f>([95]Kayathar!E22)/100</f>
        <v>-2.7200000000000002E-2</v>
      </c>
      <c r="E14" s="169">
        <f>([95]Kayathar!F22)/100</f>
        <v>-2.1099999999999997E-2</v>
      </c>
      <c r="F14" s="169">
        <f>([95]Kayathar!G22)/100</f>
        <v>-2.1099999999999997E-2</v>
      </c>
      <c r="G14" s="169">
        <f>([95]Kayathar!H22)/100</f>
        <v>-2.3799999999999998E-2</v>
      </c>
      <c r="H14" s="169">
        <f>([95]Kayathar!I22)/100</f>
        <v>-3.1699999999999999E-2</v>
      </c>
      <c r="I14" s="169">
        <f>([95]Kayathar!J22)/100</f>
        <v>-4.2199999999999994E-2</v>
      </c>
    </row>
    <row r="15" spans="2:10" x14ac:dyDescent="0.25">
      <c r="B15" s="57" t="s">
        <v>144</v>
      </c>
      <c r="C15" s="104">
        <f t="shared" ref="C15:I15" si="7">C12-C14</f>
        <v>9.3259000000000007</v>
      </c>
      <c r="D15" s="104">
        <f t="shared" si="7"/>
        <v>6.5863999999999967</v>
      </c>
      <c r="E15" s="104">
        <f t="shared" si="7"/>
        <v>-19.397799999999986</v>
      </c>
      <c r="F15" s="104">
        <f t="shared" si="7"/>
        <v>-7.6309000000000049</v>
      </c>
      <c r="G15" s="104">
        <f t="shared" si="7"/>
        <v>-7.9525999999999915</v>
      </c>
      <c r="H15" s="104">
        <f t="shared" si="7"/>
        <v>-7.0710000000000059</v>
      </c>
      <c r="I15" s="104">
        <f t="shared" si="7"/>
        <v>6.0751000000000142</v>
      </c>
    </row>
    <row r="16" spans="2:10" x14ac:dyDescent="0.25">
      <c r="B16" s="115" t="s">
        <v>145</v>
      </c>
      <c r="C16" s="116">
        <f>C15/C$4</f>
        <v>0.31390824329327816</v>
      </c>
      <c r="D16" s="116">
        <f>D15/D$4</f>
        <v>0.18111273349227161</v>
      </c>
      <c r="E16" s="116">
        <f>E15/E$4</f>
        <v>-0.45780084348751604</v>
      </c>
      <c r="F16" s="116">
        <f>F15/F$4</f>
        <v>-0.1313532262090216</v>
      </c>
      <c r="G16" s="116">
        <f t="shared" ref="G16:I16" si="8">G15/G$4</f>
        <v>-0.14730719716966262</v>
      </c>
      <c r="H16" s="116">
        <f t="shared" si="8"/>
        <v>-0.16895653628348206</v>
      </c>
      <c r="I16" s="116">
        <f t="shared" si="8"/>
        <v>0.14612809028763338</v>
      </c>
    </row>
    <row r="17" spans="5:6" x14ac:dyDescent="0.25">
      <c r="E17" s="164"/>
      <c r="F17" s="164"/>
    </row>
    <row r="18" spans="5:6" x14ac:dyDescent="0.25">
      <c r="E18" s="164"/>
      <c r="F18" s="164"/>
    </row>
    <row r="21" spans="5:6" x14ac:dyDescent="0.25">
      <c r="E21" s="164"/>
      <c r="F21" s="1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7603-B570-4A01-AE28-8EF851B1702E}">
  <dimension ref="A1:T72"/>
  <sheetViews>
    <sheetView topLeftCell="G1" zoomScaleNormal="100" workbookViewId="0">
      <pane ySplit="4" topLeftCell="A5" activePane="bottomLeft" state="frozen"/>
      <selection pane="bottomLeft" activeCell="H13" sqref="H13"/>
    </sheetView>
  </sheetViews>
  <sheetFormatPr defaultRowHeight="15" outlineLevelCol="1" x14ac:dyDescent="0.25"/>
  <cols>
    <col min="1" max="1" width="32.28515625" bestFit="1" customWidth="1"/>
    <col min="2" max="2" width="8" bestFit="1" customWidth="1" outlineLevel="1"/>
    <col min="3" max="20" width="13.42578125" bestFit="1" customWidth="1"/>
    <col min="21" max="26" width="2" bestFit="1" customWidth="1"/>
  </cols>
  <sheetData>
    <row r="1" spans="1:20" x14ac:dyDescent="0.25">
      <c r="A1" s="2" t="str">
        <f>Assumptions!A1</f>
        <v>Plant Year</v>
      </c>
      <c r="B1" s="2"/>
      <c r="C1" s="3">
        <f>Assumptions!M1</f>
        <v>8</v>
      </c>
      <c r="D1" s="3">
        <f>Assumptions!N1</f>
        <v>9</v>
      </c>
      <c r="E1" s="3">
        <f>Assumptions!O1</f>
        <v>10</v>
      </c>
      <c r="F1" s="3">
        <f>Assumptions!P1</f>
        <v>11</v>
      </c>
      <c r="G1" s="3">
        <f>Assumptions!Q1</f>
        <v>12</v>
      </c>
      <c r="H1" s="3">
        <f>Assumptions!R1</f>
        <v>13</v>
      </c>
      <c r="I1" s="3">
        <f>Assumptions!S1</f>
        <v>14</v>
      </c>
      <c r="J1" s="3">
        <f>Assumptions!T1</f>
        <v>15</v>
      </c>
      <c r="K1" s="3">
        <f>Assumptions!U1</f>
        <v>16</v>
      </c>
      <c r="L1" s="3">
        <f>Assumptions!V1</f>
        <v>17</v>
      </c>
      <c r="M1" s="3">
        <f>Assumptions!W1</f>
        <v>18</v>
      </c>
      <c r="N1" s="3">
        <f>Assumptions!X1</f>
        <v>19</v>
      </c>
      <c r="O1" s="3">
        <f>Assumptions!Y1</f>
        <v>20</v>
      </c>
      <c r="P1" s="3">
        <f>Assumptions!Z1</f>
        <v>21</v>
      </c>
      <c r="Q1" s="3">
        <f>Assumptions!AA1</f>
        <v>22</v>
      </c>
      <c r="R1" s="3">
        <f>Assumptions!AB1</f>
        <v>23</v>
      </c>
      <c r="S1" s="3">
        <f>Assumptions!AC1</f>
        <v>24</v>
      </c>
      <c r="T1" s="3">
        <f>Assumptions!AD1</f>
        <v>25</v>
      </c>
    </row>
    <row r="2" spans="1:20" x14ac:dyDescent="0.25">
      <c r="A2" s="2" t="str">
        <f>Assumptions!A2</f>
        <v>Projecton Year</v>
      </c>
      <c r="B2" s="2"/>
      <c r="C2" s="3"/>
      <c r="D2" s="3">
        <f>Assumptions!N2</f>
        <v>1</v>
      </c>
      <c r="E2" s="3">
        <f>Assumptions!O2</f>
        <v>2</v>
      </c>
      <c r="F2" s="3">
        <f>Assumptions!P2</f>
        <v>3</v>
      </c>
      <c r="G2" s="3">
        <f>Assumptions!Q2</f>
        <v>4</v>
      </c>
      <c r="H2" s="3">
        <f>Assumptions!R2</f>
        <v>5</v>
      </c>
      <c r="I2" s="3">
        <f>Assumptions!S2</f>
        <v>6</v>
      </c>
      <c r="J2" s="3">
        <f>Assumptions!T2</f>
        <v>7</v>
      </c>
      <c r="K2" s="3">
        <f>Assumptions!U2</f>
        <v>8</v>
      </c>
      <c r="L2" s="3">
        <f>Assumptions!V2</f>
        <v>9</v>
      </c>
      <c r="M2" s="3">
        <f>Assumptions!W2</f>
        <v>10</v>
      </c>
      <c r="N2" s="3">
        <f>Assumptions!X2</f>
        <v>11</v>
      </c>
      <c r="O2" s="3">
        <f>Assumptions!Y2</f>
        <v>12</v>
      </c>
      <c r="P2" s="3">
        <f>Assumptions!Z2</f>
        <v>13</v>
      </c>
      <c r="Q2" s="3">
        <f>Assumptions!AA2</f>
        <v>14</v>
      </c>
      <c r="R2" s="3">
        <f>Assumptions!AB2</f>
        <v>15</v>
      </c>
      <c r="S2" s="3">
        <f>Assumptions!AC2</f>
        <v>16</v>
      </c>
      <c r="T2" s="3">
        <f>Assumptions!AD2</f>
        <v>17</v>
      </c>
    </row>
    <row r="3" spans="1:20" x14ac:dyDescent="0.25">
      <c r="A3" s="2" t="str">
        <f>Assumptions!A3</f>
        <v>No. of Days</v>
      </c>
      <c r="B3" s="2"/>
      <c r="C3" s="3">
        <f>Assumptions!M3</f>
        <v>365</v>
      </c>
      <c r="D3" s="3">
        <f>Assumptions!N3</f>
        <v>365</v>
      </c>
      <c r="E3" s="3">
        <f>Assumptions!O3</f>
        <v>366</v>
      </c>
      <c r="F3" s="3">
        <f>Assumptions!P3</f>
        <v>365</v>
      </c>
      <c r="G3" s="3">
        <f>Assumptions!Q3</f>
        <v>365</v>
      </c>
      <c r="H3" s="3">
        <f>Assumptions!R3</f>
        <v>365</v>
      </c>
      <c r="I3" s="3">
        <f>Assumptions!S3</f>
        <v>366</v>
      </c>
      <c r="J3" s="3">
        <f>Assumptions!T3</f>
        <v>365</v>
      </c>
      <c r="K3" s="3">
        <f>Assumptions!U3</f>
        <v>365</v>
      </c>
      <c r="L3" s="3">
        <f>Assumptions!V3</f>
        <v>365</v>
      </c>
      <c r="M3" s="3">
        <f>Assumptions!W3</f>
        <v>366</v>
      </c>
      <c r="N3" s="3">
        <f>Assumptions!X3</f>
        <v>365</v>
      </c>
      <c r="O3" s="3">
        <f>Assumptions!Y3</f>
        <v>365</v>
      </c>
      <c r="P3" s="3">
        <f>Assumptions!Z3</f>
        <v>365</v>
      </c>
      <c r="Q3" s="3">
        <f>Assumptions!AA3</f>
        <v>366</v>
      </c>
      <c r="R3" s="3">
        <f>Assumptions!AB3</f>
        <v>365</v>
      </c>
      <c r="S3" s="3">
        <f>Assumptions!AC3</f>
        <v>365</v>
      </c>
      <c r="T3" s="3">
        <f>Assumptions!AD3</f>
        <v>365</v>
      </c>
    </row>
    <row r="4" spans="1:20" x14ac:dyDescent="0.25">
      <c r="A4" s="2" t="str">
        <f>Assumptions!A4</f>
        <v>Year End</v>
      </c>
      <c r="B4" s="100"/>
      <c r="C4" s="4">
        <f>Assumptions!M4</f>
        <v>44651</v>
      </c>
      <c r="D4" s="4">
        <f>Assumptions!N4</f>
        <v>45016</v>
      </c>
      <c r="E4" s="4">
        <f>Assumptions!O4</f>
        <v>45382</v>
      </c>
      <c r="F4" s="4">
        <f>Assumptions!P4</f>
        <v>45747</v>
      </c>
      <c r="G4" s="4">
        <f>Assumptions!Q4</f>
        <v>46112</v>
      </c>
      <c r="H4" s="4">
        <f>Assumptions!R4</f>
        <v>46477</v>
      </c>
      <c r="I4" s="4">
        <f>Assumptions!S4</f>
        <v>46843</v>
      </c>
      <c r="J4" s="4">
        <f>Assumptions!T4</f>
        <v>47208</v>
      </c>
      <c r="K4" s="4">
        <f>Assumptions!U4</f>
        <v>47573</v>
      </c>
      <c r="L4" s="4">
        <f>Assumptions!V4</f>
        <v>47938</v>
      </c>
      <c r="M4" s="4">
        <f>Assumptions!W4</f>
        <v>48304</v>
      </c>
      <c r="N4" s="4">
        <f>Assumptions!X4</f>
        <v>48669</v>
      </c>
      <c r="O4" s="4">
        <f>Assumptions!Y4</f>
        <v>49034</v>
      </c>
      <c r="P4" s="4">
        <f>Assumptions!Z4</f>
        <v>49399</v>
      </c>
      <c r="Q4" s="4">
        <f>Assumptions!AA4</f>
        <v>49765</v>
      </c>
      <c r="R4" s="4">
        <f>Assumptions!AB4</f>
        <v>50130</v>
      </c>
      <c r="S4" s="4">
        <f>Assumptions!AC4</f>
        <v>50495</v>
      </c>
      <c r="T4" s="4">
        <f>Assumptions!AD4</f>
        <v>50860</v>
      </c>
    </row>
    <row r="5" spans="1:20" x14ac:dyDescent="0.25">
      <c r="B5" s="102"/>
    </row>
    <row r="6" spans="1:20" x14ac:dyDescent="0.25">
      <c r="A6" s="109" t="s">
        <v>121</v>
      </c>
      <c r="B6" s="107"/>
      <c r="C6" s="108"/>
      <c r="D6" s="108">
        <f>Assumptions!$C$19</f>
        <v>0.22</v>
      </c>
      <c r="E6" s="108">
        <f>Assumptions!$C$19</f>
        <v>0.22</v>
      </c>
      <c r="F6" s="108">
        <f>Assumptions!$C$19</f>
        <v>0.22</v>
      </c>
      <c r="G6" s="108">
        <f>Assumptions!$C$19</f>
        <v>0.22</v>
      </c>
      <c r="H6" s="108">
        <f>Assumptions!$C$19</f>
        <v>0.22</v>
      </c>
      <c r="I6" s="108">
        <f>Assumptions!$C$19</f>
        <v>0.22</v>
      </c>
      <c r="J6" s="108">
        <f>Assumptions!$C$19</f>
        <v>0.22</v>
      </c>
      <c r="K6" s="108">
        <f>Assumptions!$C$19</f>
        <v>0.22</v>
      </c>
      <c r="L6" s="108">
        <f>Assumptions!$C$19</f>
        <v>0.22</v>
      </c>
      <c r="M6" s="108">
        <f>Assumptions!$C$19</f>
        <v>0.22</v>
      </c>
      <c r="N6" s="108">
        <f>Assumptions!$C$19</f>
        <v>0.22</v>
      </c>
      <c r="O6" s="108">
        <f>Assumptions!$C$19</f>
        <v>0.22</v>
      </c>
      <c r="P6" s="108">
        <f>Assumptions!$C$19</f>
        <v>0.22</v>
      </c>
      <c r="Q6" s="108">
        <f>Assumptions!$C$19</f>
        <v>0.22</v>
      </c>
      <c r="R6" s="108">
        <f>Assumptions!$C$19</f>
        <v>0.22</v>
      </c>
      <c r="S6" s="108">
        <f>Assumptions!$C$19</f>
        <v>0.22</v>
      </c>
      <c r="T6" s="108">
        <f>Assumptions!$C$19</f>
        <v>0.22</v>
      </c>
    </row>
    <row r="8" spans="1:20" x14ac:dyDescent="0.25">
      <c r="A8" s="88" t="s">
        <v>116</v>
      </c>
    </row>
    <row r="9" spans="1:20" x14ac:dyDescent="0.25">
      <c r="A9" s="2" t="s">
        <v>117</v>
      </c>
      <c r="B9" s="2"/>
      <c r="C9" s="2"/>
      <c r="D9" s="2">
        <f>(Assumptions!$C$18*D6)*(24*'RKA P&amp;L'!D3*1000)</f>
        <v>72270000</v>
      </c>
      <c r="E9" s="2">
        <f>(Assumptions!$C$18*E6)*(24*'RKA P&amp;L'!E3*1000)</f>
        <v>72468000</v>
      </c>
      <c r="F9" s="2">
        <f>(Assumptions!$C$18*F6)*(24*'RKA P&amp;L'!F3*1000)</f>
        <v>72270000</v>
      </c>
      <c r="G9" s="2">
        <f>(Assumptions!$C$18*G6)*(24*'RKA P&amp;L'!G3*1000)</f>
        <v>72270000</v>
      </c>
      <c r="H9" s="2">
        <f>(Assumptions!$C$18*H6)*(24*'RKA P&amp;L'!H3*1000)</f>
        <v>72270000</v>
      </c>
      <c r="I9" s="2">
        <f>(Assumptions!$C$18*I6)*(24*'RKA P&amp;L'!I3*1000)</f>
        <v>72468000</v>
      </c>
      <c r="J9" s="2">
        <f>(Assumptions!$C$18*J6)*(24*'RKA P&amp;L'!J3*1000)</f>
        <v>72270000</v>
      </c>
      <c r="K9" s="2">
        <f>(Assumptions!$C$18*K6)*(24*'RKA P&amp;L'!K3*1000)</f>
        <v>72270000</v>
      </c>
      <c r="L9" s="2">
        <f>(Assumptions!$C$18*L6)*(24*'RKA P&amp;L'!L3*1000)</f>
        <v>72270000</v>
      </c>
      <c r="M9" s="2">
        <f>(Assumptions!$C$18*M6)*(24*'RKA P&amp;L'!M3*1000)</f>
        <v>72468000</v>
      </c>
      <c r="N9" s="2">
        <f>(Assumptions!$C$18*N6)*(24*'RKA P&amp;L'!N3*1000)</f>
        <v>72270000</v>
      </c>
      <c r="O9" s="2">
        <f>(Assumptions!$C$18*O6)*(24*'RKA P&amp;L'!O3*1000)</f>
        <v>72270000</v>
      </c>
      <c r="P9" s="2">
        <f>(Assumptions!$C$18*P6)*(24*'RKA P&amp;L'!P3*1000)</f>
        <v>72270000</v>
      </c>
      <c r="Q9" s="2">
        <f>(Assumptions!$C$18*Q6)*(24*'RKA P&amp;L'!Q3*1000)</f>
        <v>72468000</v>
      </c>
      <c r="R9" s="2">
        <f>(Assumptions!$C$18*R6)*(24*'RKA P&amp;L'!R3*1000)</f>
        <v>72270000</v>
      </c>
      <c r="S9" s="2">
        <f>(Assumptions!$C$18*S6)*(24*'RKA P&amp;L'!S3*1000)</f>
        <v>72270000</v>
      </c>
      <c r="T9" s="2">
        <f>(Assumptions!$C$18*T6)*(24*'RKA P&amp;L'!T3*1000)</f>
        <v>72270000</v>
      </c>
    </row>
    <row r="10" spans="1:20" x14ac:dyDescent="0.25">
      <c r="A10" s="2" t="str">
        <f>Assumptions!A21</f>
        <v>Auxiliary Consumption</v>
      </c>
      <c r="B10" s="2"/>
      <c r="C10" s="2"/>
      <c r="D10" s="2">
        <f>D9*Assumptions!$C$21</f>
        <v>36135</v>
      </c>
      <c r="E10" s="2">
        <f>E9*Assumptions!$C$21</f>
        <v>36234</v>
      </c>
      <c r="F10" s="2">
        <f>F9*Assumptions!$C$21</f>
        <v>36135</v>
      </c>
      <c r="G10" s="2">
        <f>G9*Assumptions!$C$21</f>
        <v>36135</v>
      </c>
      <c r="H10" s="2">
        <f>H9*Assumptions!$C$21</f>
        <v>36135</v>
      </c>
      <c r="I10" s="2">
        <f>I9*Assumptions!$C$21</f>
        <v>36234</v>
      </c>
      <c r="J10" s="2">
        <f>J9*Assumptions!$C$21</f>
        <v>36135</v>
      </c>
      <c r="K10" s="2">
        <f>K9*Assumptions!$C$21</f>
        <v>36135</v>
      </c>
      <c r="L10" s="2">
        <f>L9*Assumptions!$C$21</f>
        <v>36135</v>
      </c>
      <c r="M10" s="2">
        <f>M9*Assumptions!$C$21</f>
        <v>36234</v>
      </c>
      <c r="N10" s="2">
        <f>N9*Assumptions!$C$21</f>
        <v>36135</v>
      </c>
      <c r="O10" s="2">
        <f>O9*Assumptions!$C$21</f>
        <v>36135</v>
      </c>
      <c r="P10" s="2">
        <f>P9*Assumptions!$C$21</f>
        <v>36135</v>
      </c>
      <c r="Q10" s="2">
        <f>Q9*Assumptions!$C$21</f>
        <v>36234</v>
      </c>
      <c r="R10" s="2">
        <f>R9*Assumptions!$C$21</f>
        <v>36135</v>
      </c>
      <c r="S10" s="2">
        <f>S9*Assumptions!$C$21</f>
        <v>36135</v>
      </c>
      <c r="T10" s="2">
        <f>T9*Assumptions!$C$21</f>
        <v>36135</v>
      </c>
    </row>
    <row r="11" spans="1:20" x14ac:dyDescent="0.25">
      <c r="A11" s="81" t="s">
        <v>118</v>
      </c>
      <c r="B11" s="2"/>
      <c r="C11" s="81"/>
      <c r="D11" s="81">
        <f t="shared" ref="D11:R11" si="0">D9-D10</f>
        <v>72233865</v>
      </c>
      <c r="E11" s="81">
        <f t="shared" si="0"/>
        <v>72431766</v>
      </c>
      <c r="F11" s="81">
        <f t="shared" si="0"/>
        <v>72233865</v>
      </c>
      <c r="G11" s="81">
        <f t="shared" si="0"/>
        <v>72233865</v>
      </c>
      <c r="H11" s="81">
        <f t="shared" si="0"/>
        <v>72233865</v>
      </c>
      <c r="I11" s="81">
        <f t="shared" si="0"/>
        <v>72431766</v>
      </c>
      <c r="J11" s="81">
        <f t="shared" si="0"/>
        <v>72233865</v>
      </c>
      <c r="K11" s="81">
        <f t="shared" si="0"/>
        <v>72233865</v>
      </c>
      <c r="L11" s="81">
        <f t="shared" si="0"/>
        <v>72233865</v>
      </c>
      <c r="M11" s="81">
        <f t="shared" si="0"/>
        <v>72431766</v>
      </c>
      <c r="N11" s="81">
        <f t="shared" si="0"/>
        <v>72233865</v>
      </c>
      <c r="O11" s="81">
        <f t="shared" si="0"/>
        <v>72233865</v>
      </c>
      <c r="P11" s="81">
        <f t="shared" si="0"/>
        <v>72233865</v>
      </c>
      <c r="Q11" s="81">
        <f t="shared" si="0"/>
        <v>72431766</v>
      </c>
      <c r="R11" s="81">
        <f t="shared" si="0"/>
        <v>72233865</v>
      </c>
      <c r="S11" s="81">
        <f t="shared" ref="S11:T11" si="1">S9-S10</f>
        <v>72233865</v>
      </c>
      <c r="T11" s="81">
        <f t="shared" si="1"/>
        <v>72233865</v>
      </c>
    </row>
    <row r="13" spans="1:20" x14ac:dyDescent="0.25">
      <c r="A13" s="81" t="s">
        <v>119</v>
      </c>
      <c r="B13" s="105"/>
      <c r="C13" s="104"/>
      <c r="D13" s="104">
        <f>Assumptions!N29</f>
        <v>5.81</v>
      </c>
      <c r="E13" s="104">
        <f>Assumptions!O29</f>
        <v>5.81</v>
      </c>
      <c r="F13" s="104">
        <f>Assumptions!P29</f>
        <v>5.81</v>
      </c>
      <c r="G13" s="104">
        <f>Assumptions!Q29</f>
        <v>5.81</v>
      </c>
      <c r="H13" s="104">
        <f>Assumptions!R29</f>
        <v>5.81</v>
      </c>
      <c r="I13" s="104">
        <f>Assumptions!S29</f>
        <v>2.75</v>
      </c>
      <c r="J13" s="104">
        <f>Assumptions!T29</f>
        <v>2.75</v>
      </c>
      <c r="K13" s="104">
        <f>Assumptions!U29</f>
        <v>2.75</v>
      </c>
      <c r="L13" s="104">
        <f>Assumptions!V29</f>
        <v>2.75</v>
      </c>
      <c r="M13" s="104">
        <f>Assumptions!W29</f>
        <v>2.75</v>
      </c>
      <c r="N13" s="104">
        <f>Assumptions!X29</f>
        <v>2.75</v>
      </c>
      <c r="O13" s="104">
        <f>Assumptions!Y29</f>
        <v>2.75</v>
      </c>
      <c r="P13" s="104">
        <f>Assumptions!Z29</f>
        <v>2.75</v>
      </c>
      <c r="Q13" s="104">
        <f>Assumptions!AA29</f>
        <v>2.75</v>
      </c>
      <c r="R13" s="104">
        <f>Assumptions!AB29</f>
        <v>2.75</v>
      </c>
      <c r="S13" s="104">
        <f>Assumptions!AC29</f>
        <v>2.75</v>
      </c>
      <c r="T13" s="104">
        <f>Assumptions!AD29</f>
        <v>2.75</v>
      </c>
    </row>
    <row r="15" spans="1:20" x14ac:dyDescent="0.25">
      <c r="A15" s="88" t="s">
        <v>120</v>
      </c>
    </row>
    <row r="16" spans="1:20" x14ac:dyDescent="0.25">
      <c r="A16" s="2" t="s">
        <v>212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113" t="s">
        <v>210</v>
      </c>
      <c r="B17" s="2"/>
      <c r="C17" s="75"/>
      <c r="D17" s="75">
        <f t="shared" ref="D17:R17" si="2">(D11*D13)/(10^7)</f>
        <v>41.967875565</v>
      </c>
      <c r="E17" s="75">
        <f t="shared" si="2"/>
        <v>42.082856045999996</v>
      </c>
      <c r="F17" s="75">
        <f t="shared" si="2"/>
        <v>41.967875565</v>
      </c>
      <c r="G17" s="75">
        <f t="shared" si="2"/>
        <v>41.967875565</v>
      </c>
      <c r="H17" s="75">
        <f t="shared" si="2"/>
        <v>41.967875565</v>
      </c>
      <c r="I17" s="75">
        <f t="shared" si="2"/>
        <v>19.918735649999999</v>
      </c>
      <c r="J17" s="75">
        <f t="shared" si="2"/>
        <v>19.864312875</v>
      </c>
      <c r="K17" s="75">
        <f t="shared" si="2"/>
        <v>19.864312875</v>
      </c>
      <c r="L17" s="75">
        <f t="shared" si="2"/>
        <v>19.864312875</v>
      </c>
      <c r="M17" s="75">
        <f t="shared" si="2"/>
        <v>19.918735649999999</v>
      </c>
      <c r="N17" s="75">
        <f t="shared" si="2"/>
        <v>19.864312875</v>
      </c>
      <c r="O17" s="75">
        <f t="shared" si="2"/>
        <v>19.864312875</v>
      </c>
      <c r="P17" s="75">
        <f t="shared" si="2"/>
        <v>19.864312875</v>
      </c>
      <c r="Q17" s="75">
        <f t="shared" si="2"/>
        <v>19.918735649999999</v>
      </c>
      <c r="R17" s="75">
        <f t="shared" si="2"/>
        <v>19.864312875</v>
      </c>
      <c r="S17" s="75">
        <f t="shared" ref="S17:T17" si="3">(S11*S13)/(10^7)</f>
        <v>19.864312875</v>
      </c>
      <c r="T17" s="75">
        <f t="shared" si="3"/>
        <v>19.864312875</v>
      </c>
    </row>
    <row r="18" spans="1:20" ht="15.75" thickBot="1" x14ac:dyDescent="0.3">
      <c r="A18" s="113" t="s">
        <v>211</v>
      </c>
      <c r="B18" s="2"/>
      <c r="C18" s="75"/>
      <c r="D18" s="152">
        <f>(D11*Assumptions!$C$31)/(10^7)</f>
        <v>3.6116932500000001</v>
      </c>
      <c r="E18" s="152">
        <f>(E11*Assumptions!$C$31)/(10^7)</f>
        <v>3.6215883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x14ac:dyDescent="0.25">
      <c r="A19" s="113"/>
      <c r="B19" s="2"/>
      <c r="C19" s="75"/>
      <c r="D19" s="153">
        <f t="shared" ref="D19:R19" si="4">SUM(D17:D18)</f>
        <v>45.579568815000002</v>
      </c>
      <c r="E19" s="153">
        <f t="shared" si="4"/>
        <v>45.704444345999995</v>
      </c>
      <c r="F19" s="153">
        <f t="shared" si="4"/>
        <v>41.967875565</v>
      </c>
      <c r="G19" s="153">
        <f t="shared" si="4"/>
        <v>41.967875565</v>
      </c>
      <c r="H19" s="153">
        <f t="shared" si="4"/>
        <v>41.967875565</v>
      </c>
      <c r="I19" s="153">
        <f t="shared" si="4"/>
        <v>19.918735649999999</v>
      </c>
      <c r="J19" s="153">
        <f t="shared" si="4"/>
        <v>19.864312875</v>
      </c>
      <c r="K19" s="153">
        <f t="shared" si="4"/>
        <v>19.864312875</v>
      </c>
      <c r="L19" s="153">
        <f t="shared" si="4"/>
        <v>19.864312875</v>
      </c>
      <c r="M19" s="153">
        <f t="shared" si="4"/>
        <v>19.918735649999999</v>
      </c>
      <c r="N19" s="153">
        <f t="shared" si="4"/>
        <v>19.864312875</v>
      </c>
      <c r="O19" s="153">
        <f t="shared" si="4"/>
        <v>19.864312875</v>
      </c>
      <c r="P19" s="153">
        <f t="shared" si="4"/>
        <v>19.864312875</v>
      </c>
      <c r="Q19" s="153">
        <f t="shared" si="4"/>
        <v>19.918735649999999</v>
      </c>
      <c r="R19" s="153">
        <f t="shared" si="4"/>
        <v>19.864312875</v>
      </c>
      <c r="S19" s="153">
        <f t="shared" ref="S19:T19" si="5">SUM(S17:S18)</f>
        <v>19.864312875</v>
      </c>
      <c r="T19" s="153">
        <f t="shared" si="5"/>
        <v>19.864312875</v>
      </c>
    </row>
    <row r="20" spans="1:20" hidden="1" x14ac:dyDescent="0.25">
      <c r="A20" s="151" t="s">
        <v>213</v>
      </c>
      <c r="B20" s="2"/>
      <c r="C20" s="7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113" t="s">
        <v>124</v>
      </c>
      <c r="B21" s="2"/>
      <c r="C21" s="75"/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  <c r="T21" s="75">
        <f>Assumptions!C65</f>
        <v>3.1983160441018867</v>
      </c>
    </row>
    <row r="22" spans="1:20" x14ac:dyDescent="0.25">
      <c r="A22" s="81" t="s">
        <v>125</v>
      </c>
      <c r="B22" s="2"/>
      <c r="C22" s="75"/>
      <c r="D22" s="104">
        <f t="shared" ref="D22:T22" si="6">SUM(D19:D21)</f>
        <v>45.579568815000002</v>
      </c>
      <c r="E22" s="104">
        <f t="shared" si="6"/>
        <v>45.704444345999995</v>
      </c>
      <c r="F22" s="104">
        <f t="shared" si="6"/>
        <v>41.967875565</v>
      </c>
      <c r="G22" s="104">
        <f t="shared" si="6"/>
        <v>41.967875565</v>
      </c>
      <c r="H22" s="104">
        <f t="shared" si="6"/>
        <v>41.967875565</v>
      </c>
      <c r="I22" s="104">
        <f t="shared" si="6"/>
        <v>19.918735649999999</v>
      </c>
      <c r="J22" s="104">
        <f t="shared" si="6"/>
        <v>19.864312875</v>
      </c>
      <c r="K22" s="104">
        <f t="shared" si="6"/>
        <v>19.864312875</v>
      </c>
      <c r="L22" s="104">
        <f t="shared" si="6"/>
        <v>19.864312875</v>
      </c>
      <c r="M22" s="104">
        <f t="shared" si="6"/>
        <v>19.918735649999999</v>
      </c>
      <c r="N22" s="104">
        <f t="shared" si="6"/>
        <v>19.864312875</v>
      </c>
      <c r="O22" s="104">
        <f t="shared" si="6"/>
        <v>19.864312875</v>
      </c>
      <c r="P22" s="104">
        <f t="shared" si="6"/>
        <v>19.864312875</v>
      </c>
      <c r="Q22" s="104">
        <f t="shared" si="6"/>
        <v>19.918735649999999</v>
      </c>
      <c r="R22" s="104">
        <f t="shared" si="6"/>
        <v>19.864312875</v>
      </c>
      <c r="S22" s="104">
        <f t="shared" si="6"/>
        <v>19.864312875</v>
      </c>
      <c r="T22" s="104">
        <f t="shared" si="6"/>
        <v>23.062628919101886</v>
      </c>
    </row>
    <row r="23" spans="1:20" x14ac:dyDescent="0.25">
      <c r="A23" s="57" t="s">
        <v>126</v>
      </c>
      <c r="B23" s="2"/>
      <c r="C23" s="7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 t="s">
        <v>127</v>
      </c>
      <c r="B24" s="2"/>
      <c r="C24" s="75"/>
      <c r="D24" s="75">
        <f>Assumptions!C56*(1+Assumptions!$C$57)</f>
        <v>3.6960000000000002</v>
      </c>
      <c r="E24" s="75">
        <f>D24*(1+Assumptions!$C$57)</f>
        <v>3.8808000000000002</v>
      </c>
      <c r="F24" s="75">
        <f>E24*(1+Assumptions!$C$57)</f>
        <v>4.07484</v>
      </c>
      <c r="G24" s="75">
        <f>F24*(1+Assumptions!$C$57)</f>
        <v>4.2785820000000001</v>
      </c>
      <c r="H24" s="75">
        <f>G24*(1+Assumptions!$C$57)</f>
        <v>4.4925111000000006</v>
      </c>
      <c r="I24" s="75">
        <f>H24*(1+Assumptions!$C$57)</f>
        <v>4.7171366550000009</v>
      </c>
      <c r="J24" s="75">
        <f>I24*(1+Assumptions!$C$57)</f>
        <v>4.9529934877500015</v>
      </c>
      <c r="K24" s="75">
        <f>J24*(1+Assumptions!$C$57)</f>
        <v>5.200643162137502</v>
      </c>
      <c r="L24" s="75">
        <f>K24*(1+Assumptions!$C$57)</f>
        <v>5.460675320244377</v>
      </c>
      <c r="M24" s="75">
        <f>L24*(1+Assumptions!$C$57)</f>
        <v>5.7337090862565958</v>
      </c>
      <c r="N24" s="75">
        <f>M24*(1+Assumptions!$C$57)</f>
        <v>6.0203945405694261</v>
      </c>
      <c r="O24" s="75">
        <f>N24*(1+Assumptions!$C$57)</f>
        <v>6.3214142675978975</v>
      </c>
      <c r="P24" s="75">
        <f>O24*(1+Assumptions!$C$57)</f>
        <v>6.6374849809777929</v>
      </c>
      <c r="Q24" s="75">
        <f>P24*(1+Assumptions!$C$57)</f>
        <v>6.9693592300266829</v>
      </c>
      <c r="R24" s="75">
        <f>Q24*(1+Assumptions!$C$57)</f>
        <v>7.3178271915280177</v>
      </c>
      <c r="S24" s="75">
        <f>R24*(1+Assumptions!$C$57)</f>
        <v>7.6837185511044188</v>
      </c>
      <c r="T24" s="75">
        <f>S24*(1+Assumptions!$C$57)</f>
        <v>8.0679044786596403</v>
      </c>
    </row>
    <row r="25" spans="1:20" x14ac:dyDescent="0.25">
      <c r="A25" s="2" t="s">
        <v>128</v>
      </c>
      <c r="B25" s="2"/>
      <c r="C25" s="75"/>
      <c r="D25" s="75">
        <f>D19*Assumptions!$C$59</f>
        <v>0.45579568815000004</v>
      </c>
      <c r="E25" s="75">
        <f>E19*Assumptions!$C$59</f>
        <v>0.45704444345999995</v>
      </c>
      <c r="F25" s="75">
        <f>F19*Assumptions!$C$59</f>
        <v>0.41967875565000001</v>
      </c>
      <c r="G25" s="75">
        <f>G19*Assumptions!$C$59</f>
        <v>0.41967875565000001</v>
      </c>
      <c r="H25" s="75">
        <f>H19*Assumptions!$C$59</f>
        <v>0.41967875565000001</v>
      </c>
      <c r="I25" s="75">
        <f>I19*Assumptions!$C$59</f>
        <v>0.1991873565</v>
      </c>
      <c r="J25" s="75">
        <f>J19*Assumptions!$C$59</f>
        <v>0.19864312875000001</v>
      </c>
      <c r="K25" s="75">
        <f>K19*Assumptions!$C$59</f>
        <v>0.19864312875000001</v>
      </c>
      <c r="L25" s="75">
        <f>L19*Assumptions!$C$59</f>
        <v>0.19864312875000001</v>
      </c>
      <c r="M25" s="75">
        <f>M19*Assumptions!$C$59</f>
        <v>0.1991873565</v>
      </c>
      <c r="N25" s="75">
        <f>N19*Assumptions!$C$59</f>
        <v>0.19864312875000001</v>
      </c>
      <c r="O25" s="75">
        <f>O19*Assumptions!$C$59</f>
        <v>0.19864312875000001</v>
      </c>
      <c r="P25" s="75">
        <f>P19*Assumptions!$C$59</f>
        <v>0.19864312875000001</v>
      </c>
      <c r="Q25" s="75">
        <f>Q19*Assumptions!$C$59</f>
        <v>0.1991873565</v>
      </c>
      <c r="R25" s="75">
        <f>R19*Assumptions!$C$59</f>
        <v>0.19864312875000001</v>
      </c>
      <c r="S25" s="75">
        <f>S19*Assumptions!$C$59</f>
        <v>0.19864312875000001</v>
      </c>
      <c r="T25" s="75">
        <f>T19*Assumptions!$C$59</f>
        <v>0.19864312875000001</v>
      </c>
    </row>
    <row r="26" spans="1:20" ht="15.75" thickBot="1" x14ac:dyDescent="0.3">
      <c r="A26" s="2" t="s">
        <v>129</v>
      </c>
      <c r="B26" s="2"/>
      <c r="C26" s="75"/>
      <c r="D26" s="152">
        <f>D19*Assumptions!$C$60</f>
        <v>2.27897844075</v>
      </c>
      <c r="E26" s="152">
        <f>E19*Assumptions!$C$60</f>
        <v>2.2852222172999999</v>
      </c>
      <c r="F26" s="152">
        <f>F19*Assumptions!$C$60</f>
        <v>2.0983937782500002</v>
      </c>
      <c r="G26" s="152">
        <f>G19*Assumptions!$C$60</f>
        <v>2.0983937782500002</v>
      </c>
      <c r="H26" s="152">
        <f>H19*Assumptions!$C$60</f>
        <v>2.0983937782500002</v>
      </c>
      <c r="I26" s="152">
        <f>I19*Assumptions!$C$60</f>
        <v>0.99593678249999995</v>
      </c>
      <c r="J26" s="152">
        <f>J19*Assumptions!$C$60</f>
        <v>0.99321564375000004</v>
      </c>
      <c r="K26" s="152">
        <f>K19*Assumptions!$C$60</f>
        <v>0.99321564375000004</v>
      </c>
      <c r="L26" s="152">
        <f>L19*Assumptions!$C$60</f>
        <v>0.99321564375000004</v>
      </c>
      <c r="M26" s="152">
        <f>M19*Assumptions!$C$60</f>
        <v>0.99593678249999995</v>
      </c>
      <c r="N26" s="152">
        <f>N19*Assumptions!$C$60</f>
        <v>0.99321564375000004</v>
      </c>
      <c r="O26" s="152">
        <f>O19*Assumptions!$C$60</f>
        <v>0.99321564375000004</v>
      </c>
      <c r="P26" s="152">
        <f>P19*Assumptions!$C$60</f>
        <v>0.99321564375000004</v>
      </c>
      <c r="Q26" s="152">
        <f>Q19*Assumptions!$C$60</f>
        <v>0.99593678249999995</v>
      </c>
      <c r="R26" s="152">
        <f>R19*Assumptions!$C$60</f>
        <v>0.99321564375000004</v>
      </c>
      <c r="S26" s="152">
        <f>S19*Assumptions!$C$60</f>
        <v>0.99321564375000004</v>
      </c>
      <c r="T26" s="152">
        <f>T19*Assumptions!$C$60</f>
        <v>0.99321564375000004</v>
      </c>
    </row>
    <row r="27" spans="1:20" x14ac:dyDescent="0.25">
      <c r="A27" s="57" t="s">
        <v>130</v>
      </c>
      <c r="B27" s="2"/>
      <c r="C27" s="75"/>
      <c r="D27" s="154">
        <f t="shared" ref="D27:R27" si="7">SUM(D24:D26)</f>
        <v>6.4307741288999996</v>
      </c>
      <c r="E27" s="154">
        <f t="shared" si="7"/>
        <v>6.6230666607599993</v>
      </c>
      <c r="F27" s="154">
        <f t="shared" si="7"/>
        <v>6.5929125338999999</v>
      </c>
      <c r="G27" s="154">
        <f t="shared" si="7"/>
        <v>6.7966545339</v>
      </c>
      <c r="H27" s="154">
        <f t="shared" si="7"/>
        <v>7.0105836339000005</v>
      </c>
      <c r="I27" s="154">
        <f t="shared" si="7"/>
        <v>5.9122607940000016</v>
      </c>
      <c r="J27" s="154">
        <f t="shared" si="7"/>
        <v>6.1448522602500013</v>
      </c>
      <c r="K27" s="154">
        <f t="shared" si="7"/>
        <v>6.3925019346375018</v>
      </c>
      <c r="L27" s="154">
        <f t="shared" si="7"/>
        <v>6.6525340927443768</v>
      </c>
      <c r="M27" s="154">
        <f t="shared" si="7"/>
        <v>6.9288332252565965</v>
      </c>
      <c r="N27" s="154">
        <f t="shared" si="7"/>
        <v>7.212253313069426</v>
      </c>
      <c r="O27" s="154">
        <f t="shared" si="7"/>
        <v>7.5132730400978973</v>
      </c>
      <c r="P27" s="154">
        <f t="shared" si="7"/>
        <v>7.8293437534777928</v>
      </c>
      <c r="Q27" s="154">
        <f t="shared" si="7"/>
        <v>8.1644833690266836</v>
      </c>
      <c r="R27" s="154">
        <f t="shared" si="7"/>
        <v>8.5096859640280176</v>
      </c>
      <c r="S27" s="154">
        <f t="shared" ref="S27:T27" si="8">SUM(S24:S26)</f>
        <v>8.8755773236044178</v>
      </c>
      <c r="T27" s="154">
        <f t="shared" si="8"/>
        <v>9.2597632511596402</v>
      </c>
    </row>
    <row r="28" spans="1:20" x14ac:dyDescent="0.25">
      <c r="A28" s="81" t="s">
        <v>131</v>
      </c>
      <c r="B28" s="57"/>
      <c r="C28" s="2"/>
      <c r="D28" s="104">
        <f t="shared" ref="D28:T28" si="9">D22-D27</f>
        <v>39.148794686100004</v>
      </c>
      <c r="E28" s="104">
        <f t="shared" si="9"/>
        <v>39.08137768524</v>
      </c>
      <c r="F28" s="104">
        <f t="shared" si="9"/>
        <v>35.374963031100002</v>
      </c>
      <c r="G28" s="104">
        <f t="shared" si="9"/>
        <v>35.171221031100004</v>
      </c>
      <c r="H28" s="104">
        <f t="shared" si="9"/>
        <v>34.957291931100002</v>
      </c>
      <c r="I28" s="104">
        <f t="shared" si="9"/>
        <v>14.006474855999997</v>
      </c>
      <c r="J28" s="104">
        <f t="shared" si="9"/>
        <v>13.719460614749998</v>
      </c>
      <c r="K28" s="104">
        <f t="shared" si="9"/>
        <v>13.471810940362499</v>
      </c>
      <c r="L28" s="104">
        <f t="shared" si="9"/>
        <v>13.211778782255623</v>
      </c>
      <c r="M28" s="104">
        <f t="shared" si="9"/>
        <v>12.989902424743402</v>
      </c>
      <c r="N28" s="104">
        <f t="shared" si="9"/>
        <v>12.652059561930574</v>
      </c>
      <c r="O28" s="104">
        <f t="shared" si="9"/>
        <v>12.351039834902103</v>
      </c>
      <c r="P28" s="104">
        <f t="shared" si="9"/>
        <v>12.034969121522206</v>
      </c>
      <c r="Q28" s="104">
        <f t="shared" si="9"/>
        <v>11.754252280973315</v>
      </c>
      <c r="R28" s="104">
        <f t="shared" si="9"/>
        <v>11.354626910971982</v>
      </c>
      <c r="S28" s="104">
        <f t="shared" si="9"/>
        <v>10.988735551395582</v>
      </c>
      <c r="T28" s="104">
        <f t="shared" si="9"/>
        <v>13.802865667942246</v>
      </c>
    </row>
    <row r="29" spans="1:20" x14ac:dyDescent="0.25">
      <c r="A29" s="115" t="s">
        <v>132</v>
      </c>
      <c r="B29" s="57"/>
      <c r="C29" s="2"/>
      <c r="D29" s="116">
        <f t="shared" ref="D29:R29" si="10">D28/D$22</f>
        <v>0.85891103632415977</v>
      </c>
      <c r="E29" s="116">
        <f t="shared" si="10"/>
        <v>0.85508922041320823</v>
      </c>
      <c r="F29" s="116">
        <f t="shared" si="10"/>
        <v>0.842905735752841</v>
      </c>
      <c r="G29" s="116">
        <f t="shared" si="10"/>
        <v>0.83805102254048303</v>
      </c>
      <c r="H29" s="116">
        <f t="shared" si="10"/>
        <v>0.83295357366750722</v>
      </c>
      <c r="I29" s="116">
        <f t="shared" si="10"/>
        <v>0.70318091981907482</v>
      </c>
      <c r="J29" s="116">
        <f t="shared" si="10"/>
        <v>0.69065870544238483</v>
      </c>
      <c r="K29" s="116">
        <f t="shared" si="10"/>
        <v>0.67819164071450411</v>
      </c>
      <c r="L29" s="116">
        <f t="shared" si="10"/>
        <v>0.66510122275022932</v>
      </c>
      <c r="M29" s="116">
        <f t="shared" si="10"/>
        <v>0.65214492792083434</v>
      </c>
      <c r="N29" s="116">
        <f t="shared" si="10"/>
        <v>0.6369240980821278</v>
      </c>
      <c r="O29" s="116">
        <f t="shared" si="10"/>
        <v>0.62177030298623426</v>
      </c>
      <c r="P29" s="116">
        <f t="shared" si="10"/>
        <v>0.60585881813554576</v>
      </c>
      <c r="Q29" s="116">
        <f t="shared" si="10"/>
        <v>0.5901103607935736</v>
      </c>
      <c r="R29" s="116">
        <f t="shared" si="10"/>
        <v>0.57160934699443922</v>
      </c>
      <c r="S29" s="116">
        <f t="shared" ref="S29:T29" si="11">S28/S$22</f>
        <v>0.55318981434416126</v>
      </c>
      <c r="T29" s="116">
        <f t="shared" si="11"/>
        <v>0.59849489476500506</v>
      </c>
    </row>
    <row r="30" spans="1:20" x14ac:dyDescent="0.25">
      <c r="A30" s="2" t="s">
        <v>133</v>
      </c>
      <c r="B30" s="2"/>
      <c r="C30" s="2"/>
      <c r="D30" s="75">
        <f>'Depreciation Schedule'!E102</f>
        <v>10.044867721212121</v>
      </c>
      <c r="E30" s="75">
        <f>'Depreciation Schedule'!F102</f>
        <v>10.046099859075868</v>
      </c>
      <c r="F30" s="75">
        <f>'Depreciation Schedule'!G102</f>
        <v>10.046099859075868</v>
      </c>
      <c r="G30" s="75">
        <f>'Depreciation Schedule'!H102</f>
        <v>10.046553836117896</v>
      </c>
      <c r="H30" s="75">
        <f>'Depreciation Schedule'!I102</f>
        <v>10.047936262420707</v>
      </c>
      <c r="I30" s="75">
        <f>'Depreciation Schedule'!J102</f>
        <v>10.047936262420707</v>
      </c>
      <c r="J30" s="75">
        <f>'Depreciation Schedule'!K102</f>
        <v>10.047936262420707</v>
      </c>
      <c r="K30" s="75">
        <f>'Depreciation Schedule'!L102</f>
        <v>10.049487308402602</v>
      </c>
      <c r="L30" s="75">
        <f>'Depreciation Schedule'!M102</f>
        <v>10.049901576613244</v>
      </c>
      <c r="M30" s="75">
        <f>'Depreciation Schedule'!N102</f>
        <v>10.049901576613244</v>
      </c>
      <c r="N30" s="75">
        <f>'Depreciation Schedule'!O102</f>
        <v>10.051641809443783</v>
      </c>
      <c r="O30" s="75">
        <f>'Depreciation Schedule'!P102</f>
        <v>10.051641809443783</v>
      </c>
      <c r="P30" s="75">
        <f>'Depreciation Schedule'!Q102</f>
        <v>10.051641809443783</v>
      </c>
      <c r="Q30" s="75">
        <f>'Depreciation Schedule'!R102</f>
        <v>10.054074555343114</v>
      </c>
      <c r="R30" s="75">
        <f>'Depreciation Schedule'!S102</f>
        <v>10.054074555343114</v>
      </c>
      <c r="S30" s="75">
        <f>'Depreciation Schedule'!T102</f>
        <v>10.054074555343114</v>
      </c>
      <c r="T30" s="75">
        <f>'Depreciation Schedule'!U102</f>
        <v>10.038950340481151</v>
      </c>
    </row>
    <row r="31" spans="1:20" x14ac:dyDescent="0.25">
      <c r="A31" s="81" t="s">
        <v>134</v>
      </c>
      <c r="B31" s="2"/>
      <c r="C31" s="2"/>
      <c r="D31" s="104">
        <f t="shared" ref="D31:T31" si="12">D28-D30</f>
        <v>29.103926964887883</v>
      </c>
      <c r="E31" s="104">
        <f t="shared" si="12"/>
        <v>29.035277826164133</v>
      </c>
      <c r="F31" s="104">
        <f t="shared" si="12"/>
        <v>25.328863172024136</v>
      </c>
      <c r="G31" s="104">
        <f t="shared" si="12"/>
        <v>25.124667194982109</v>
      </c>
      <c r="H31" s="104">
        <f t="shared" si="12"/>
        <v>24.909355668679297</v>
      </c>
      <c r="I31" s="104">
        <f t="shared" si="12"/>
        <v>3.9585385935792896</v>
      </c>
      <c r="J31" s="104">
        <f t="shared" si="12"/>
        <v>3.6715243523292909</v>
      </c>
      <c r="K31" s="104">
        <f t="shared" si="12"/>
        <v>3.4223236319598964</v>
      </c>
      <c r="L31" s="104">
        <f t="shared" si="12"/>
        <v>3.1618772056423783</v>
      </c>
      <c r="M31" s="104">
        <f t="shared" si="12"/>
        <v>2.9400008481301576</v>
      </c>
      <c r="N31" s="104">
        <f t="shared" si="12"/>
        <v>2.6004177524867913</v>
      </c>
      <c r="O31" s="104">
        <f t="shared" si="12"/>
        <v>2.2993980254583199</v>
      </c>
      <c r="P31" s="104">
        <f t="shared" si="12"/>
        <v>1.9833273120784227</v>
      </c>
      <c r="Q31" s="104">
        <f t="shared" si="12"/>
        <v>1.7001777256302013</v>
      </c>
      <c r="R31" s="104">
        <f t="shared" si="12"/>
        <v>1.3005523556288683</v>
      </c>
      <c r="S31" s="104">
        <f t="shared" si="12"/>
        <v>0.93466099605246811</v>
      </c>
      <c r="T31" s="104">
        <f t="shared" si="12"/>
        <v>3.7639153274610955</v>
      </c>
    </row>
    <row r="32" spans="1:20" x14ac:dyDescent="0.25">
      <c r="A32" s="115" t="s">
        <v>135</v>
      </c>
      <c r="B32" s="2"/>
      <c r="C32" s="2"/>
      <c r="D32" s="116">
        <f t="shared" ref="D32:R32" si="13">D31/D$22</f>
        <v>0.63853010727275528</v>
      </c>
      <c r="E32" s="116">
        <f t="shared" si="13"/>
        <v>0.63528346622827436</v>
      </c>
      <c r="F32" s="116">
        <f t="shared" si="13"/>
        <v>0.60352979108496208</v>
      </c>
      <c r="G32" s="116">
        <f t="shared" si="13"/>
        <v>0.59866426062164935</v>
      </c>
      <c r="H32" s="116">
        <f t="shared" si="13"/>
        <v>0.59353387164188465</v>
      </c>
      <c r="I32" s="116">
        <f t="shared" si="13"/>
        <v>0.19873443089643544</v>
      </c>
      <c r="J32" s="116">
        <f t="shared" si="13"/>
        <v>0.18483017134461496</v>
      </c>
      <c r="K32" s="116">
        <f t="shared" si="13"/>
        <v>0.17228502458129433</v>
      </c>
      <c r="L32" s="116">
        <f t="shared" si="13"/>
        <v>0.1591737517194326</v>
      </c>
      <c r="M32" s="116">
        <f t="shared" si="13"/>
        <v>0.14759977238465724</v>
      </c>
      <c r="N32" s="116">
        <f t="shared" si="13"/>
        <v>0.13090902105954627</v>
      </c>
      <c r="O32" s="116">
        <f t="shared" si="13"/>
        <v>0.11575522596365267</v>
      </c>
      <c r="P32" s="116">
        <f t="shared" si="13"/>
        <v>9.9843741112964263E-2</v>
      </c>
      <c r="Q32" s="116">
        <f t="shared" si="13"/>
        <v>8.5355705076100116E-2</v>
      </c>
      <c r="R32" s="116">
        <f t="shared" si="13"/>
        <v>6.5471801809246735E-2</v>
      </c>
      <c r="S32" s="116">
        <f t="shared" ref="S32:T32" si="14">S31/S$22</f>
        <v>4.7052269158968742E-2</v>
      </c>
      <c r="T32" s="116">
        <f t="shared" si="14"/>
        <v>0.16320408833979849</v>
      </c>
    </row>
    <row r="33" spans="1:20" x14ac:dyDescent="0.25">
      <c r="A33" s="2" t="s">
        <v>78</v>
      </c>
      <c r="B33" s="2"/>
      <c r="C33" s="114"/>
      <c r="D33" s="114">
        <f>'Debt Sch'!B29</f>
        <v>26.512542090719997</v>
      </c>
      <c r="E33" s="114">
        <f>'Debt Sch'!C29</f>
        <v>24.102310991563634</v>
      </c>
      <c r="F33" s="114">
        <f>'Debt Sch'!D29</f>
        <v>21.692079892407271</v>
      </c>
      <c r="G33" s="114">
        <f>'Debt Sch'!E29</f>
        <v>19.281848793250909</v>
      </c>
      <c r="H33" s="114">
        <f>'Debt Sch'!F29</f>
        <v>16.871617694094546</v>
      </c>
      <c r="I33" s="114">
        <f>'Debt Sch'!G29</f>
        <v>14.46138659493818</v>
      </c>
      <c r="J33" s="114">
        <f>'Debt Sch'!H29</f>
        <v>12.051155495781817</v>
      </c>
      <c r="K33" s="114">
        <f>'Debt Sch'!I29</f>
        <v>9.6409243966254543</v>
      </c>
      <c r="L33" s="114">
        <f>'Debt Sch'!J29</f>
        <v>7.2306932974690916</v>
      </c>
      <c r="M33" s="114">
        <f>'Debt Sch'!K29</f>
        <v>4.820462198312728</v>
      </c>
      <c r="N33" s="114">
        <f>'Debt Sch'!L29</f>
        <v>2.4102310991563645</v>
      </c>
      <c r="O33" s="114">
        <f>'Debt Sch'!M29</f>
        <v>0</v>
      </c>
      <c r="P33" s="114">
        <f>'Debt Sch'!N29</f>
        <v>0</v>
      </c>
      <c r="Q33" s="114">
        <f>'Debt Sch'!O29</f>
        <v>0</v>
      </c>
      <c r="R33" s="114">
        <f>'Debt Sch'!P29</f>
        <v>0</v>
      </c>
      <c r="S33" s="114">
        <f>'Debt Sch'!Q29</f>
        <v>0</v>
      </c>
      <c r="T33" s="114">
        <f>'Debt Sch'!R29</f>
        <v>0</v>
      </c>
    </row>
    <row r="34" spans="1:20" x14ac:dyDescent="0.25">
      <c r="A34" s="81" t="s">
        <v>136</v>
      </c>
      <c r="B34" s="57"/>
      <c r="C34" s="114"/>
      <c r="D34" s="117">
        <f t="shared" ref="D34:T34" si="15">D31-D33</f>
        <v>2.5913848741678862</v>
      </c>
      <c r="E34" s="117">
        <f t="shared" si="15"/>
        <v>4.9329668346004993</v>
      </c>
      <c r="F34" s="117">
        <f t="shared" si="15"/>
        <v>3.6367832796168642</v>
      </c>
      <c r="G34" s="117">
        <f t="shared" si="15"/>
        <v>5.8428184017312006</v>
      </c>
      <c r="H34" s="117">
        <f t="shared" si="15"/>
        <v>8.0377379745847506</v>
      </c>
      <c r="I34" s="117">
        <f t="shared" si="15"/>
        <v>-10.50284800135889</v>
      </c>
      <c r="J34" s="117">
        <f t="shared" si="15"/>
        <v>-8.3796311434525261</v>
      </c>
      <c r="K34" s="117">
        <f t="shared" si="15"/>
        <v>-6.2186007646655579</v>
      </c>
      <c r="L34" s="117">
        <f t="shared" si="15"/>
        <v>-4.0688160918267133</v>
      </c>
      <c r="M34" s="117">
        <f t="shared" si="15"/>
        <v>-1.8804613501825704</v>
      </c>
      <c r="N34" s="117">
        <f t="shared" si="15"/>
        <v>0.19018665333042684</v>
      </c>
      <c r="O34" s="117">
        <f t="shared" si="15"/>
        <v>2.2993980254583199</v>
      </c>
      <c r="P34" s="117">
        <f t="shared" si="15"/>
        <v>1.9833273120784227</v>
      </c>
      <c r="Q34" s="117">
        <f t="shared" si="15"/>
        <v>1.7001777256302013</v>
      </c>
      <c r="R34" s="117">
        <f t="shared" si="15"/>
        <v>1.3005523556288683</v>
      </c>
      <c r="S34" s="117">
        <f t="shared" si="15"/>
        <v>0.93466099605246811</v>
      </c>
      <c r="T34" s="117">
        <f t="shared" si="15"/>
        <v>3.7639153274610955</v>
      </c>
    </row>
    <row r="35" spans="1:20" x14ac:dyDescent="0.25">
      <c r="A35" s="115" t="s">
        <v>137</v>
      </c>
      <c r="B35" s="2"/>
      <c r="C35" s="114"/>
      <c r="D35" s="116">
        <f t="shared" ref="D35:R35" si="16">D34/D$22</f>
        <v>5.6854089267186637E-2</v>
      </c>
      <c r="E35" s="116">
        <f t="shared" si="16"/>
        <v>0.10793188507568471</v>
      </c>
      <c r="F35" s="116">
        <f t="shared" si="16"/>
        <v>8.6656358718567986E-2</v>
      </c>
      <c r="G35" s="116">
        <f t="shared" si="16"/>
        <v>0.13922120962929901</v>
      </c>
      <c r="H35" s="116">
        <f t="shared" si="16"/>
        <v>0.19152120202357806</v>
      </c>
      <c r="I35" s="116">
        <f t="shared" si="16"/>
        <v>-0.52728487319218431</v>
      </c>
      <c r="J35" s="116">
        <f t="shared" si="16"/>
        <v>-0.42184349371573854</v>
      </c>
      <c r="K35" s="116">
        <f t="shared" si="16"/>
        <v>-0.31305390746698847</v>
      </c>
      <c r="L35" s="116">
        <f t="shared" si="16"/>
        <v>-0.20483044731677957</v>
      </c>
      <c r="M35" s="116">
        <f t="shared" si="16"/>
        <v>-9.44066623115494E-2</v>
      </c>
      <c r="N35" s="116">
        <f t="shared" si="16"/>
        <v>9.5742880474755324E-3</v>
      </c>
      <c r="O35" s="116">
        <f t="shared" si="16"/>
        <v>0.11575522596365267</v>
      </c>
      <c r="P35" s="116">
        <f t="shared" si="16"/>
        <v>9.9843741112964263E-2</v>
      </c>
      <c r="Q35" s="116">
        <f t="shared" si="16"/>
        <v>8.5355705076100116E-2</v>
      </c>
      <c r="R35" s="116">
        <f t="shared" si="16"/>
        <v>6.5471801809246735E-2</v>
      </c>
      <c r="S35" s="116">
        <f t="shared" ref="S35:T35" si="17">S34/S$22</f>
        <v>4.7052269158968742E-2</v>
      </c>
      <c r="T35" s="116">
        <f t="shared" si="17"/>
        <v>0.16320408833979849</v>
      </c>
    </row>
    <row r="36" spans="1:20" x14ac:dyDescent="0.25">
      <c r="A36" s="113" t="s">
        <v>143</v>
      </c>
      <c r="B36" s="2"/>
      <c r="C36" s="2"/>
      <c r="D36" s="53">
        <f t="shared" ref="D36:T36" si="18">MAX(0,D34)*$B$48</f>
        <v>0.65219974513057366</v>
      </c>
      <c r="E36" s="53">
        <f t="shared" si="18"/>
        <v>1.2415290929322538</v>
      </c>
      <c r="F36" s="53">
        <f t="shared" si="18"/>
        <v>0.91530561581397241</v>
      </c>
      <c r="G36" s="53">
        <f t="shared" si="18"/>
        <v>1.4705205353477087</v>
      </c>
      <c r="H36" s="53">
        <f t="shared" si="18"/>
        <v>2.0229378934434901</v>
      </c>
      <c r="I36" s="53">
        <f t="shared" si="18"/>
        <v>0</v>
      </c>
      <c r="J36" s="53">
        <f t="shared" si="18"/>
        <v>0</v>
      </c>
      <c r="K36" s="53">
        <f t="shared" si="18"/>
        <v>0</v>
      </c>
      <c r="L36" s="53">
        <f t="shared" si="18"/>
        <v>0</v>
      </c>
      <c r="M36" s="53">
        <f t="shared" si="18"/>
        <v>0</v>
      </c>
      <c r="N36" s="53">
        <f t="shared" si="18"/>
        <v>4.7866176910201827E-2</v>
      </c>
      <c r="O36" s="53">
        <f t="shared" si="18"/>
        <v>0.57871249504735001</v>
      </c>
      <c r="P36" s="53">
        <f t="shared" si="18"/>
        <v>0.49916381790389747</v>
      </c>
      <c r="Q36" s="53">
        <f t="shared" si="18"/>
        <v>0.42790072998660911</v>
      </c>
      <c r="R36" s="53">
        <f t="shared" si="18"/>
        <v>0.32732301686467358</v>
      </c>
      <c r="S36" s="53">
        <f t="shared" si="18"/>
        <v>0.23523547948648518</v>
      </c>
      <c r="T36" s="53">
        <f t="shared" si="18"/>
        <v>0.94730220961540856</v>
      </c>
    </row>
    <row r="37" spans="1:20" x14ac:dyDescent="0.25">
      <c r="A37" s="81" t="s">
        <v>144</v>
      </c>
      <c r="B37" s="57"/>
      <c r="C37" s="2"/>
      <c r="D37" s="117">
        <f t="shared" ref="D37:T37" si="19">D34-D36</f>
        <v>1.9391851290373125</v>
      </c>
      <c r="E37" s="117">
        <f t="shared" si="19"/>
        <v>3.6914377416682456</v>
      </c>
      <c r="F37" s="117">
        <f t="shared" si="19"/>
        <v>2.7214776638028919</v>
      </c>
      <c r="G37" s="117">
        <f t="shared" si="19"/>
        <v>4.3722978663834917</v>
      </c>
      <c r="H37" s="117">
        <f t="shared" si="19"/>
        <v>6.0148000811412601</v>
      </c>
      <c r="I37" s="117">
        <f t="shared" si="19"/>
        <v>-10.50284800135889</v>
      </c>
      <c r="J37" s="117">
        <f t="shared" si="19"/>
        <v>-8.3796311434525261</v>
      </c>
      <c r="K37" s="117">
        <f t="shared" si="19"/>
        <v>-6.2186007646655579</v>
      </c>
      <c r="L37" s="117">
        <f t="shared" si="19"/>
        <v>-4.0688160918267133</v>
      </c>
      <c r="M37" s="117">
        <f t="shared" si="19"/>
        <v>-1.8804613501825704</v>
      </c>
      <c r="N37" s="117">
        <f t="shared" si="19"/>
        <v>0.142320476420225</v>
      </c>
      <c r="O37" s="117">
        <f t="shared" si="19"/>
        <v>1.7206855304109698</v>
      </c>
      <c r="P37" s="117">
        <f t="shared" si="19"/>
        <v>1.4841634941745252</v>
      </c>
      <c r="Q37" s="117">
        <f t="shared" si="19"/>
        <v>1.2722769956435922</v>
      </c>
      <c r="R37" s="117">
        <f t="shared" si="19"/>
        <v>0.97322933876419471</v>
      </c>
      <c r="S37" s="117">
        <f t="shared" si="19"/>
        <v>0.69942551656598295</v>
      </c>
      <c r="T37" s="117">
        <f t="shared" si="19"/>
        <v>2.8166131178456868</v>
      </c>
    </row>
    <row r="38" spans="1:20" x14ac:dyDescent="0.25">
      <c r="A38" s="115" t="s">
        <v>145</v>
      </c>
      <c r="B38" s="2"/>
      <c r="C38" s="2"/>
      <c r="D38" s="116">
        <f t="shared" ref="D38:R38" si="20">D37/D$22</f>
        <v>4.25450520804211E-2</v>
      </c>
      <c r="E38" s="116">
        <f t="shared" si="20"/>
        <v>8.0767588239836374E-2</v>
      </c>
      <c r="F38" s="116">
        <f t="shared" si="20"/>
        <v>6.4846686356278799E-2</v>
      </c>
      <c r="G38" s="116">
        <f t="shared" si="20"/>
        <v>0.10418201558979703</v>
      </c>
      <c r="H38" s="116">
        <f t="shared" si="20"/>
        <v>0.14331914589828393</v>
      </c>
      <c r="I38" s="116">
        <f t="shared" si="20"/>
        <v>-0.52728487319218431</v>
      </c>
      <c r="J38" s="116">
        <f t="shared" si="20"/>
        <v>-0.42184349371573854</v>
      </c>
      <c r="K38" s="116">
        <f t="shared" si="20"/>
        <v>-0.31305390746698847</v>
      </c>
      <c r="L38" s="116">
        <f t="shared" si="20"/>
        <v>-0.20483044731677957</v>
      </c>
      <c r="M38" s="116">
        <f t="shared" si="20"/>
        <v>-9.44066623115494E-2</v>
      </c>
      <c r="N38" s="116">
        <f t="shared" si="20"/>
        <v>7.1646312316868905E-3</v>
      </c>
      <c r="O38" s="116">
        <f t="shared" si="20"/>
        <v>8.6621950693120564E-2</v>
      </c>
      <c r="P38" s="116">
        <f t="shared" si="20"/>
        <v>7.4715068349653413E-2</v>
      </c>
      <c r="Q38" s="116">
        <f t="shared" si="20"/>
        <v>6.3873381222547237E-2</v>
      </c>
      <c r="R38" s="116">
        <f t="shared" si="20"/>
        <v>4.899385872989552E-2</v>
      </c>
      <c r="S38" s="116">
        <f t="shared" ref="S38:T38" si="21">S37/S$22</f>
        <v>3.5210154057039485E-2</v>
      </c>
      <c r="T38" s="116">
        <f t="shared" si="21"/>
        <v>0.122128883386438</v>
      </c>
    </row>
    <row r="40" spans="1:2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17" t="s">
        <v>138</v>
      </c>
      <c r="B41" s="1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8" t="s">
        <v>139</v>
      </c>
      <c r="B42" s="110">
        <v>0.22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11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8" t="s">
        <v>140</v>
      </c>
      <c r="B44" s="110">
        <v>0.04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111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111" t="s">
        <v>141</v>
      </c>
      <c r="B46" s="110">
        <v>0.1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13"/>
      <c r="B47" s="1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5">
      <c r="A48" s="7" t="s">
        <v>142</v>
      </c>
      <c r="B48" s="130">
        <f>B42*(1+B44)*(1+B46)</f>
        <v>0.25168000000000001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17"/>
      <c r="B49" s="1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17"/>
      <c r="B50" s="1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17"/>
      <c r="B51" s="1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17"/>
      <c r="B52" s="1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17"/>
      <c r="B53" s="17"/>
    </row>
    <row r="54" spans="1:20" s="5" customFormat="1" ht="12" x14ac:dyDescent="0.2">
      <c r="A54" s="35" t="s">
        <v>176</v>
      </c>
      <c r="B54" s="97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s="5" customFormat="1" ht="12" x14ac:dyDescent="0.2">
      <c r="B55" s="97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</row>
    <row r="56" spans="1:20" s="5" customFormat="1" ht="12" x14ac:dyDescent="0.2">
      <c r="A56" s="35" t="s">
        <v>108</v>
      </c>
      <c r="B56" s="97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</row>
    <row r="57" spans="1:20" s="5" customFormat="1" ht="12" x14ac:dyDescent="0.2">
      <c r="A57" s="143" t="s">
        <v>177</v>
      </c>
      <c r="B57" s="69" t="s">
        <v>57</v>
      </c>
      <c r="C57" s="8"/>
      <c r="D57" s="144">
        <f t="shared" ref="D57:R57" si="22">C59</f>
        <v>42.654600000000002</v>
      </c>
      <c r="E57" s="144">
        <f t="shared" si="22"/>
        <v>24.975106199999999</v>
      </c>
      <c r="F57" s="144">
        <f t="shared" si="22"/>
        <v>24.975106199999999</v>
      </c>
      <c r="G57" s="144">
        <f t="shared" si="22"/>
        <v>22.9960962</v>
      </c>
      <c r="H57" s="144">
        <f t="shared" si="22"/>
        <v>22.9960962</v>
      </c>
      <c r="I57" s="144">
        <f t="shared" si="22"/>
        <v>22.9960962</v>
      </c>
      <c r="J57" s="144">
        <f t="shared" si="22"/>
        <v>10.884555000000001</v>
      </c>
      <c r="K57" s="144">
        <f t="shared" si="22"/>
        <v>10.884554999999999</v>
      </c>
      <c r="L57" s="144">
        <f t="shared" si="22"/>
        <v>10.884554999999999</v>
      </c>
      <c r="M57" s="144">
        <f t="shared" si="22"/>
        <v>10.884554999999999</v>
      </c>
      <c r="N57" s="144">
        <f t="shared" si="22"/>
        <v>10.884555000000001</v>
      </c>
      <c r="O57" s="144">
        <f t="shared" si="22"/>
        <v>10.884554999999999</v>
      </c>
      <c r="P57" s="144">
        <f t="shared" si="22"/>
        <v>10.884554999999999</v>
      </c>
      <c r="Q57" s="144">
        <f t="shared" si="22"/>
        <v>10.884554999999999</v>
      </c>
      <c r="R57" s="144">
        <f t="shared" si="22"/>
        <v>10.884555000000001</v>
      </c>
      <c r="S57" s="144">
        <f t="shared" ref="S57" si="23">R59</f>
        <v>10.884554999999999</v>
      </c>
      <c r="T57" s="144">
        <f t="shared" ref="T57" si="24">S59</f>
        <v>10.884554999999999</v>
      </c>
    </row>
    <row r="58" spans="1:20" s="5" customFormat="1" ht="12" x14ac:dyDescent="0.2">
      <c r="A58" s="143" t="s">
        <v>41</v>
      </c>
      <c r="B58" s="69" t="s">
        <v>57</v>
      </c>
      <c r="C58" s="8"/>
      <c r="D58" s="144">
        <f t="shared" ref="D58:T58" si="25">D19</f>
        <v>45.579568815000002</v>
      </c>
      <c r="E58" s="144">
        <f t="shared" si="25"/>
        <v>45.704444345999995</v>
      </c>
      <c r="F58" s="144">
        <f t="shared" si="25"/>
        <v>41.967875565</v>
      </c>
      <c r="G58" s="144">
        <f t="shared" si="25"/>
        <v>41.967875565</v>
      </c>
      <c r="H58" s="144">
        <f t="shared" si="25"/>
        <v>41.967875565</v>
      </c>
      <c r="I58" s="144">
        <f t="shared" si="25"/>
        <v>19.918735649999999</v>
      </c>
      <c r="J58" s="144">
        <f t="shared" si="25"/>
        <v>19.864312875</v>
      </c>
      <c r="K58" s="144">
        <f t="shared" si="25"/>
        <v>19.864312875</v>
      </c>
      <c r="L58" s="144">
        <f t="shared" si="25"/>
        <v>19.864312875</v>
      </c>
      <c r="M58" s="144">
        <f t="shared" si="25"/>
        <v>19.918735649999999</v>
      </c>
      <c r="N58" s="144">
        <f t="shared" si="25"/>
        <v>19.864312875</v>
      </c>
      <c r="O58" s="144">
        <f t="shared" si="25"/>
        <v>19.864312875</v>
      </c>
      <c r="P58" s="144">
        <f t="shared" si="25"/>
        <v>19.864312875</v>
      </c>
      <c r="Q58" s="144">
        <f t="shared" si="25"/>
        <v>19.918735649999999</v>
      </c>
      <c r="R58" s="144">
        <f t="shared" si="25"/>
        <v>19.864312875</v>
      </c>
      <c r="S58" s="144">
        <f t="shared" si="25"/>
        <v>19.864312875</v>
      </c>
      <c r="T58" s="144">
        <f t="shared" si="25"/>
        <v>19.864312875</v>
      </c>
    </row>
    <row r="59" spans="1:20" s="5" customFormat="1" ht="12" x14ac:dyDescent="0.2">
      <c r="A59" s="145" t="s">
        <v>79</v>
      </c>
      <c r="B59" s="69" t="s">
        <v>57</v>
      </c>
      <c r="C59" s="7">
        <v>42.654600000000002</v>
      </c>
      <c r="D59" s="147">
        <f>D58*(Assumptions!$N$74/'RKA P&amp;L'!D3)</f>
        <v>24.975106199999999</v>
      </c>
      <c r="E59" s="147">
        <f>E58*(Assumptions!$N$74/'RKA P&amp;L'!E3)</f>
        <v>24.975106199999999</v>
      </c>
      <c r="F59" s="147">
        <f>F58*(Assumptions!$N$74/'RKA P&amp;L'!F3)</f>
        <v>22.9960962</v>
      </c>
      <c r="G59" s="147">
        <f>G58*(Assumptions!$N$74/'RKA P&amp;L'!G3)</f>
        <v>22.9960962</v>
      </c>
      <c r="H59" s="147">
        <f>H58*(Assumptions!$N$74/'RKA P&amp;L'!H3)</f>
        <v>22.9960962</v>
      </c>
      <c r="I59" s="147">
        <f>I58*(Assumptions!$N$74/'RKA P&amp;L'!I3)</f>
        <v>10.884555000000001</v>
      </c>
      <c r="J59" s="147">
        <f>J58*(Assumptions!$N$74/'RKA P&amp;L'!J3)</f>
        <v>10.884554999999999</v>
      </c>
      <c r="K59" s="147">
        <f>K58*(Assumptions!$N$74/'RKA P&amp;L'!K3)</f>
        <v>10.884554999999999</v>
      </c>
      <c r="L59" s="147">
        <f>L58*(Assumptions!$N$74/'RKA P&amp;L'!L3)</f>
        <v>10.884554999999999</v>
      </c>
      <c r="M59" s="147">
        <f>M58*(Assumptions!$N$74/'RKA P&amp;L'!M3)</f>
        <v>10.884555000000001</v>
      </c>
      <c r="N59" s="147">
        <f>N58*(Assumptions!$N$74/'RKA P&amp;L'!N3)</f>
        <v>10.884554999999999</v>
      </c>
      <c r="O59" s="147">
        <f>O58*(Assumptions!$N$74/'RKA P&amp;L'!O3)</f>
        <v>10.884554999999999</v>
      </c>
      <c r="P59" s="147">
        <f>P58*(Assumptions!$N$74/'RKA P&amp;L'!P3)</f>
        <v>10.884554999999999</v>
      </c>
      <c r="Q59" s="147">
        <f>Q58*(Assumptions!$N$74/'RKA P&amp;L'!Q3)</f>
        <v>10.884555000000001</v>
      </c>
      <c r="R59" s="147">
        <f>R58*(Assumptions!$N$74/'RKA P&amp;L'!R3)</f>
        <v>10.884554999999999</v>
      </c>
      <c r="S59" s="147">
        <f>S58*(Assumptions!$N$74/'RKA P&amp;L'!S3)</f>
        <v>10.884554999999999</v>
      </c>
      <c r="T59" s="147">
        <f>T58*(Assumptions!$N$74/'RKA P&amp;L'!T3)</f>
        <v>10.884554999999999</v>
      </c>
    </row>
    <row r="60" spans="1:20" s="5" customFormat="1" ht="12" x14ac:dyDescent="0.2">
      <c r="A60" s="143" t="s">
        <v>178</v>
      </c>
      <c r="B60" s="69" t="s">
        <v>57</v>
      </c>
      <c r="C60" s="8"/>
      <c r="D60" s="144">
        <f t="shared" ref="D60:R60" si="26">+D57+D58-D59</f>
        <v>63.259062615000005</v>
      </c>
      <c r="E60" s="144">
        <f t="shared" si="26"/>
        <v>45.704444346000002</v>
      </c>
      <c r="F60" s="144">
        <f t="shared" si="26"/>
        <v>43.946885565000002</v>
      </c>
      <c r="G60" s="144">
        <f t="shared" si="26"/>
        <v>41.967875565</v>
      </c>
      <c r="H60" s="144">
        <f t="shared" si="26"/>
        <v>41.967875565</v>
      </c>
      <c r="I60" s="144">
        <f t="shared" si="26"/>
        <v>32.03027685</v>
      </c>
      <c r="J60" s="144">
        <f t="shared" si="26"/>
        <v>19.864312875000003</v>
      </c>
      <c r="K60" s="144">
        <f t="shared" si="26"/>
        <v>19.864312875</v>
      </c>
      <c r="L60" s="144">
        <f t="shared" si="26"/>
        <v>19.864312875</v>
      </c>
      <c r="M60" s="144">
        <f t="shared" si="26"/>
        <v>19.918735649999995</v>
      </c>
      <c r="N60" s="144">
        <f t="shared" si="26"/>
        <v>19.864312875000003</v>
      </c>
      <c r="O60" s="144">
        <f t="shared" si="26"/>
        <v>19.864312875</v>
      </c>
      <c r="P60" s="144">
        <f t="shared" si="26"/>
        <v>19.864312875</v>
      </c>
      <c r="Q60" s="144">
        <f t="shared" si="26"/>
        <v>19.918735649999995</v>
      </c>
      <c r="R60" s="144">
        <f t="shared" si="26"/>
        <v>19.864312875000003</v>
      </c>
      <c r="S60" s="144">
        <f t="shared" ref="S60:T60" si="27">+S57+S58-S59</f>
        <v>19.864312875</v>
      </c>
      <c r="T60" s="144">
        <f t="shared" si="27"/>
        <v>19.864312875</v>
      </c>
    </row>
    <row r="61" spans="1:20" s="5" customFormat="1" ht="12" x14ac:dyDescent="0.2">
      <c r="B61" s="97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</row>
    <row r="62" spans="1:20" s="5" customFormat="1" ht="12" x14ac:dyDescent="0.2">
      <c r="A62" s="8" t="s">
        <v>215</v>
      </c>
      <c r="B62" s="69" t="s">
        <v>57</v>
      </c>
      <c r="C62" s="163">
        <v>2.7250000000000001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</row>
    <row r="63" spans="1:20" s="5" customFormat="1" ht="12" x14ac:dyDescent="0.2">
      <c r="B63" s="97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</row>
    <row r="64" spans="1:20" s="5" customFormat="1" ht="12" x14ac:dyDescent="0.2">
      <c r="A64" s="35" t="s">
        <v>110</v>
      </c>
      <c r="B64" s="97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</row>
    <row r="65" spans="1:20" s="5" customFormat="1" ht="12" x14ac:dyDescent="0.2">
      <c r="A65" s="143" t="s">
        <v>177</v>
      </c>
      <c r="B65" s="69" t="s">
        <v>57</v>
      </c>
      <c r="C65" s="8"/>
      <c r="D65" s="144">
        <f t="shared" ref="D65:R65" si="28">C67</f>
        <v>7.2507000000000001</v>
      </c>
      <c r="E65" s="144">
        <f t="shared" si="28"/>
        <v>4.0504109589041093</v>
      </c>
      <c r="F65" s="144">
        <f t="shared" si="28"/>
        <v>4.2413114754098364</v>
      </c>
      <c r="G65" s="144">
        <f t="shared" si="28"/>
        <v>4.4655780821917803</v>
      </c>
      <c r="H65" s="144">
        <f t="shared" si="28"/>
        <v>4.6888569863013698</v>
      </c>
      <c r="I65" s="144">
        <f t="shared" si="28"/>
        <v>4.9232998356164384</v>
      </c>
      <c r="J65" s="144">
        <f t="shared" si="28"/>
        <v>5.1553406065573784</v>
      </c>
      <c r="K65" s="144">
        <f t="shared" si="28"/>
        <v>5.4279380687671246</v>
      </c>
      <c r="L65" s="144">
        <f t="shared" si="28"/>
        <v>5.6993349722054809</v>
      </c>
      <c r="M65" s="144">
        <f t="shared" si="28"/>
        <v>5.984301720815755</v>
      </c>
      <c r="N65" s="144">
        <f t="shared" si="28"/>
        <v>6.2663487281492856</v>
      </c>
      <c r="O65" s="144">
        <f t="shared" si="28"/>
        <v>6.5976926471993709</v>
      </c>
      <c r="P65" s="144">
        <f t="shared" si="28"/>
        <v>6.9275772795593396</v>
      </c>
      <c r="Q65" s="144">
        <f t="shared" si="28"/>
        <v>7.2739561435373066</v>
      </c>
      <c r="R65" s="144">
        <f t="shared" si="28"/>
        <v>7.6167860437450097</v>
      </c>
      <c r="S65" s="144">
        <f t="shared" ref="S65" si="29">R67</f>
        <v>8.0195366482498827</v>
      </c>
      <c r="T65" s="144">
        <f t="shared" ref="T65" si="30">S67</f>
        <v>8.4205134806623771</v>
      </c>
    </row>
    <row r="66" spans="1:20" s="5" customFormat="1" ht="12" x14ac:dyDescent="0.2">
      <c r="A66" s="143" t="s">
        <v>41</v>
      </c>
      <c r="B66" s="69" t="s">
        <v>57</v>
      </c>
      <c r="C66" s="8"/>
      <c r="D66" s="144">
        <f t="shared" ref="D66:T66" si="31">D24</f>
        <v>3.6960000000000002</v>
      </c>
      <c r="E66" s="144">
        <f t="shared" si="31"/>
        <v>3.8808000000000002</v>
      </c>
      <c r="F66" s="144">
        <f t="shared" si="31"/>
        <v>4.07484</v>
      </c>
      <c r="G66" s="144">
        <f t="shared" si="31"/>
        <v>4.2785820000000001</v>
      </c>
      <c r="H66" s="144">
        <f t="shared" si="31"/>
        <v>4.4925111000000006</v>
      </c>
      <c r="I66" s="144">
        <f t="shared" si="31"/>
        <v>4.7171366550000009</v>
      </c>
      <c r="J66" s="144">
        <f t="shared" si="31"/>
        <v>4.9529934877500015</v>
      </c>
      <c r="K66" s="144">
        <f t="shared" si="31"/>
        <v>5.200643162137502</v>
      </c>
      <c r="L66" s="144">
        <f t="shared" si="31"/>
        <v>5.460675320244377</v>
      </c>
      <c r="M66" s="144">
        <f t="shared" si="31"/>
        <v>5.7337090862565958</v>
      </c>
      <c r="N66" s="144">
        <f t="shared" si="31"/>
        <v>6.0203945405694261</v>
      </c>
      <c r="O66" s="144">
        <f t="shared" si="31"/>
        <v>6.3214142675978975</v>
      </c>
      <c r="P66" s="144">
        <f t="shared" si="31"/>
        <v>6.6374849809777929</v>
      </c>
      <c r="Q66" s="144">
        <f t="shared" si="31"/>
        <v>6.9693592300266829</v>
      </c>
      <c r="R66" s="144">
        <f t="shared" si="31"/>
        <v>7.3178271915280177</v>
      </c>
      <c r="S66" s="144">
        <f t="shared" si="31"/>
        <v>7.6837185511044188</v>
      </c>
      <c r="T66" s="144">
        <f t="shared" si="31"/>
        <v>8.0679044786596403</v>
      </c>
    </row>
    <row r="67" spans="1:20" s="5" customFormat="1" ht="12" x14ac:dyDescent="0.2">
      <c r="A67" s="145" t="s">
        <v>79</v>
      </c>
      <c r="B67" s="146" t="s">
        <v>57</v>
      </c>
      <c r="C67" s="7">
        <v>7.2507000000000001</v>
      </c>
      <c r="D67" s="147">
        <f>D66*(Assumptions!$N$79/'RKA P&amp;L'!D3)</f>
        <v>4.0504109589041093</v>
      </c>
      <c r="E67" s="147">
        <f>E66*(Assumptions!$N$79/'RKA P&amp;L'!E3)</f>
        <v>4.2413114754098364</v>
      </c>
      <c r="F67" s="147">
        <f>F66*(Assumptions!$N$79/'RKA P&amp;L'!F3)</f>
        <v>4.4655780821917803</v>
      </c>
      <c r="G67" s="147">
        <f>G66*(Assumptions!$N$79/'RKA P&amp;L'!G3)</f>
        <v>4.6888569863013698</v>
      </c>
      <c r="H67" s="147">
        <f>H66*(Assumptions!$N$79/'RKA P&amp;L'!H3)</f>
        <v>4.9232998356164384</v>
      </c>
      <c r="I67" s="147">
        <f>I66*(Assumptions!$N$79/'RKA P&amp;L'!I3)</f>
        <v>5.1553406065573784</v>
      </c>
      <c r="J67" s="147">
        <f>J66*(Assumptions!$N$79/'RKA P&amp;L'!J3)</f>
        <v>5.4279380687671246</v>
      </c>
      <c r="K67" s="147">
        <f>K66*(Assumptions!$N$79/'RKA P&amp;L'!K3)</f>
        <v>5.6993349722054809</v>
      </c>
      <c r="L67" s="147">
        <f>L66*(Assumptions!$N$79/'RKA P&amp;L'!L3)</f>
        <v>5.984301720815755</v>
      </c>
      <c r="M67" s="147">
        <f>M66*(Assumptions!$N$79/'RKA P&amp;L'!M3)</f>
        <v>6.2663487281492856</v>
      </c>
      <c r="N67" s="147">
        <f>N66*(Assumptions!$N$79/'RKA P&amp;L'!N3)</f>
        <v>6.5976926471993709</v>
      </c>
      <c r="O67" s="147">
        <f>O66*(Assumptions!$N$79/'RKA P&amp;L'!O3)</f>
        <v>6.9275772795593396</v>
      </c>
      <c r="P67" s="147">
        <f>P66*(Assumptions!$N$79/'RKA P&amp;L'!P3)</f>
        <v>7.2739561435373066</v>
      </c>
      <c r="Q67" s="147">
        <f>Q66*(Assumptions!$N$79/'RKA P&amp;L'!Q3)</f>
        <v>7.6167860437450097</v>
      </c>
      <c r="R67" s="147">
        <f>R66*(Assumptions!$N$79/'RKA P&amp;L'!R3)</f>
        <v>8.0195366482498827</v>
      </c>
      <c r="S67" s="147">
        <f>S66*(Assumptions!$N$79/'RKA P&amp;L'!S3)</f>
        <v>8.4205134806623771</v>
      </c>
      <c r="T67" s="147">
        <f>T66*(Assumptions!$N$79/'RKA P&amp;L'!T3)</f>
        <v>8.8415391546954964</v>
      </c>
    </row>
    <row r="68" spans="1:20" s="5" customFormat="1" ht="12" x14ac:dyDescent="0.2">
      <c r="A68" s="8" t="s">
        <v>179</v>
      </c>
      <c r="B68" s="69" t="s">
        <v>57</v>
      </c>
      <c r="C68" s="8"/>
      <c r="D68" s="144">
        <f t="shared" ref="D68:R68" si="32">+D65+D66-D67</f>
        <v>6.8962890410958906</v>
      </c>
      <c r="E68" s="144">
        <f t="shared" si="32"/>
        <v>3.6898994834942735</v>
      </c>
      <c r="F68" s="144">
        <f t="shared" si="32"/>
        <v>3.8505733932180553</v>
      </c>
      <c r="G68" s="144">
        <f t="shared" si="32"/>
        <v>4.0553030958904097</v>
      </c>
      <c r="H68" s="144">
        <f t="shared" si="32"/>
        <v>4.2580682506849321</v>
      </c>
      <c r="I68" s="144">
        <f t="shared" si="32"/>
        <v>4.4850958840590609</v>
      </c>
      <c r="J68" s="144">
        <f t="shared" si="32"/>
        <v>4.6803960255402561</v>
      </c>
      <c r="K68" s="144">
        <f t="shared" si="32"/>
        <v>4.9292462586991448</v>
      </c>
      <c r="L68" s="144">
        <f t="shared" si="32"/>
        <v>5.1757085716341029</v>
      </c>
      <c r="M68" s="144">
        <f t="shared" si="32"/>
        <v>5.4516620789230643</v>
      </c>
      <c r="N68" s="144">
        <f t="shared" si="32"/>
        <v>5.6890506215193417</v>
      </c>
      <c r="O68" s="144">
        <f t="shared" si="32"/>
        <v>5.9915296352379288</v>
      </c>
      <c r="P68" s="144">
        <f t="shared" si="32"/>
        <v>6.2911061169998259</v>
      </c>
      <c r="Q68" s="144">
        <f t="shared" si="32"/>
        <v>6.6265293298189798</v>
      </c>
      <c r="R68" s="144">
        <f t="shared" si="32"/>
        <v>6.9150765870231439</v>
      </c>
      <c r="S68" s="144">
        <f t="shared" ref="S68:T68" si="33">+S65+S66-S67</f>
        <v>7.2827417186919252</v>
      </c>
      <c r="T68" s="144">
        <f t="shared" si="33"/>
        <v>7.646878804626521</v>
      </c>
    </row>
    <row r="69" spans="1:20" s="5" customFormat="1" ht="12" x14ac:dyDescent="0.2">
      <c r="B69" s="97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</row>
    <row r="70" spans="1:20" s="5" customFormat="1" ht="12" x14ac:dyDescent="0.2">
      <c r="A70" s="35" t="s">
        <v>180</v>
      </c>
      <c r="B70" s="146" t="s">
        <v>57</v>
      </c>
      <c r="C70" s="55">
        <f>C59+C62-C67</f>
        <v>38.128900000000002</v>
      </c>
      <c r="D70" s="55">
        <f t="shared" ref="D70:T70" si="34">D59-D67</f>
        <v>20.92469524109589</v>
      </c>
      <c r="E70" s="55">
        <f t="shared" si="34"/>
        <v>20.733794724590162</v>
      </c>
      <c r="F70" s="55">
        <f t="shared" si="34"/>
        <v>18.530518117808221</v>
      </c>
      <c r="G70" s="55">
        <f t="shared" si="34"/>
        <v>18.307239213698629</v>
      </c>
      <c r="H70" s="55">
        <f t="shared" si="34"/>
        <v>18.072796364383564</v>
      </c>
      <c r="I70" s="55">
        <f t="shared" si="34"/>
        <v>5.7292143934426223</v>
      </c>
      <c r="J70" s="55">
        <f t="shared" si="34"/>
        <v>5.4566169312328743</v>
      </c>
      <c r="K70" s="55">
        <f t="shared" si="34"/>
        <v>5.185220027794518</v>
      </c>
      <c r="L70" s="55">
        <f t="shared" si="34"/>
        <v>4.9002532791842439</v>
      </c>
      <c r="M70" s="55">
        <f t="shared" si="34"/>
        <v>4.6182062718507151</v>
      </c>
      <c r="N70" s="55">
        <f t="shared" si="34"/>
        <v>4.286862352800628</v>
      </c>
      <c r="O70" s="55">
        <f t="shared" si="34"/>
        <v>3.9569777204406593</v>
      </c>
      <c r="P70" s="55">
        <f t="shared" si="34"/>
        <v>3.6105988564626923</v>
      </c>
      <c r="Q70" s="55">
        <f t="shared" si="34"/>
        <v>3.267768956254991</v>
      </c>
      <c r="R70" s="55">
        <f t="shared" si="34"/>
        <v>2.8650183517501162</v>
      </c>
      <c r="S70" s="55">
        <f t="shared" si="34"/>
        <v>2.4640415193376217</v>
      </c>
      <c r="T70" s="55">
        <f t="shared" si="34"/>
        <v>2.0430158453045024</v>
      </c>
    </row>
    <row r="71" spans="1:20" s="5" customFormat="1" ht="12" x14ac:dyDescent="0.2">
      <c r="B71" s="97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</row>
    <row r="72" spans="1:20" s="5" customFormat="1" ht="12" x14ac:dyDescent="0.2">
      <c r="A72" s="35" t="s">
        <v>181</v>
      </c>
      <c r="B72" s="146" t="s">
        <v>57</v>
      </c>
      <c r="C72" s="147"/>
      <c r="D72" s="147">
        <f t="shared" ref="D72:T72" si="35">+D70-C70</f>
        <v>-17.204204758904112</v>
      </c>
      <c r="E72" s="147">
        <f t="shared" si="35"/>
        <v>-0.19090051650572804</v>
      </c>
      <c r="F72" s="147">
        <f t="shared" si="35"/>
        <v>-2.2032766067819409</v>
      </c>
      <c r="G72" s="147">
        <f t="shared" si="35"/>
        <v>-0.22327890410959128</v>
      </c>
      <c r="H72" s="147">
        <f t="shared" si="35"/>
        <v>-0.23444284931506587</v>
      </c>
      <c r="I72" s="147">
        <f t="shared" si="35"/>
        <v>-12.343581970940942</v>
      </c>
      <c r="J72" s="147">
        <f t="shared" si="35"/>
        <v>-0.27259746220974801</v>
      </c>
      <c r="K72" s="147">
        <f t="shared" si="35"/>
        <v>-0.27139690343835632</v>
      </c>
      <c r="L72" s="147">
        <f t="shared" si="35"/>
        <v>-0.28496674861027405</v>
      </c>
      <c r="M72" s="147">
        <f t="shared" si="35"/>
        <v>-0.28204700733352883</v>
      </c>
      <c r="N72" s="147">
        <f t="shared" si="35"/>
        <v>-0.33134391905008709</v>
      </c>
      <c r="O72" s="147">
        <f t="shared" si="35"/>
        <v>-0.32988463235996868</v>
      </c>
      <c r="P72" s="147">
        <f t="shared" si="35"/>
        <v>-0.34637886397796702</v>
      </c>
      <c r="Q72" s="147">
        <f t="shared" si="35"/>
        <v>-0.34282990020770132</v>
      </c>
      <c r="R72" s="147">
        <f t="shared" si="35"/>
        <v>-0.40275060450487477</v>
      </c>
      <c r="S72" s="147">
        <f t="shared" si="35"/>
        <v>-0.40097683241249449</v>
      </c>
      <c r="T72" s="147">
        <f t="shared" si="35"/>
        <v>-0.4210256740331193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0AC-1EFA-4794-8D9B-69CCA0D84F6D}">
  <dimension ref="A1:U58"/>
  <sheetViews>
    <sheetView tabSelected="1" topLeftCell="A22" workbookViewId="0">
      <selection activeCell="N5" sqref="N5:U20"/>
    </sheetView>
  </sheetViews>
  <sheetFormatPr defaultColWidth="9.140625" defaultRowHeight="12" outlineLevelRow="1" outlineLevelCol="1" x14ac:dyDescent="0.2"/>
  <cols>
    <col min="1" max="1" width="29.42578125" style="5" bestFit="1" customWidth="1"/>
    <col min="2" max="2" width="13.5703125" style="5" bestFit="1" customWidth="1"/>
    <col min="3" max="3" width="28.28515625" style="5" bestFit="1" customWidth="1"/>
    <col min="4" max="4" width="27.42578125" style="5" bestFit="1" customWidth="1"/>
    <col min="5" max="11" width="8.5703125" style="5" customWidth="1" outlineLevel="1"/>
    <col min="12" max="21" width="8.5703125" style="5" bestFit="1" customWidth="1"/>
    <col min="22" max="16384" width="9.140625" style="5"/>
  </cols>
  <sheetData>
    <row r="1" spans="4:21" x14ac:dyDescent="0.2">
      <c r="E1" s="5">
        <f>Assumptions!N3</f>
        <v>365</v>
      </c>
      <c r="F1" s="5">
        <f>Assumptions!O3</f>
        <v>366</v>
      </c>
      <c r="G1" s="5">
        <f>Assumptions!P3</f>
        <v>365</v>
      </c>
      <c r="H1" s="5">
        <f>Assumptions!Q3</f>
        <v>365</v>
      </c>
      <c r="I1" s="5">
        <f>Assumptions!R3</f>
        <v>365</v>
      </c>
      <c r="J1" s="5">
        <f>Assumptions!S3</f>
        <v>366</v>
      </c>
      <c r="K1" s="5">
        <f>Assumptions!T3</f>
        <v>365</v>
      </c>
      <c r="L1" s="5">
        <f>Assumptions!U3</f>
        <v>365</v>
      </c>
      <c r="M1" s="5">
        <f>Assumptions!V3</f>
        <v>365</v>
      </c>
      <c r="N1" s="5">
        <f>Assumptions!W3</f>
        <v>366</v>
      </c>
      <c r="O1" s="5">
        <f>Assumptions!X3</f>
        <v>365</v>
      </c>
      <c r="P1" s="5">
        <f>Assumptions!Y3</f>
        <v>365</v>
      </c>
      <c r="Q1" s="5">
        <f>Assumptions!Z3</f>
        <v>365</v>
      </c>
      <c r="R1" s="5">
        <f>Assumptions!AA3</f>
        <v>366</v>
      </c>
      <c r="S1" s="5">
        <f>Assumptions!AB3</f>
        <v>365</v>
      </c>
      <c r="T1" s="5">
        <f>Assumptions!AC3</f>
        <v>365</v>
      </c>
      <c r="U1" s="5">
        <f>Assumptions!AD3</f>
        <v>365</v>
      </c>
    </row>
    <row r="2" spans="4:21" x14ac:dyDescent="0.2">
      <c r="E2" s="5">
        <f>Assumptions!N1</f>
        <v>9</v>
      </c>
      <c r="F2" s="5">
        <f>Assumptions!O1</f>
        <v>10</v>
      </c>
      <c r="G2" s="5">
        <f>Assumptions!P1</f>
        <v>11</v>
      </c>
      <c r="H2" s="5">
        <f>Assumptions!Q1</f>
        <v>12</v>
      </c>
      <c r="I2" s="5">
        <f>Assumptions!R1</f>
        <v>13</v>
      </c>
      <c r="J2" s="5">
        <f>Assumptions!S1</f>
        <v>14</v>
      </c>
      <c r="K2" s="5">
        <f>Assumptions!T1</f>
        <v>15</v>
      </c>
      <c r="L2" s="5">
        <f>Assumptions!U1</f>
        <v>16</v>
      </c>
      <c r="M2" s="5">
        <f>Assumptions!V1</f>
        <v>17</v>
      </c>
      <c r="N2" s="5">
        <f>Assumptions!W1</f>
        <v>18</v>
      </c>
      <c r="O2" s="5">
        <f>Assumptions!X1</f>
        <v>19</v>
      </c>
      <c r="P2" s="5">
        <f>Assumptions!Y1</f>
        <v>20</v>
      </c>
      <c r="Q2" s="5">
        <f>Assumptions!Z1</f>
        <v>21</v>
      </c>
      <c r="R2" s="5">
        <f>Assumptions!AA1</f>
        <v>22</v>
      </c>
      <c r="S2" s="5">
        <f>Assumptions!AB1</f>
        <v>23</v>
      </c>
      <c r="T2" s="5">
        <f>Assumptions!AC1</f>
        <v>24</v>
      </c>
      <c r="U2" s="5">
        <f>Assumptions!AD1</f>
        <v>25</v>
      </c>
    </row>
    <row r="3" spans="4:21" x14ac:dyDescent="0.2">
      <c r="D3" s="172" t="s">
        <v>146</v>
      </c>
      <c r="E3" s="138">
        <f>Assumptions!N4</f>
        <v>45016</v>
      </c>
      <c r="F3" s="138">
        <f>Assumptions!O4</f>
        <v>45382</v>
      </c>
      <c r="G3" s="138">
        <f>Assumptions!P4</f>
        <v>45747</v>
      </c>
      <c r="H3" s="138">
        <f>Assumptions!Q4</f>
        <v>46112</v>
      </c>
      <c r="I3" s="138">
        <f>Assumptions!R4</f>
        <v>46477</v>
      </c>
      <c r="J3" s="138">
        <f>Assumptions!S4</f>
        <v>46843</v>
      </c>
      <c r="K3" s="138">
        <f>Assumptions!T4</f>
        <v>47208</v>
      </c>
      <c r="L3" s="138">
        <f>Assumptions!U4</f>
        <v>47573</v>
      </c>
      <c r="M3" s="138">
        <f>Assumptions!V4</f>
        <v>47938</v>
      </c>
      <c r="N3" s="138">
        <f>Assumptions!W4</f>
        <v>48304</v>
      </c>
      <c r="O3" s="138">
        <f>Assumptions!X4</f>
        <v>48669</v>
      </c>
      <c r="P3" s="138">
        <f>Assumptions!Y4</f>
        <v>49034</v>
      </c>
      <c r="Q3" s="138">
        <f>Assumptions!Z4</f>
        <v>49399</v>
      </c>
      <c r="R3" s="138">
        <f>Assumptions!AA4</f>
        <v>49765</v>
      </c>
      <c r="S3" s="138">
        <f>Assumptions!AB4</f>
        <v>50130</v>
      </c>
      <c r="T3" s="138">
        <f>Assumptions!AC4</f>
        <v>50495</v>
      </c>
      <c r="U3" s="138">
        <f>Assumptions!AD4</f>
        <v>50860</v>
      </c>
    </row>
    <row r="4" spans="4:21" x14ac:dyDescent="0.2">
      <c r="D4" s="172"/>
      <c r="E4" s="155" t="s">
        <v>147</v>
      </c>
      <c r="F4" s="155" t="s">
        <v>147</v>
      </c>
      <c r="G4" s="155" t="s">
        <v>147</v>
      </c>
      <c r="H4" s="155" t="s">
        <v>147</v>
      </c>
      <c r="I4" s="155" t="s">
        <v>147</v>
      </c>
      <c r="J4" s="155" t="s">
        <v>147</v>
      </c>
      <c r="K4" s="155" t="s">
        <v>147</v>
      </c>
      <c r="L4" s="155" t="s">
        <v>147</v>
      </c>
      <c r="M4" s="155" t="s">
        <v>147</v>
      </c>
      <c r="N4" s="155" t="s">
        <v>147</v>
      </c>
      <c r="O4" s="155" t="s">
        <v>147</v>
      </c>
      <c r="P4" s="155" t="s">
        <v>147</v>
      </c>
      <c r="Q4" s="155" t="s">
        <v>147</v>
      </c>
      <c r="R4" s="155" t="s">
        <v>147</v>
      </c>
      <c r="S4" s="155" t="s">
        <v>147</v>
      </c>
      <c r="T4" s="155" t="s">
        <v>147</v>
      </c>
      <c r="U4" s="155" t="s">
        <v>147</v>
      </c>
    </row>
    <row r="5" spans="4:21" ht="15" x14ac:dyDescent="0.25">
      <c r="D5" s="7" t="s">
        <v>148</v>
      </c>
      <c r="E5" s="180">
        <f>'RKA P&amp;L'!D22</f>
        <v>45.579568815000002</v>
      </c>
      <c r="F5" s="180">
        <f>'RKA P&amp;L'!E22</f>
        <v>45.704444345999995</v>
      </c>
      <c r="G5" s="180">
        <f>'RKA P&amp;L'!F22</f>
        <v>41.967875565</v>
      </c>
      <c r="H5" s="180">
        <f>'RKA P&amp;L'!G22</f>
        <v>41.967875565</v>
      </c>
      <c r="I5" s="180">
        <f>'RKA P&amp;L'!H22</f>
        <v>41.967875565</v>
      </c>
      <c r="J5" s="180">
        <f>'RKA P&amp;L'!I22</f>
        <v>19.918735649999999</v>
      </c>
      <c r="K5" s="180">
        <f>'RKA P&amp;L'!J22</f>
        <v>19.864312875</v>
      </c>
      <c r="L5" s="180">
        <f>'RKA P&amp;L'!K22</f>
        <v>19.864312875</v>
      </c>
      <c r="M5" s="180">
        <f>'RKA P&amp;L'!L22</f>
        <v>19.864312875</v>
      </c>
      <c r="N5" s="180">
        <f>'RKA P&amp;L'!M22</f>
        <v>19.918735649999999</v>
      </c>
      <c r="O5" s="180">
        <f>'RKA P&amp;L'!N22</f>
        <v>19.864312875</v>
      </c>
      <c r="P5" s="180">
        <f>'RKA P&amp;L'!O22</f>
        <v>19.864312875</v>
      </c>
      <c r="Q5" s="180">
        <f>'RKA P&amp;L'!P22</f>
        <v>19.864312875</v>
      </c>
      <c r="R5" s="180">
        <f>'RKA P&amp;L'!Q22</f>
        <v>19.918735649999999</v>
      </c>
      <c r="S5" s="180">
        <f>'RKA P&amp;L'!R22</f>
        <v>19.864312875</v>
      </c>
      <c r="T5" s="180">
        <f>'RKA P&amp;L'!S22</f>
        <v>19.864312875</v>
      </c>
      <c r="U5" s="180">
        <f>'RKA P&amp;L'!T22</f>
        <v>23.062628919101886</v>
      </c>
    </row>
    <row r="6" spans="4:21" x14ac:dyDescent="0.2">
      <c r="D6" s="118" t="s">
        <v>149</v>
      </c>
      <c r="E6" s="179"/>
      <c r="F6" s="179">
        <f t="shared" ref="F6:S6" si="0">F5/E5-1</f>
        <v>2.739726027397138E-3</v>
      </c>
      <c r="G6" s="179">
        <f t="shared" si="0"/>
        <v>-8.175504230426156E-2</v>
      </c>
      <c r="H6" s="179">
        <f t="shared" si="0"/>
        <v>0</v>
      </c>
      <c r="I6" s="179">
        <f t="shared" si="0"/>
        <v>0</v>
      </c>
      <c r="J6" s="179">
        <f t="shared" si="0"/>
        <v>-0.52538136891990672</v>
      </c>
      <c r="K6" s="179">
        <f t="shared" si="0"/>
        <v>-2.732240437158473E-3</v>
      </c>
      <c r="L6" s="179">
        <f t="shared" si="0"/>
        <v>0</v>
      </c>
      <c r="M6" s="179">
        <f t="shared" si="0"/>
        <v>0</v>
      </c>
      <c r="N6" s="179">
        <f t="shared" si="0"/>
        <v>2.739726027397138E-3</v>
      </c>
      <c r="O6" s="179">
        <f t="shared" si="0"/>
        <v>-2.732240437158473E-3</v>
      </c>
      <c r="P6" s="179">
        <f t="shared" si="0"/>
        <v>0</v>
      </c>
      <c r="Q6" s="179">
        <f t="shared" si="0"/>
        <v>0</v>
      </c>
      <c r="R6" s="179">
        <f t="shared" si="0"/>
        <v>2.739726027397138E-3</v>
      </c>
      <c r="S6" s="179">
        <f t="shared" si="0"/>
        <v>-2.732240437158473E-3</v>
      </c>
      <c r="T6" s="179">
        <f t="shared" ref="T6" si="1">T5/S5-1</f>
        <v>0</v>
      </c>
      <c r="U6" s="179">
        <f t="shared" ref="U6" si="2">U5/T5-1</f>
        <v>0.16100813877771181</v>
      </c>
    </row>
    <row r="7" spans="4:21" ht="15" x14ac:dyDescent="0.25">
      <c r="D7" s="7" t="s">
        <v>150</v>
      </c>
      <c r="E7" s="180">
        <f>'RKA P&amp;L'!D28</f>
        <v>39.148794686100004</v>
      </c>
      <c r="F7" s="180">
        <f>'RKA P&amp;L'!E28</f>
        <v>39.08137768524</v>
      </c>
      <c r="G7" s="180">
        <f>'RKA P&amp;L'!F28</f>
        <v>35.374963031100002</v>
      </c>
      <c r="H7" s="180">
        <f>'RKA P&amp;L'!G28</f>
        <v>35.171221031100004</v>
      </c>
      <c r="I7" s="180">
        <f>'RKA P&amp;L'!H28</f>
        <v>34.957291931100002</v>
      </c>
      <c r="J7" s="180">
        <f>'RKA P&amp;L'!I28</f>
        <v>14.006474855999997</v>
      </c>
      <c r="K7" s="180">
        <f>'RKA P&amp;L'!J28</f>
        <v>13.719460614749998</v>
      </c>
      <c r="L7" s="180">
        <f>'RKA P&amp;L'!K28</f>
        <v>13.471810940362499</v>
      </c>
      <c r="M7" s="180">
        <f>'RKA P&amp;L'!L28</f>
        <v>13.211778782255623</v>
      </c>
      <c r="N7" s="180">
        <f>'RKA P&amp;L'!M28</f>
        <v>12.989902424743402</v>
      </c>
      <c r="O7" s="180">
        <f>'RKA P&amp;L'!N28</f>
        <v>12.652059561930574</v>
      </c>
      <c r="P7" s="180">
        <f>'RKA P&amp;L'!O28</f>
        <v>12.351039834902103</v>
      </c>
      <c r="Q7" s="180">
        <f>'RKA P&amp;L'!P28</f>
        <v>12.034969121522206</v>
      </c>
      <c r="R7" s="180">
        <f>'RKA P&amp;L'!Q28</f>
        <v>11.754252280973315</v>
      </c>
      <c r="S7" s="180">
        <f>'RKA P&amp;L'!R28</f>
        <v>11.354626910971982</v>
      </c>
      <c r="T7" s="180">
        <f>'RKA P&amp;L'!S28</f>
        <v>10.988735551395582</v>
      </c>
      <c r="U7" s="180">
        <f>'RKA P&amp;L'!T28</f>
        <v>13.802865667942246</v>
      </c>
    </row>
    <row r="8" spans="4:21" x14ac:dyDescent="0.2">
      <c r="D8" s="118" t="s">
        <v>151</v>
      </c>
      <c r="E8" s="179">
        <f t="shared" ref="E8:S8" si="3">E7/E$5</f>
        <v>0.85891103632415977</v>
      </c>
      <c r="F8" s="179">
        <f t="shared" si="3"/>
        <v>0.85508922041320823</v>
      </c>
      <c r="G8" s="179">
        <f t="shared" si="3"/>
        <v>0.842905735752841</v>
      </c>
      <c r="H8" s="179">
        <f t="shared" si="3"/>
        <v>0.83805102254048303</v>
      </c>
      <c r="I8" s="179">
        <f t="shared" si="3"/>
        <v>0.83295357366750722</v>
      </c>
      <c r="J8" s="179">
        <f t="shared" si="3"/>
        <v>0.70318091981907482</v>
      </c>
      <c r="K8" s="179">
        <f t="shared" si="3"/>
        <v>0.69065870544238483</v>
      </c>
      <c r="L8" s="179">
        <f t="shared" si="3"/>
        <v>0.67819164071450411</v>
      </c>
      <c r="M8" s="179">
        <f t="shared" si="3"/>
        <v>0.66510122275022932</v>
      </c>
      <c r="N8" s="179">
        <f t="shared" si="3"/>
        <v>0.65214492792083434</v>
      </c>
      <c r="O8" s="179">
        <f t="shared" si="3"/>
        <v>0.6369240980821278</v>
      </c>
      <c r="P8" s="179">
        <f t="shared" si="3"/>
        <v>0.62177030298623426</v>
      </c>
      <c r="Q8" s="179">
        <f t="shared" si="3"/>
        <v>0.60585881813554576</v>
      </c>
      <c r="R8" s="179">
        <f t="shared" si="3"/>
        <v>0.5901103607935736</v>
      </c>
      <c r="S8" s="179">
        <f t="shared" si="3"/>
        <v>0.57160934699443922</v>
      </c>
      <c r="T8" s="179">
        <f t="shared" ref="T8:U8" si="4">T7/T$5</f>
        <v>0.55318981434416126</v>
      </c>
      <c r="U8" s="179">
        <f t="shared" si="4"/>
        <v>0.59849489476500506</v>
      </c>
    </row>
    <row r="9" spans="4:21" ht="15" x14ac:dyDescent="0.25">
      <c r="D9" s="7" t="s">
        <v>134</v>
      </c>
      <c r="E9" s="180">
        <f>'RKA P&amp;L'!D31</f>
        <v>29.103926964887883</v>
      </c>
      <c r="F9" s="180">
        <f>'RKA P&amp;L'!E31</f>
        <v>29.035277826164133</v>
      </c>
      <c r="G9" s="180">
        <f>'RKA P&amp;L'!F31</f>
        <v>25.328863172024136</v>
      </c>
      <c r="H9" s="180">
        <f>'RKA P&amp;L'!G31</f>
        <v>25.124667194982109</v>
      </c>
      <c r="I9" s="180">
        <f>'RKA P&amp;L'!H31</f>
        <v>24.909355668679297</v>
      </c>
      <c r="J9" s="180">
        <f>'RKA P&amp;L'!I31</f>
        <v>3.9585385935792896</v>
      </c>
      <c r="K9" s="180">
        <f>'RKA P&amp;L'!J31</f>
        <v>3.6715243523292909</v>
      </c>
      <c r="L9" s="180">
        <f>'RKA P&amp;L'!K31</f>
        <v>3.4223236319598964</v>
      </c>
      <c r="M9" s="180">
        <f>'RKA P&amp;L'!L31</f>
        <v>3.1618772056423783</v>
      </c>
      <c r="N9" s="180">
        <f>'RKA P&amp;L'!M31</f>
        <v>2.9400008481301576</v>
      </c>
      <c r="O9" s="180">
        <f>'RKA P&amp;L'!N31</f>
        <v>2.6004177524867913</v>
      </c>
      <c r="P9" s="180">
        <f>'RKA P&amp;L'!O31</f>
        <v>2.2993980254583199</v>
      </c>
      <c r="Q9" s="180">
        <f>'RKA P&amp;L'!P31</f>
        <v>1.9833273120784227</v>
      </c>
      <c r="R9" s="180">
        <f>'RKA P&amp;L'!Q31</f>
        <v>1.7001777256302013</v>
      </c>
      <c r="S9" s="180">
        <f>'RKA P&amp;L'!R31</f>
        <v>1.3005523556288683</v>
      </c>
      <c r="T9" s="180">
        <f>'RKA P&amp;L'!S31</f>
        <v>0.93466099605246811</v>
      </c>
      <c r="U9" s="180">
        <f>'RKA P&amp;L'!T31</f>
        <v>3.7639153274610955</v>
      </c>
    </row>
    <row r="10" spans="4:21" x14ac:dyDescent="0.2">
      <c r="D10" s="118" t="s">
        <v>151</v>
      </c>
      <c r="E10" s="179">
        <f t="shared" ref="E10:S10" si="5">E9/E$5</f>
        <v>0.63853010727275528</v>
      </c>
      <c r="F10" s="179">
        <f t="shared" si="5"/>
        <v>0.63528346622827436</v>
      </c>
      <c r="G10" s="179">
        <f t="shared" si="5"/>
        <v>0.60352979108496208</v>
      </c>
      <c r="H10" s="179">
        <f t="shared" si="5"/>
        <v>0.59866426062164935</v>
      </c>
      <c r="I10" s="179">
        <f t="shared" si="5"/>
        <v>0.59353387164188465</v>
      </c>
      <c r="J10" s="179">
        <f t="shared" si="5"/>
        <v>0.19873443089643544</v>
      </c>
      <c r="K10" s="179">
        <f t="shared" si="5"/>
        <v>0.18483017134461496</v>
      </c>
      <c r="L10" s="179">
        <f t="shared" si="5"/>
        <v>0.17228502458129433</v>
      </c>
      <c r="M10" s="179">
        <f t="shared" si="5"/>
        <v>0.1591737517194326</v>
      </c>
      <c r="N10" s="179">
        <f t="shared" si="5"/>
        <v>0.14759977238465724</v>
      </c>
      <c r="O10" s="179">
        <f t="shared" si="5"/>
        <v>0.13090902105954627</v>
      </c>
      <c r="P10" s="179">
        <f t="shared" si="5"/>
        <v>0.11575522596365267</v>
      </c>
      <c r="Q10" s="179">
        <f t="shared" si="5"/>
        <v>9.9843741112964263E-2</v>
      </c>
      <c r="R10" s="179">
        <f t="shared" si="5"/>
        <v>8.5355705076100116E-2</v>
      </c>
      <c r="S10" s="179">
        <f t="shared" si="5"/>
        <v>6.5471801809246735E-2</v>
      </c>
      <c r="T10" s="179">
        <f t="shared" ref="T10:U10" si="6">T9/T$5</f>
        <v>4.7052269158968742E-2</v>
      </c>
      <c r="U10" s="179">
        <f t="shared" si="6"/>
        <v>0.16320408833979849</v>
      </c>
    </row>
    <row r="11" spans="4:21" ht="15" x14ac:dyDescent="0.25">
      <c r="D11" s="7" t="s">
        <v>152</v>
      </c>
      <c r="E11" s="180">
        <f>E9*(1-$B$35)</f>
        <v>21.779050626364899</v>
      </c>
      <c r="F11" s="180">
        <f t="shared" ref="F11:U11" si="7">F9*(1-$B$35)</f>
        <v>21.727679102875143</v>
      </c>
      <c r="G11" s="180">
        <f t="shared" si="7"/>
        <v>18.954094888889102</v>
      </c>
      <c r="H11" s="180">
        <f t="shared" si="7"/>
        <v>18.80129095534901</v>
      </c>
      <c r="I11" s="180">
        <f t="shared" si="7"/>
        <v>18.640169033986091</v>
      </c>
      <c r="J11" s="180">
        <f t="shared" si="7"/>
        <v>2.9622536003472542</v>
      </c>
      <c r="K11" s="180">
        <f t="shared" si="7"/>
        <v>2.7474751033350548</v>
      </c>
      <c r="L11" s="180">
        <f t="shared" si="7"/>
        <v>2.5609932202682297</v>
      </c>
      <c r="M11" s="180">
        <f t="shared" si="7"/>
        <v>2.3660959505263044</v>
      </c>
      <c r="N11" s="180">
        <f t="shared" si="7"/>
        <v>2.2000614346727594</v>
      </c>
      <c r="O11" s="180">
        <f t="shared" si="7"/>
        <v>1.9459446125409157</v>
      </c>
      <c r="P11" s="180">
        <f t="shared" si="7"/>
        <v>1.7206855304109701</v>
      </c>
      <c r="Q11" s="180">
        <f t="shared" si="7"/>
        <v>1.4841634941745252</v>
      </c>
      <c r="R11" s="180">
        <f t="shared" si="7"/>
        <v>1.2722769956435922</v>
      </c>
      <c r="S11" s="180">
        <f t="shared" si="7"/>
        <v>0.97322933876419471</v>
      </c>
      <c r="T11" s="180">
        <f t="shared" si="7"/>
        <v>0.69942551656598295</v>
      </c>
      <c r="U11" s="180">
        <f t="shared" si="7"/>
        <v>2.8166131178456868</v>
      </c>
    </row>
    <row r="12" spans="4:21" x14ac:dyDescent="0.2">
      <c r="D12" s="118" t="s">
        <v>151</v>
      </c>
      <c r="E12" s="179">
        <f t="shared" ref="E12:S12" si="8">E11/E$5</f>
        <v>0.4778248498743482</v>
      </c>
      <c r="F12" s="179">
        <f t="shared" si="8"/>
        <v>0.47539532344794228</v>
      </c>
      <c r="G12" s="179">
        <f t="shared" si="8"/>
        <v>0.45163341326469886</v>
      </c>
      <c r="H12" s="179">
        <f t="shared" si="8"/>
        <v>0.44799243950839263</v>
      </c>
      <c r="I12" s="179">
        <f t="shared" si="8"/>
        <v>0.44415326682705508</v>
      </c>
      <c r="J12" s="179">
        <f t="shared" si="8"/>
        <v>0.14871694932842058</v>
      </c>
      <c r="K12" s="179">
        <f t="shared" si="8"/>
        <v>0.13831211382060227</v>
      </c>
      <c r="L12" s="179">
        <f t="shared" si="8"/>
        <v>0.12892432959467418</v>
      </c>
      <c r="M12" s="179">
        <f t="shared" si="8"/>
        <v>0.1191129018866858</v>
      </c>
      <c r="N12" s="179">
        <f t="shared" si="8"/>
        <v>0.11045186167088671</v>
      </c>
      <c r="O12" s="179">
        <f t="shared" si="8"/>
        <v>9.796183863927968E-2</v>
      </c>
      <c r="P12" s="179">
        <f t="shared" si="8"/>
        <v>8.6621950693120564E-2</v>
      </c>
      <c r="Q12" s="179">
        <f t="shared" si="8"/>
        <v>7.4715068349653413E-2</v>
      </c>
      <c r="R12" s="179">
        <f t="shared" si="8"/>
        <v>6.3873381222547237E-2</v>
      </c>
      <c r="S12" s="179">
        <f t="shared" si="8"/>
        <v>4.899385872989552E-2</v>
      </c>
      <c r="T12" s="179">
        <f t="shared" ref="T12:U12" si="9">T11/T$5</f>
        <v>3.5210154057039485E-2</v>
      </c>
      <c r="U12" s="179">
        <f t="shared" si="9"/>
        <v>0.122128883386438</v>
      </c>
    </row>
    <row r="13" spans="4:21" ht="15" x14ac:dyDescent="0.25">
      <c r="D13" s="8" t="s">
        <v>153</v>
      </c>
      <c r="E13" s="181">
        <f>'Depreciation Schedule'!E102</f>
        <v>10.044867721212121</v>
      </c>
      <c r="F13" s="181">
        <f>'Depreciation Schedule'!F102</f>
        <v>10.046099859075868</v>
      </c>
      <c r="G13" s="181">
        <f>'Depreciation Schedule'!G102</f>
        <v>10.046099859075868</v>
      </c>
      <c r="H13" s="181">
        <f>'Depreciation Schedule'!H102</f>
        <v>10.046553836117896</v>
      </c>
      <c r="I13" s="181">
        <f>'Depreciation Schedule'!I102</f>
        <v>10.047936262420707</v>
      </c>
      <c r="J13" s="181">
        <f>'Depreciation Schedule'!J102</f>
        <v>10.047936262420707</v>
      </c>
      <c r="K13" s="181">
        <f>'Depreciation Schedule'!K102</f>
        <v>10.047936262420707</v>
      </c>
      <c r="L13" s="181">
        <f>'Depreciation Schedule'!L102</f>
        <v>10.049487308402602</v>
      </c>
      <c r="M13" s="181">
        <f>'Depreciation Schedule'!M102</f>
        <v>10.049901576613244</v>
      </c>
      <c r="N13" s="181">
        <f>'Depreciation Schedule'!N102</f>
        <v>10.049901576613244</v>
      </c>
      <c r="O13" s="181">
        <f>'Depreciation Schedule'!O102</f>
        <v>10.051641809443783</v>
      </c>
      <c r="P13" s="181">
        <f>'Depreciation Schedule'!P102</f>
        <v>10.051641809443783</v>
      </c>
      <c r="Q13" s="181">
        <f>'Depreciation Schedule'!Q102</f>
        <v>10.051641809443783</v>
      </c>
      <c r="R13" s="181">
        <f>'Depreciation Schedule'!R102</f>
        <v>10.054074555343114</v>
      </c>
      <c r="S13" s="181">
        <f>'Depreciation Schedule'!S102</f>
        <v>10.054074555343114</v>
      </c>
      <c r="T13" s="181">
        <f>'Depreciation Schedule'!T102</f>
        <v>10.054074555343114</v>
      </c>
      <c r="U13" s="181">
        <f>'Depreciation Schedule'!U102</f>
        <v>10.038950340481151</v>
      </c>
    </row>
    <row r="14" spans="4:21" x14ac:dyDescent="0.2">
      <c r="D14" s="118" t="s">
        <v>151</v>
      </c>
      <c r="E14" s="179">
        <f t="shared" ref="E14:S14" si="10">E13/E$5</f>
        <v>0.22038092905140444</v>
      </c>
      <c r="F14" s="179">
        <f t="shared" si="10"/>
        <v>0.21980575418493392</v>
      </c>
      <c r="G14" s="179">
        <f t="shared" si="10"/>
        <v>0.23937594466787893</v>
      </c>
      <c r="H14" s="179">
        <f t="shared" si="10"/>
        <v>0.23938676191883376</v>
      </c>
      <c r="I14" s="179">
        <f t="shared" si="10"/>
        <v>0.2394197020256226</v>
      </c>
      <c r="J14" s="179">
        <f t="shared" si="10"/>
        <v>0.50444648892263944</v>
      </c>
      <c r="K14" s="179">
        <f t="shared" si="10"/>
        <v>0.50582853409776996</v>
      </c>
      <c r="L14" s="179">
        <f t="shared" si="10"/>
        <v>0.50590661613320986</v>
      </c>
      <c r="M14" s="179">
        <f t="shared" si="10"/>
        <v>0.50592747103079672</v>
      </c>
      <c r="N14" s="179">
        <f t="shared" si="10"/>
        <v>0.50454515553617707</v>
      </c>
      <c r="O14" s="179">
        <f t="shared" si="10"/>
        <v>0.50601507702258153</v>
      </c>
      <c r="P14" s="179">
        <f t="shared" si="10"/>
        <v>0.50601507702258153</v>
      </c>
      <c r="Q14" s="179">
        <f t="shared" si="10"/>
        <v>0.50601507702258153</v>
      </c>
      <c r="R14" s="179">
        <f t="shared" si="10"/>
        <v>0.50475465571747347</v>
      </c>
      <c r="S14" s="179">
        <f t="shared" si="10"/>
        <v>0.50613754518519249</v>
      </c>
      <c r="T14" s="179">
        <f t="shared" ref="T14:U14" si="11">T13/T$5</f>
        <v>0.50613754518519249</v>
      </c>
      <c r="U14" s="179">
        <f t="shared" si="11"/>
        <v>0.43529080642520657</v>
      </c>
    </row>
    <row r="15" spans="4:21" ht="15" x14ac:dyDescent="0.25">
      <c r="D15" s="8" t="s">
        <v>154</v>
      </c>
      <c r="E15" s="181">
        <f>'RKA P&amp;L'!D72</f>
        <v>-17.204204758904112</v>
      </c>
      <c r="F15" s="181">
        <f>'RKA P&amp;L'!E72</f>
        <v>-0.19090051650572804</v>
      </c>
      <c r="G15" s="181">
        <f>'RKA P&amp;L'!F72</f>
        <v>-2.2032766067819409</v>
      </c>
      <c r="H15" s="181">
        <f>'RKA P&amp;L'!G72</f>
        <v>-0.22327890410959128</v>
      </c>
      <c r="I15" s="181">
        <f>'RKA P&amp;L'!H72</f>
        <v>-0.23444284931506587</v>
      </c>
      <c r="J15" s="181">
        <f>'RKA P&amp;L'!I72</f>
        <v>-12.343581970940942</v>
      </c>
      <c r="K15" s="181">
        <f>'RKA P&amp;L'!J72</f>
        <v>-0.27259746220974801</v>
      </c>
      <c r="L15" s="181">
        <f>'RKA P&amp;L'!K72</f>
        <v>-0.27139690343835632</v>
      </c>
      <c r="M15" s="181">
        <f>'RKA P&amp;L'!L72</f>
        <v>-0.28496674861027405</v>
      </c>
      <c r="N15" s="181">
        <f>'RKA P&amp;L'!M72</f>
        <v>-0.28204700733352883</v>
      </c>
      <c r="O15" s="181">
        <f>'RKA P&amp;L'!N72</f>
        <v>-0.33134391905008709</v>
      </c>
      <c r="P15" s="181">
        <f>'RKA P&amp;L'!O72</f>
        <v>-0.32988463235996868</v>
      </c>
      <c r="Q15" s="181">
        <f>'RKA P&amp;L'!P72</f>
        <v>-0.34637886397796702</v>
      </c>
      <c r="R15" s="181">
        <f>'RKA P&amp;L'!Q72</f>
        <v>-0.34282990020770132</v>
      </c>
      <c r="S15" s="181">
        <f>'RKA P&amp;L'!R72</f>
        <v>-0.40275060450487477</v>
      </c>
      <c r="T15" s="181">
        <f>'RKA P&amp;L'!S72</f>
        <v>-0.40097683241249449</v>
      </c>
      <c r="U15" s="181">
        <f>'RKA P&amp;L'!T72</f>
        <v>-0.4210256740331193</v>
      </c>
    </row>
    <row r="16" spans="4:21" x14ac:dyDescent="0.2">
      <c r="D16" s="118" t="s">
        <v>151</v>
      </c>
      <c r="E16" s="179">
        <f t="shared" ref="E16:S16" si="12">E15/E$5</f>
        <v>-0.37745431135457114</v>
      </c>
      <c r="F16" s="179">
        <f t="shared" si="12"/>
        <v>-4.1768479901109542E-3</v>
      </c>
      <c r="G16" s="179">
        <f t="shared" si="12"/>
        <v>-5.2499121700108412E-2</v>
      </c>
      <c r="H16" s="179">
        <f t="shared" si="12"/>
        <v>-5.3202336573786322E-3</v>
      </c>
      <c r="I16" s="179">
        <f t="shared" si="12"/>
        <v>-5.5862453402474449E-3</v>
      </c>
      <c r="J16" s="179">
        <f t="shared" si="12"/>
        <v>-0.61969706249607981</v>
      </c>
      <c r="K16" s="179">
        <f t="shared" si="12"/>
        <v>-1.37229746593864E-2</v>
      </c>
      <c r="L16" s="179">
        <f t="shared" si="12"/>
        <v>-1.3662536688088504E-2</v>
      </c>
      <c r="M16" s="179">
        <f t="shared" si="12"/>
        <v>-1.4345663522492924E-2</v>
      </c>
      <c r="N16" s="179">
        <f t="shared" si="12"/>
        <v>-1.415988505944798E-2</v>
      </c>
      <c r="O16" s="179">
        <f t="shared" si="12"/>
        <v>-1.6680361467075768E-2</v>
      </c>
      <c r="P16" s="179">
        <f t="shared" si="12"/>
        <v>-1.6606898735225882E-2</v>
      </c>
      <c r="Q16" s="179">
        <f t="shared" si="12"/>
        <v>-1.7437243671987172E-2</v>
      </c>
      <c r="R16" s="179">
        <f t="shared" si="12"/>
        <v>-1.7211428789040702E-2</v>
      </c>
      <c r="S16" s="179">
        <f t="shared" si="12"/>
        <v>-2.0275083615489759E-2</v>
      </c>
      <c r="T16" s="179">
        <f t="shared" ref="T16:U16" si="13">T15/T$5</f>
        <v>-2.018578920578417E-2</v>
      </c>
      <c r="U16" s="179">
        <f t="shared" si="13"/>
        <v>-1.825575373518671E-2</v>
      </c>
    </row>
    <row r="17" spans="1:21" ht="15" x14ac:dyDescent="0.25">
      <c r="D17" s="8" t="s">
        <v>155</v>
      </c>
      <c r="E17" s="181">
        <f>'Depreciation Schedule'!E100-'Depreciation Schedule'!E101</f>
        <v>3.4195961674991636E-2</v>
      </c>
      <c r="F17" s="181">
        <f>'Depreciation Schedule'!F100-'Depreciation Schedule'!F101</f>
        <v>0</v>
      </c>
      <c r="G17" s="181">
        <f>'Depreciation Schedule'!G100-'Depreciation Schedule'!G101</f>
        <v>1.6630352852772794E-2</v>
      </c>
      <c r="H17" s="181">
        <f>'Depreciation Schedule'!H100-'Depreciation Schedule'!H101</f>
        <v>3.4663637003629309E-2</v>
      </c>
      <c r="I17" s="181">
        <f>'Depreciation Schedule'!I100-'Depreciation Schedule'!I101</f>
        <v>0</v>
      </c>
      <c r="J17" s="181">
        <f>'Depreciation Schedule'!J100-'Depreciation Schedule'!J101</f>
        <v>0</v>
      </c>
      <c r="K17" s="181">
        <f>'Depreciation Schedule'!K100-'Depreciation Schedule'!K101</f>
        <v>4.3046732442500658E-2</v>
      </c>
      <c r="L17" s="181">
        <f>'Depreciation Schedule'!L100-'Depreciation Schedule'!L101</f>
        <v>1.5185244213525606E-2</v>
      </c>
      <c r="M17" s="181">
        <f>'Depreciation Schedule'!M100-'Depreciation Schedule'!M101</f>
        <v>0</v>
      </c>
      <c r="N17" s="181">
        <f>'Depreciation Schedule'!N100-'Depreciation Schedule'!N101</f>
        <v>4.8297302541791855E-2</v>
      </c>
      <c r="O17" s="181">
        <f>'Depreciation Schedule'!O100-'Depreciation Schedule'!O101</f>
        <v>0</v>
      </c>
      <c r="P17" s="181">
        <f>'Depreciation Schedule'!P100-'Depreciation Schedule'!P101</f>
        <v>0</v>
      </c>
      <c r="Q17" s="181">
        <f>'Depreciation Schedule'!Q100-'Depreciation Schedule'!Q101</f>
        <v>7.1792164138019476E-2</v>
      </c>
      <c r="R17" s="181">
        <f>'Depreciation Schedule'!R100-'Depreciation Schedule'!R101</f>
        <v>0</v>
      </c>
      <c r="S17" s="181">
        <f>'Depreciation Schedule'!S100-'Depreciation Schedule'!S101</f>
        <v>0</v>
      </c>
      <c r="T17" s="181">
        <f>'Depreciation Schedule'!T100-'Depreciation Schedule'!T101</f>
        <v>0</v>
      </c>
      <c r="U17" s="181">
        <f>'Depreciation Schedule'!U100-'Depreciation Schedule'!U101</f>
        <v>-7.3886914356524809</v>
      </c>
    </row>
    <row r="18" spans="1:21" x14ac:dyDescent="0.2">
      <c r="D18" s="118" t="s">
        <v>151</v>
      </c>
      <c r="E18" s="179">
        <f t="shared" ref="E18:S18" si="14">E17/E$5</f>
        <v>7.5024759040146784E-4</v>
      </c>
      <c r="F18" s="179">
        <f t="shared" si="14"/>
        <v>0</v>
      </c>
      <c r="G18" s="179">
        <f t="shared" si="14"/>
        <v>3.9626387156566079E-4</v>
      </c>
      <c r="H18" s="179">
        <f t="shared" si="14"/>
        <v>8.2595643779829033E-4</v>
      </c>
      <c r="I18" s="179">
        <f t="shared" si="14"/>
        <v>0</v>
      </c>
      <c r="J18" s="179">
        <f t="shared" si="14"/>
        <v>0</v>
      </c>
      <c r="K18" s="179">
        <f t="shared" si="14"/>
        <v>2.1670385838856083E-3</v>
      </c>
      <c r="L18" s="179">
        <f t="shared" si="14"/>
        <v>7.6444850164622698E-4</v>
      </c>
      <c r="M18" s="179">
        <f t="shared" si="14"/>
        <v>0</v>
      </c>
      <c r="N18" s="179">
        <f t="shared" si="14"/>
        <v>2.4247172807773999E-3</v>
      </c>
      <c r="O18" s="179">
        <f t="shared" si="14"/>
        <v>0</v>
      </c>
      <c r="P18" s="179">
        <f t="shared" si="14"/>
        <v>0</v>
      </c>
      <c r="Q18" s="179">
        <f t="shared" si="14"/>
        <v>3.6141277370018003E-3</v>
      </c>
      <c r="R18" s="179">
        <f t="shared" si="14"/>
        <v>0</v>
      </c>
      <c r="S18" s="179">
        <f t="shared" si="14"/>
        <v>0</v>
      </c>
      <c r="T18" s="179">
        <f t="shared" ref="T18:U18" si="15">T17/T$5</f>
        <v>0</v>
      </c>
      <c r="U18" s="179">
        <f t="shared" si="15"/>
        <v>-0.32037507352566874</v>
      </c>
    </row>
    <row r="19" spans="1:21" ht="15" x14ac:dyDescent="0.25">
      <c r="D19" s="35" t="s">
        <v>156</v>
      </c>
      <c r="E19" s="182">
        <f t="shared" ref="E19:S19" si="16">E11+E13-E15-E17</f>
        <v>48.993927144806143</v>
      </c>
      <c r="F19" s="182">
        <f t="shared" si="16"/>
        <v>31.964679478456738</v>
      </c>
      <c r="G19" s="182">
        <f t="shared" si="16"/>
        <v>31.186841001894138</v>
      </c>
      <c r="H19" s="182">
        <f t="shared" si="16"/>
        <v>29.036460058572867</v>
      </c>
      <c r="I19" s="182">
        <f t="shared" si="16"/>
        <v>28.922548145721862</v>
      </c>
      <c r="J19" s="182">
        <f t="shared" si="16"/>
        <v>25.353771833708905</v>
      </c>
      <c r="K19" s="182">
        <f t="shared" si="16"/>
        <v>13.02496209552301</v>
      </c>
      <c r="L19" s="182">
        <f t="shared" si="16"/>
        <v>12.866692187895664</v>
      </c>
      <c r="M19" s="182">
        <f t="shared" si="16"/>
        <v>12.700964275749822</v>
      </c>
      <c r="N19" s="182">
        <f t="shared" si="16"/>
        <v>12.483712716077742</v>
      </c>
      <c r="O19" s="182">
        <f t="shared" si="16"/>
        <v>12.328930341034788</v>
      </c>
      <c r="P19" s="182">
        <f t="shared" si="16"/>
        <v>12.102211972214722</v>
      </c>
      <c r="Q19" s="182">
        <f t="shared" si="16"/>
        <v>11.810392003458256</v>
      </c>
      <c r="R19" s="182">
        <f t="shared" si="16"/>
        <v>11.669181451194408</v>
      </c>
      <c r="S19" s="182">
        <f t="shared" si="16"/>
        <v>11.430054498612183</v>
      </c>
      <c r="T19" s="182">
        <f t="shared" ref="T19:U19" si="17">T11+T13-T15-T17</f>
        <v>11.154476904321591</v>
      </c>
      <c r="U19" s="182">
        <f t="shared" si="17"/>
        <v>20.665280568012438</v>
      </c>
    </row>
    <row r="20" spans="1:21" x14ac:dyDescent="0.2">
      <c r="D20" s="118" t="s">
        <v>149</v>
      </c>
      <c r="E20" s="179"/>
      <c r="F20" s="179">
        <f t="shared" ref="F20:S20" si="18">F19/E19-1</f>
        <v>-0.34757874411695699</v>
      </c>
      <c r="G20" s="179">
        <f t="shared" si="18"/>
        <v>-2.4334311785821017E-2</v>
      </c>
      <c r="H20" s="179">
        <f t="shared" si="18"/>
        <v>-6.8951547326985274E-2</v>
      </c>
      <c r="I20" s="179">
        <f t="shared" si="18"/>
        <v>-3.9230647476041769E-3</v>
      </c>
      <c r="J20" s="179">
        <f t="shared" si="18"/>
        <v>-0.12339079855731316</v>
      </c>
      <c r="K20" s="179">
        <f t="shared" si="18"/>
        <v>-0.48627122698147118</v>
      </c>
      <c r="L20" s="179">
        <f t="shared" si="18"/>
        <v>-1.2151275870641354E-2</v>
      </c>
      <c r="M20" s="179">
        <f t="shared" si="18"/>
        <v>-1.2880382131294832E-2</v>
      </c>
      <c r="N20" s="179">
        <f t="shared" si="18"/>
        <v>-1.7105123276890288E-2</v>
      </c>
      <c r="O20" s="179">
        <f t="shared" si="18"/>
        <v>-1.2398745354305518E-2</v>
      </c>
      <c r="P20" s="179">
        <f t="shared" si="18"/>
        <v>-1.8389135354708874E-2</v>
      </c>
      <c r="Q20" s="179">
        <f t="shared" si="18"/>
        <v>-2.4112944759722477E-2</v>
      </c>
      <c r="R20" s="179">
        <f t="shared" si="18"/>
        <v>-1.1956466154764311E-2</v>
      </c>
      <c r="S20" s="179">
        <f t="shared" si="18"/>
        <v>-2.049217878583498E-2</v>
      </c>
      <c r="T20" s="179">
        <f t="shared" ref="T20" si="19">T19/S19-1</f>
        <v>-2.4109910790368727E-2</v>
      </c>
      <c r="U20" s="179">
        <f t="shared" ref="U20" si="20">U19/T19-1</f>
        <v>0.85264452517769485</v>
      </c>
    </row>
    <row r="21" spans="1:21" x14ac:dyDescent="0.2"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</row>
    <row r="22" spans="1:21" x14ac:dyDescent="0.2">
      <c r="D22" s="8" t="s">
        <v>157</v>
      </c>
      <c r="E22" s="53">
        <f t="shared" ref="E22:U22" si="21">(E3-$B$30)/365</f>
        <v>-7.1232876712328766E-2</v>
      </c>
      <c r="F22" s="53">
        <f t="shared" si="21"/>
        <v>0.93150684931506844</v>
      </c>
      <c r="G22" s="53">
        <f t="shared" si="21"/>
        <v>1.9315068493150684</v>
      </c>
      <c r="H22" s="53">
        <f t="shared" si="21"/>
        <v>2.9315068493150687</v>
      </c>
      <c r="I22" s="53">
        <f t="shared" si="21"/>
        <v>3.9315068493150687</v>
      </c>
      <c r="J22" s="53">
        <f t="shared" si="21"/>
        <v>4.934246575342466</v>
      </c>
      <c r="K22" s="53">
        <f t="shared" si="21"/>
        <v>5.934246575342466</v>
      </c>
      <c r="L22" s="53">
        <f t="shared" si="21"/>
        <v>6.934246575342466</v>
      </c>
      <c r="M22" s="53">
        <f t="shared" si="21"/>
        <v>7.934246575342466</v>
      </c>
      <c r="N22" s="53">
        <f t="shared" si="21"/>
        <v>8.9369863013698634</v>
      </c>
      <c r="O22" s="53">
        <f t="shared" si="21"/>
        <v>9.9369863013698634</v>
      </c>
      <c r="P22" s="53">
        <f t="shared" si="21"/>
        <v>10.936986301369863</v>
      </c>
      <c r="Q22" s="53">
        <f t="shared" si="21"/>
        <v>11.936986301369863</v>
      </c>
      <c r="R22" s="53">
        <f t="shared" si="21"/>
        <v>12.93972602739726</v>
      </c>
      <c r="S22" s="53">
        <f t="shared" si="21"/>
        <v>13.93972602739726</v>
      </c>
      <c r="T22" s="53">
        <f t="shared" si="21"/>
        <v>14.93972602739726</v>
      </c>
      <c r="U22" s="53">
        <f t="shared" si="21"/>
        <v>15.93972602739726</v>
      </c>
    </row>
    <row r="24" spans="1:21" x14ac:dyDescent="0.2">
      <c r="C24" s="64" t="s">
        <v>158</v>
      </c>
      <c r="D24" s="119" t="s">
        <v>159</v>
      </c>
      <c r="E24" s="120"/>
      <c r="F24" s="120"/>
      <c r="G24" s="120"/>
      <c r="H24" s="120"/>
      <c r="I24" s="120"/>
      <c r="J24" s="120"/>
      <c r="K24" s="120"/>
      <c r="L24" s="120"/>
      <c r="M24" s="121"/>
      <c r="N24" s="121"/>
      <c r="O24" s="121"/>
      <c r="P24" s="121"/>
      <c r="Q24" s="121"/>
      <c r="R24" s="121"/>
      <c r="S24" s="121"/>
      <c r="T24" s="121"/>
      <c r="U24" s="121"/>
    </row>
    <row r="25" spans="1:21" x14ac:dyDescent="0.2">
      <c r="C25" s="8" t="s">
        <v>160</v>
      </c>
      <c r="D25" s="122">
        <f>B49</f>
        <v>9.2476533145292666E-2</v>
      </c>
      <c r="E25" s="53">
        <f t="shared" ref="E25:K27" si="22">E$19/(1+$D25)^E$22</f>
        <v>49.303580284183703</v>
      </c>
      <c r="F25" s="53">
        <f t="shared" si="22"/>
        <v>29.436705566763656</v>
      </c>
      <c r="G25" s="53">
        <f t="shared" si="22"/>
        <v>26.289245328563034</v>
      </c>
      <c r="H25" s="53">
        <f t="shared" si="22"/>
        <v>22.404656248890486</v>
      </c>
      <c r="I25" s="53">
        <f t="shared" si="22"/>
        <v>20.427680279344067</v>
      </c>
      <c r="J25" s="53">
        <f t="shared" si="22"/>
        <v>16.387311960345926</v>
      </c>
      <c r="K25" s="53">
        <f t="shared" si="22"/>
        <v>7.7060086977087927</v>
      </c>
      <c r="L25" s="53">
        <f t="shared" ref="L25:U27" si="23">L$19/(1+$D25)^L$22</f>
        <v>6.9679948531663101</v>
      </c>
      <c r="M25" s="53">
        <f t="shared" si="23"/>
        <v>6.2960111344138765</v>
      </c>
      <c r="N25" s="53">
        <f t="shared" si="23"/>
        <v>5.6631126825535612</v>
      </c>
      <c r="O25" s="53">
        <f t="shared" si="23"/>
        <v>5.1194666620321989</v>
      </c>
      <c r="P25" s="53">
        <f t="shared" si="23"/>
        <v>4.5999377965328181</v>
      </c>
      <c r="Q25" s="53">
        <f t="shared" si="23"/>
        <v>4.1090308252413976</v>
      </c>
      <c r="R25" s="53">
        <f t="shared" si="23"/>
        <v>3.715336241932472</v>
      </c>
      <c r="S25" s="53">
        <f t="shared" si="23"/>
        <v>3.3311478983771532</v>
      </c>
      <c r="T25" s="53">
        <f t="shared" si="23"/>
        <v>2.975655880093321</v>
      </c>
      <c r="U25" s="53">
        <f t="shared" si="23"/>
        <v>5.0461793986512422</v>
      </c>
    </row>
    <row r="26" spans="1:21" x14ac:dyDescent="0.2">
      <c r="C26" s="8" t="s">
        <v>161</v>
      </c>
      <c r="D26" s="122">
        <f>B50</f>
        <v>0.10247653314529266</v>
      </c>
      <c r="E26" s="53">
        <f t="shared" si="22"/>
        <v>49.335591904236018</v>
      </c>
      <c r="F26" s="53">
        <f t="shared" si="22"/>
        <v>29.187910808843522</v>
      </c>
      <c r="G26" s="53">
        <f t="shared" si="22"/>
        <v>25.830611564673905</v>
      </c>
      <c r="H26" s="53">
        <f t="shared" si="22"/>
        <v>21.814115952450745</v>
      </c>
      <c r="I26" s="53">
        <f t="shared" si="22"/>
        <v>19.708843780254853</v>
      </c>
      <c r="J26" s="53">
        <f t="shared" si="22"/>
        <v>15.66685188657066</v>
      </c>
      <c r="K26" s="53">
        <f t="shared" si="22"/>
        <v>7.3003935728129239</v>
      </c>
      <c r="L26" s="53">
        <f t="shared" si="23"/>
        <v>6.5413496430359004</v>
      </c>
      <c r="M26" s="53">
        <f t="shared" si="23"/>
        <v>5.8568997759594268</v>
      </c>
      <c r="N26" s="53">
        <f t="shared" si="23"/>
        <v>5.2202274892313572</v>
      </c>
      <c r="O26" s="53">
        <f t="shared" si="23"/>
        <v>4.6762929304195904</v>
      </c>
      <c r="P26" s="53">
        <f t="shared" si="23"/>
        <v>4.1636259899954648</v>
      </c>
      <c r="Q26" s="53">
        <f t="shared" si="23"/>
        <v>3.6855466618472468</v>
      </c>
      <c r="R26" s="53">
        <f t="shared" si="23"/>
        <v>3.3021177823111874</v>
      </c>
      <c r="S26" s="53">
        <f t="shared" si="23"/>
        <v>2.9338041192736406</v>
      </c>
      <c r="T26" s="53">
        <f t="shared" si="23"/>
        <v>2.5969444950573113</v>
      </c>
      <c r="U26" s="53">
        <f t="shared" si="23"/>
        <v>4.3640067215147011</v>
      </c>
    </row>
    <row r="27" spans="1:21" x14ac:dyDescent="0.2">
      <c r="C27" s="8" t="s">
        <v>162</v>
      </c>
      <c r="D27" s="122">
        <f>B51</f>
        <v>0.11247653314529266</v>
      </c>
      <c r="E27" s="53">
        <f t="shared" si="22"/>
        <v>49.367334973907312</v>
      </c>
      <c r="F27" s="53">
        <f t="shared" si="22"/>
        <v>28.943437017692588</v>
      </c>
      <c r="G27" s="53">
        <f t="shared" si="22"/>
        <v>25.384012656258587</v>
      </c>
      <c r="H27" s="53">
        <f t="shared" si="22"/>
        <v>21.24426448746955</v>
      </c>
      <c r="I27" s="53">
        <f t="shared" si="22"/>
        <v>19.021454594230349</v>
      </c>
      <c r="J27" s="53">
        <f t="shared" si="22"/>
        <v>14.984148449024197</v>
      </c>
      <c r="K27" s="53">
        <f t="shared" si="22"/>
        <v>6.9195061361706385</v>
      </c>
      <c r="L27" s="53">
        <f t="shared" si="23"/>
        <v>6.1443321315692945</v>
      </c>
      <c r="M27" s="53">
        <f t="shared" si="23"/>
        <v>5.4519718889036168</v>
      </c>
      <c r="N27" s="53">
        <f t="shared" si="23"/>
        <v>4.8155178422066625</v>
      </c>
      <c r="O27" s="53">
        <f t="shared" si="23"/>
        <v>4.274976883589602</v>
      </c>
      <c r="P27" s="53">
        <f t="shared" si="23"/>
        <v>3.7720919318402957</v>
      </c>
      <c r="Q27" s="53">
        <f t="shared" si="23"/>
        <v>3.3089558096579363</v>
      </c>
      <c r="R27" s="53">
        <f t="shared" si="23"/>
        <v>2.9379835830630707</v>
      </c>
      <c r="S27" s="53">
        <f t="shared" si="23"/>
        <v>2.5868212159700881</v>
      </c>
      <c r="T27" s="53">
        <f t="shared" si="23"/>
        <v>2.2692192707068237</v>
      </c>
      <c r="U27" s="53">
        <f t="shared" si="23"/>
        <v>3.7790070469321595</v>
      </c>
    </row>
    <row r="29" spans="1:21" x14ac:dyDescent="0.2">
      <c r="A29" s="173" t="s">
        <v>163</v>
      </c>
      <c r="B29" s="173"/>
    </row>
    <row r="30" spans="1:21" x14ac:dyDescent="0.2">
      <c r="A30" s="7" t="s">
        <v>164</v>
      </c>
      <c r="B30" s="123">
        <v>45042</v>
      </c>
    </row>
    <row r="31" spans="1:21" x14ac:dyDescent="0.2">
      <c r="A31" s="7" t="s">
        <v>68</v>
      </c>
      <c r="B31" s="124">
        <v>0.15</v>
      </c>
      <c r="C31" s="5" t="s">
        <v>231</v>
      </c>
    </row>
    <row r="32" spans="1:21" x14ac:dyDescent="0.2">
      <c r="A32" s="7" t="s">
        <v>101</v>
      </c>
      <c r="B32" s="124">
        <f>Assumptions!C38</f>
        <v>0.10989079703010997</v>
      </c>
    </row>
    <row r="33" spans="1:4" x14ac:dyDescent="0.2">
      <c r="A33" s="7" t="s">
        <v>159</v>
      </c>
      <c r="B33" s="124">
        <f>D45</f>
        <v>0.10247653314529266</v>
      </c>
      <c r="D33" s="125"/>
    </row>
    <row r="34" spans="1:4" x14ac:dyDescent="0.2">
      <c r="A34" s="7" t="s">
        <v>165</v>
      </c>
      <c r="B34" s="126">
        <v>0.01</v>
      </c>
    </row>
    <row r="35" spans="1:4" x14ac:dyDescent="0.2">
      <c r="A35" s="7" t="s">
        <v>67</v>
      </c>
      <c r="B35" s="124">
        <f>Assumptions!C68</f>
        <v>0.25168000000000001</v>
      </c>
    </row>
    <row r="36" spans="1:4" x14ac:dyDescent="0.2">
      <c r="A36" s="17"/>
      <c r="B36" s="171"/>
    </row>
    <row r="38" spans="1:4" outlineLevel="1" x14ac:dyDescent="0.2">
      <c r="A38" s="174" t="s">
        <v>166</v>
      </c>
      <c r="B38" s="174"/>
      <c r="C38" s="174"/>
      <c r="D38" s="174"/>
    </row>
    <row r="39" spans="1:4" outlineLevel="1" x14ac:dyDescent="0.2">
      <c r="A39" s="127" t="s">
        <v>69</v>
      </c>
      <c r="B39" s="127" t="s">
        <v>167</v>
      </c>
      <c r="C39" s="127" t="s">
        <v>168</v>
      </c>
      <c r="D39" s="127" t="s">
        <v>159</v>
      </c>
    </row>
    <row r="40" spans="1:4" outlineLevel="1" x14ac:dyDescent="0.2">
      <c r="A40" s="175" t="s">
        <v>169</v>
      </c>
      <c r="B40" s="176"/>
      <c r="C40" s="176"/>
      <c r="D40" s="177"/>
    </row>
    <row r="41" spans="1:4" outlineLevel="1" x14ac:dyDescent="0.2">
      <c r="A41" s="7" t="str">
        <f>[96]Assumptions!B71</f>
        <v>Equity</v>
      </c>
      <c r="B41" s="128">
        <v>1</v>
      </c>
      <c r="C41" s="129">
        <f>B41/$B$43</f>
        <v>3.5866076071947349E-3</v>
      </c>
      <c r="D41" s="130">
        <f>B31</f>
        <v>0.15</v>
      </c>
    </row>
    <row r="42" spans="1:4" outlineLevel="1" x14ac:dyDescent="0.2">
      <c r="A42" s="7" t="str">
        <f>[96]Assumptions!B72</f>
        <v>Debt</v>
      </c>
      <c r="B42" s="128">
        <f>Assumptions!D38</f>
        <v>277.815</v>
      </c>
      <c r="C42" s="129">
        <f>B42/$B$43</f>
        <v>0.99641339239280524</v>
      </c>
      <c r="D42" s="130">
        <f>B32</f>
        <v>0.10989079703010997</v>
      </c>
    </row>
    <row r="43" spans="1:4" outlineLevel="1" x14ac:dyDescent="0.2">
      <c r="A43" s="35"/>
      <c r="B43" s="131">
        <f>SUM(B41:B42)</f>
        <v>278.815</v>
      </c>
      <c r="C43" s="132"/>
      <c r="D43" s="133">
        <f>D41*C41+(D42*(1-B35))*C42</f>
        <v>8.2476533145292658E-2</v>
      </c>
    </row>
    <row r="44" spans="1:4" outlineLevel="1" x14ac:dyDescent="0.2">
      <c r="A44" s="35" t="s">
        <v>243</v>
      </c>
      <c r="B44" s="35"/>
      <c r="C44" s="35"/>
      <c r="D44" s="133">
        <v>0.02</v>
      </c>
    </row>
    <row r="45" spans="1:4" outlineLevel="1" x14ac:dyDescent="0.2">
      <c r="A45" s="35" t="s">
        <v>170</v>
      </c>
      <c r="B45" s="35"/>
      <c r="C45" s="35"/>
      <c r="D45" s="170">
        <f>D43+D44</f>
        <v>0.10247653314529266</v>
      </c>
    </row>
    <row r="47" spans="1:4" x14ac:dyDescent="0.2">
      <c r="A47" s="173" t="s">
        <v>171</v>
      </c>
      <c r="B47" s="173"/>
      <c r="C47" s="173"/>
      <c r="D47" s="134"/>
    </row>
    <row r="48" spans="1:4" ht="24" x14ac:dyDescent="0.2">
      <c r="A48" s="119" t="s">
        <v>172</v>
      </c>
      <c r="B48" s="119" t="s">
        <v>173</v>
      </c>
      <c r="C48" s="135" t="s">
        <v>174</v>
      </c>
    </row>
    <row r="49" spans="1:3" x14ac:dyDescent="0.2">
      <c r="A49" s="7" t="s">
        <v>160</v>
      </c>
      <c r="B49" s="122">
        <f>B50-$B$34</f>
        <v>9.2476533145292666E-2</v>
      </c>
      <c r="C49" s="136">
        <f>SUM(F25:U25)</f>
        <v>170.47548145461033</v>
      </c>
    </row>
    <row r="50" spans="1:3" x14ac:dyDescent="0.2">
      <c r="A50" s="7" t="s">
        <v>161</v>
      </c>
      <c r="B50" s="122">
        <f>B33</f>
        <v>0.10247653314529266</v>
      </c>
      <c r="C50" s="136">
        <f t="shared" ref="C50:C51" si="24">SUM(F26:U26)</f>
        <v>162.8495431742524</v>
      </c>
    </row>
    <row r="51" spans="1:3" x14ac:dyDescent="0.2">
      <c r="A51" s="7" t="s">
        <v>162</v>
      </c>
      <c r="B51" s="122">
        <f>B50+B34</f>
        <v>0.11247653314529266</v>
      </c>
      <c r="C51" s="136">
        <f t="shared" si="24"/>
        <v>155.83770094528546</v>
      </c>
    </row>
    <row r="53" spans="1:3" ht="15" x14ac:dyDescent="0.25">
      <c r="A53" s="149" t="s">
        <v>175</v>
      </c>
      <c r="B53"/>
    </row>
    <row r="54" spans="1:3" ht="15" customHeight="1" x14ac:dyDescent="0.25">
      <c r="A54" s="137">
        <f>C50</f>
        <v>162.8495431742524</v>
      </c>
      <c r="B54"/>
    </row>
    <row r="57" spans="1:3" x14ac:dyDescent="0.2">
      <c r="A57" s="149" t="s">
        <v>182</v>
      </c>
    </row>
    <row r="58" spans="1:3" x14ac:dyDescent="0.2">
      <c r="A58" s="137">
        <f>MAX(0,(A54-B42+Assumptions!C82))</f>
        <v>0</v>
      </c>
    </row>
  </sheetData>
  <mergeCells count="5">
    <mergeCell ref="D3:D4"/>
    <mergeCell ref="A29:B29"/>
    <mergeCell ref="A38:D38"/>
    <mergeCell ref="A40:D40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Debt Sch</vt:lpstr>
      <vt:lpstr>Depreciation Schedule</vt:lpstr>
      <vt:lpstr>Kayathar RKA P&amp;L</vt:lpstr>
      <vt:lpstr>RKA P&amp;L</vt:lpstr>
      <vt:lpstr>Summary_S1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2020-08-05T15:59:00Z</dcterms:created>
  <dcterms:modified xsi:type="dcterms:W3CDTF">2023-05-29T10:24:21Z</dcterms:modified>
</cp:coreProperties>
</file>