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Operational Companies _May 2023\V3\"/>
    </mc:Choice>
  </mc:AlternateContent>
  <xr:revisionPtr revIDLastSave="0" documentId="13_ncr:1_{10D89831-3696-4CF0-8999-7FF705E15808}" xr6:coauthVersionLast="47" xr6:coauthVersionMax="47" xr10:uidLastSave="{00000000-0000-0000-0000-000000000000}"/>
  <bookViews>
    <workbookView xWindow="-120" yWindow="-120" windowWidth="21840" windowHeight="13140" tabRatio="711" activeTab="3" xr2:uid="{00000000-000D-0000-FFFF-FFFF00000000}"/>
  </bookViews>
  <sheets>
    <sheet name="Assumptions" sheetId="1" r:id="rId1"/>
    <sheet name="Nilgiri RKA P&amp;L Historical" sheetId="10" r:id="rId2"/>
    <sheet name="RKA P&amp;L" sheetId="7" r:id="rId3"/>
    <sheet name="Summary_S1 PSA" sheetId="8" r:id="rId4"/>
    <sheet name="Debt Sch" sheetId="6" r:id="rId5"/>
    <sheet name="RKA CAPM" sheetId="5" r:id="rId6"/>
    <sheet name="Depreciation Schedule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</externalReferences>
  <definedNames>
    <definedName name="\0">#REF!</definedName>
    <definedName name="\a" localSheetId="4">#REF!</definedName>
    <definedName name="\a" localSheetId="5">#REF!</definedName>
    <definedName name="\a" localSheetId="3">#REF!</definedName>
    <definedName name="\a">#REF!</definedName>
    <definedName name="\b" localSheetId="4">#REF!</definedName>
    <definedName name="\b" localSheetId="5">#REF!</definedName>
    <definedName name="\b" localSheetId="3">#REF!</definedName>
    <definedName name="\b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d" localSheetId="5">#REF!</definedName>
    <definedName name="\d">#REF!</definedName>
    <definedName name="\e" localSheetId="5">#REF!</definedName>
    <definedName name="\e">#REF!</definedName>
    <definedName name="\f" localSheetId="5">#REF!</definedName>
    <definedName name="\f">#REF!</definedName>
    <definedName name="\g" localSheetId="5">#REF!</definedName>
    <definedName name="\g">#REF!</definedName>
    <definedName name="\h">#REF!</definedName>
    <definedName name="\i">#REF!</definedName>
    <definedName name="\j" localSheetId="5">#REF!</definedName>
    <definedName name="\j">#REF!</definedName>
    <definedName name="\k" localSheetId="5">#REF!</definedName>
    <definedName name="\k">#REF!</definedName>
    <definedName name="\m" localSheetId="5">#REF!</definedName>
    <definedName name="\m">#REF!</definedName>
    <definedName name="\n" localSheetId="5">#REF!</definedName>
    <definedName name="\n">#REF!</definedName>
    <definedName name="\o" localSheetId="5">#REF!</definedName>
    <definedName name="\o">#REF!</definedName>
    <definedName name="\p" localSheetId="5">#REF!</definedName>
    <definedName name="\p">#REF!</definedName>
    <definedName name="\s" localSheetId="5">#REF!</definedName>
    <definedName name="\s">#REF!</definedName>
    <definedName name="\t" localSheetId="5">#REF!</definedName>
    <definedName name="\t">#REF!</definedName>
    <definedName name="\w" localSheetId="5">#REF!</definedName>
    <definedName name="\w">#REF!</definedName>
    <definedName name="\x" localSheetId="5">#REF!</definedName>
    <definedName name="\x">#REF!</definedName>
    <definedName name="\y">#REF!</definedName>
    <definedName name="\z" localSheetId="5">#REF!</definedName>
    <definedName name="\z">#REF!</definedName>
    <definedName name="_" localSheetId="5">#REF!</definedName>
    <definedName name="_">#REF!</definedName>
    <definedName name="_.._D__D__D__D_" localSheetId="5">#REF!</definedName>
    <definedName name="_.._D__D__D__D_">#REF!</definedName>
    <definedName name="____________________SCH1" localSheetId="5">#REF!</definedName>
    <definedName name="____________________SCH1">#REF!</definedName>
    <definedName name="____________________SCH10" localSheetId="5">#REF!</definedName>
    <definedName name="____________________SCH10">#REF!</definedName>
    <definedName name="____________________SCH11" localSheetId="5">#REF!</definedName>
    <definedName name="____________________SCH11">#REF!</definedName>
    <definedName name="____________________SCH2" localSheetId="5">#REF!</definedName>
    <definedName name="____________________SCH2">#REF!</definedName>
    <definedName name="____________________SCH3" localSheetId="5">#REF!</definedName>
    <definedName name="____________________SCH3">#REF!</definedName>
    <definedName name="____________________SCH4" localSheetId="5">#REF!</definedName>
    <definedName name="____________________SCH4">#REF!</definedName>
    <definedName name="____________________SCH5" localSheetId="5">#REF!</definedName>
    <definedName name="____________________SCH5">#REF!</definedName>
    <definedName name="____________________SCH6" localSheetId="5">#REF!</definedName>
    <definedName name="____________________SCH6">#REF!</definedName>
    <definedName name="____________________SCH7" localSheetId="5">#REF!</definedName>
    <definedName name="____________________SCH7">#REF!</definedName>
    <definedName name="____________________SCH8" localSheetId="5">#REF!</definedName>
    <definedName name="____________________SCH8">#REF!</definedName>
    <definedName name="____________________SCH9" localSheetId="5">#REF!</definedName>
    <definedName name="____________________SCH9">#REF!</definedName>
    <definedName name="___________________SCH1" localSheetId="5">#REF!</definedName>
    <definedName name="___________________SCH1">#REF!</definedName>
    <definedName name="___________________SCH10" localSheetId="5">#REF!</definedName>
    <definedName name="___________________SCH10">#REF!</definedName>
    <definedName name="___________________SCH11" localSheetId="5">#REF!</definedName>
    <definedName name="___________________SCH11">#REF!</definedName>
    <definedName name="___________________SCH2" localSheetId="5">#REF!</definedName>
    <definedName name="___________________SCH2">#REF!</definedName>
    <definedName name="___________________SCH3" localSheetId="5">#REF!</definedName>
    <definedName name="___________________SCH3">#REF!</definedName>
    <definedName name="___________________SCH4" localSheetId="5">#REF!</definedName>
    <definedName name="___________________SCH4">#REF!</definedName>
    <definedName name="___________________SCH5" localSheetId="5">#REF!</definedName>
    <definedName name="___________________SCH5">#REF!</definedName>
    <definedName name="___________________SCH6" localSheetId="5">#REF!</definedName>
    <definedName name="___________________SCH6">#REF!</definedName>
    <definedName name="___________________SCH7" localSheetId="5">#REF!</definedName>
    <definedName name="___________________SCH7">#REF!</definedName>
    <definedName name="___________________SCH8" localSheetId="5">#REF!</definedName>
    <definedName name="___________________SCH8">#REF!</definedName>
    <definedName name="___________________SCH9" localSheetId="5">#REF!</definedName>
    <definedName name="___________________SCH9">#REF!</definedName>
    <definedName name="__________________SCH1" localSheetId="5">#REF!</definedName>
    <definedName name="__________________SCH1">#REF!</definedName>
    <definedName name="__________________SCH10" localSheetId="5">#REF!</definedName>
    <definedName name="__________________SCH10">#REF!</definedName>
    <definedName name="__________________SCH11" localSheetId="5">#REF!</definedName>
    <definedName name="__________________SCH11">#REF!</definedName>
    <definedName name="__________________SCH2" localSheetId="5">#REF!</definedName>
    <definedName name="__________________SCH2">#REF!</definedName>
    <definedName name="__________________SCH3" localSheetId="5">#REF!</definedName>
    <definedName name="__________________SCH3">#REF!</definedName>
    <definedName name="__________________SCH4" localSheetId="5">#REF!</definedName>
    <definedName name="__________________SCH4">#REF!</definedName>
    <definedName name="__________________SCH5" localSheetId="5">#REF!</definedName>
    <definedName name="__________________SCH5">#REF!</definedName>
    <definedName name="__________________SCH6" localSheetId="5">#REF!</definedName>
    <definedName name="__________________SCH6">#REF!</definedName>
    <definedName name="__________________SCH7" localSheetId="5">#REF!</definedName>
    <definedName name="__________________SCH7">#REF!</definedName>
    <definedName name="__________________SCH8" localSheetId="5">#REF!</definedName>
    <definedName name="__________________SCH8">#REF!</definedName>
    <definedName name="__________________SCH9" localSheetId="5">#REF!</definedName>
    <definedName name="__________________SCH9">#REF!</definedName>
    <definedName name="_________________SCH1" localSheetId="5">#REF!</definedName>
    <definedName name="_________________SCH1">#REF!</definedName>
    <definedName name="_________________SCH10" localSheetId="5">#REF!</definedName>
    <definedName name="_________________SCH10">#REF!</definedName>
    <definedName name="_________________SCH11" localSheetId="5">#REF!</definedName>
    <definedName name="_________________SCH11">#REF!</definedName>
    <definedName name="_________________SCH2" localSheetId="5">#REF!</definedName>
    <definedName name="_________________SCH2">#REF!</definedName>
    <definedName name="_________________SCH3" localSheetId="5">#REF!</definedName>
    <definedName name="_________________SCH3">#REF!</definedName>
    <definedName name="_________________SCH4" localSheetId="5">#REF!</definedName>
    <definedName name="_________________SCH4">#REF!</definedName>
    <definedName name="_________________SCH5" localSheetId="5">#REF!</definedName>
    <definedName name="_________________SCH5">#REF!</definedName>
    <definedName name="_________________SCH6" localSheetId="5">#REF!</definedName>
    <definedName name="_________________SCH6">#REF!</definedName>
    <definedName name="_________________SCH7" localSheetId="5">#REF!</definedName>
    <definedName name="_________________SCH7">#REF!</definedName>
    <definedName name="_________________SCH8" localSheetId="5">#REF!</definedName>
    <definedName name="_________________SCH8">#REF!</definedName>
    <definedName name="_________________SCH9" localSheetId="5">#REF!</definedName>
    <definedName name="_________________SCH9">#REF!</definedName>
    <definedName name="________________SCH1" localSheetId="5">#REF!</definedName>
    <definedName name="________________SCH1">#REF!</definedName>
    <definedName name="________________SCH10" localSheetId="5">#REF!</definedName>
    <definedName name="________________SCH10">#REF!</definedName>
    <definedName name="________________SCH11" localSheetId="5">#REF!</definedName>
    <definedName name="________________SCH11">#REF!</definedName>
    <definedName name="________________SCH2" localSheetId="5">#REF!</definedName>
    <definedName name="________________SCH2">#REF!</definedName>
    <definedName name="________________SCH3" localSheetId="5">#REF!</definedName>
    <definedName name="________________SCH3">#REF!</definedName>
    <definedName name="________________SCH4" localSheetId="5">#REF!</definedName>
    <definedName name="________________SCH4">#REF!</definedName>
    <definedName name="________________SCH5" localSheetId="5">#REF!</definedName>
    <definedName name="________________SCH5">#REF!</definedName>
    <definedName name="________________SCH6" localSheetId="5">#REF!</definedName>
    <definedName name="________________SCH6">#REF!</definedName>
    <definedName name="________________SCH7" localSheetId="5">#REF!</definedName>
    <definedName name="________________SCH7">#REF!</definedName>
    <definedName name="________________SCH8" localSheetId="5">#REF!</definedName>
    <definedName name="________________SCH8">#REF!</definedName>
    <definedName name="________________SCH9" localSheetId="5">#REF!</definedName>
    <definedName name="________________SCH9">#REF!</definedName>
    <definedName name="_______________SCH1" localSheetId="5">#REF!</definedName>
    <definedName name="_______________SCH1">#REF!</definedName>
    <definedName name="_______________SCH10" localSheetId="5">#REF!</definedName>
    <definedName name="_______________SCH10">#REF!</definedName>
    <definedName name="_______________SCH11" localSheetId="5">#REF!</definedName>
    <definedName name="_______________SCH11">#REF!</definedName>
    <definedName name="_______________SCH2" localSheetId="5">#REF!</definedName>
    <definedName name="_______________SCH2">#REF!</definedName>
    <definedName name="_______________SCH3" localSheetId="5">#REF!</definedName>
    <definedName name="_______________SCH3">#REF!</definedName>
    <definedName name="_______________SCH4" localSheetId="5">#REF!</definedName>
    <definedName name="_______________SCH4">#REF!</definedName>
    <definedName name="_______________SCH5" localSheetId="5">#REF!</definedName>
    <definedName name="_______________SCH5">#REF!</definedName>
    <definedName name="_______________SCH6" localSheetId="5">#REF!</definedName>
    <definedName name="_______________SCH6">#REF!</definedName>
    <definedName name="_______________SCH7" localSheetId="5">#REF!</definedName>
    <definedName name="_______________SCH7">#REF!</definedName>
    <definedName name="_______________SCH8" localSheetId="5">#REF!</definedName>
    <definedName name="_______________SCH8">#REF!</definedName>
    <definedName name="_______________SCH9" localSheetId="5">#REF!</definedName>
    <definedName name="_______________SCH9">#REF!</definedName>
    <definedName name="______________SCH1" localSheetId="5">#REF!</definedName>
    <definedName name="______________SCH1">#REF!</definedName>
    <definedName name="______________SCH10" localSheetId="5">#REF!</definedName>
    <definedName name="______________SCH10">#REF!</definedName>
    <definedName name="______________SCH11" localSheetId="5">#REF!</definedName>
    <definedName name="______________SCH11">#REF!</definedName>
    <definedName name="______________SCH2" localSheetId="5">#REF!</definedName>
    <definedName name="______________SCH2">#REF!</definedName>
    <definedName name="______________SCH3" localSheetId="5">#REF!</definedName>
    <definedName name="______________SCH3">#REF!</definedName>
    <definedName name="______________SCH4" localSheetId="5">#REF!</definedName>
    <definedName name="______________SCH4">#REF!</definedName>
    <definedName name="______________SCH5" localSheetId="5">#REF!</definedName>
    <definedName name="______________SCH5">#REF!</definedName>
    <definedName name="______________SCH6" localSheetId="5">#REF!</definedName>
    <definedName name="______________SCH6">#REF!</definedName>
    <definedName name="______________SCH7" localSheetId="5">#REF!</definedName>
    <definedName name="______________SCH7">#REF!</definedName>
    <definedName name="______________SCH8" localSheetId="5">#REF!</definedName>
    <definedName name="______________SCH8">#REF!</definedName>
    <definedName name="______________SCH9" localSheetId="5">#REF!</definedName>
    <definedName name="______________SCH9">#REF!</definedName>
    <definedName name="_____________SCH1" localSheetId="5">#REF!</definedName>
    <definedName name="_____________SCH1">#REF!</definedName>
    <definedName name="_____________SCH10" localSheetId="5">#REF!</definedName>
    <definedName name="_____________SCH10">#REF!</definedName>
    <definedName name="_____________SCH11" localSheetId="5">#REF!</definedName>
    <definedName name="_____________SCH11">#REF!</definedName>
    <definedName name="_____________SCH2" localSheetId="5">#REF!</definedName>
    <definedName name="_____________SCH2">#REF!</definedName>
    <definedName name="_____________SCH3" localSheetId="5">#REF!</definedName>
    <definedName name="_____________SCH3">#REF!</definedName>
    <definedName name="_____________SCH4" localSheetId="5">#REF!</definedName>
    <definedName name="_____________SCH4">#REF!</definedName>
    <definedName name="_____________SCH5" localSheetId="5">#REF!</definedName>
    <definedName name="_____________SCH5">#REF!</definedName>
    <definedName name="_____________SCH6" localSheetId="5">#REF!</definedName>
    <definedName name="_____________SCH6">#REF!</definedName>
    <definedName name="_____________SCH7" localSheetId="5">#REF!</definedName>
    <definedName name="_____________SCH7">#REF!</definedName>
    <definedName name="_____________SCH8" localSheetId="5">#REF!</definedName>
    <definedName name="_____________SCH8">#REF!</definedName>
    <definedName name="_____________SCH9" localSheetId="5">#REF!</definedName>
    <definedName name="_____________SCH9">#REF!</definedName>
    <definedName name="____________SCH1" localSheetId="5">#REF!</definedName>
    <definedName name="____________SCH1">#REF!</definedName>
    <definedName name="____________SCH10" localSheetId="5">#REF!</definedName>
    <definedName name="____________SCH10">#REF!</definedName>
    <definedName name="____________SCH11" localSheetId="5">#REF!</definedName>
    <definedName name="____________SCH11">#REF!</definedName>
    <definedName name="____________SCH2" localSheetId="5">#REF!</definedName>
    <definedName name="____________SCH2">#REF!</definedName>
    <definedName name="____________SCH3" localSheetId="5">#REF!</definedName>
    <definedName name="____________SCH3">#REF!</definedName>
    <definedName name="____________SCH4" localSheetId="5">#REF!</definedName>
    <definedName name="____________SCH4">#REF!</definedName>
    <definedName name="____________SCH5" localSheetId="5">#REF!</definedName>
    <definedName name="____________SCH5">#REF!</definedName>
    <definedName name="____________SCH6" localSheetId="5">#REF!</definedName>
    <definedName name="____________SCH6">#REF!</definedName>
    <definedName name="____________SCH7" localSheetId="5">#REF!</definedName>
    <definedName name="____________SCH7">#REF!</definedName>
    <definedName name="____________SCH8" localSheetId="5">#REF!</definedName>
    <definedName name="____________SCH8">#REF!</definedName>
    <definedName name="____________SCH9" localSheetId="5">#REF!</definedName>
    <definedName name="____________SCH9">#REF!</definedName>
    <definedName name="___________SCH1" localSheetId="5">#REF!</definedName>
    <definedName name="___________SCH1">#REF!</definedName>
    <definedName name="___________SCH10" localSheetId="5">#REF!</definedName>
    <definedName name="___________SCH10">#REF!</definedName>
    <definedName name="___________SCH11" localSheetId="5">#REF!</definedName>
    <definedName name="___________SCH11">#REF!</definedName>
    <definedName name="___________SCH2" localSheetId="5">#REF!</definedName>
    <definedName name="___________SCH2">#REF!</definedName>
    <definedName name="___________SCH3" localSheetId="5">#REF!</definedName>
    <definedName name="___________SCH3">#REF!</definedName>
    <definedName name="___________SCH4" localSheetId="5">#REF!</definedName>
    <definedName name="___________SCH4">#REF!</definedName>
    <definedName name="___________SCH5" localSheetId="5">#REF!</definedName>
    <definedName name="___________SCH5">#REF!</definedName>
    <definedName name="___________SCH6" localSheetId="5">#REF!</definedName>
    <definedName name="___________SCH6">#REF!</definedName>
    <definedName name="___________SCH7" localSheetId="5">#REF!</definedName>
    <definedName name="___________SCH7">#REF!</definedName>
    <definedName name="___________SCH8" localSheetId="5">#REF!</definedName>
    <definedName name="___________SCH8">#REF!</definedName>
    <definedName name="___________SCH9" localSheetId="5">#REF!</definedName>
    <definedName name="___________SCH9">#REF!</definedName>
    <definedName name="__________SCH1" localSheetId="5">#REF!</definedName>
    <definedName name="__________SCH1">#REF!</definedName>
    <definedName name="__________SCH10" localSheetId="5">#REF!</definedName>
    <definedName name="__________SCH10">#REF!</definedName>
    <definedName name="__________SCH11" localSheetId="5">#REF!</definedName>
    <definedName name="__________SCH11">#REF!</definedName>
    <definedName name="__________SCH2" localSheetId="5">#REF!</definedName>
    <definedName name="__________SCH2">#REF!</definedName>
    <definedName name="__________SCH3" localSheetId="5">#REF!</definedName>
    <definedName name="__________SCH3">#REF!</definedName>
    <definedName name="__________SCH4" localSheetId="5">#REF!</definedName>
    <definedName name="__________SCH4">#REF!</definedName>
    <definedName name="__________SCH5" localSheetId="5">#REF!</definedName>
    <definedName name="__________SCH5">#REF!</definedName>
    <definedName name="__________SCH6" localSheetId="5">#REF!</definedName>
    <definedName name="__________SCH6">#REF!</definedName>
    <definedName name="__________SCH7" localSheetId="5">#REF!</definedName>
    <definedName name="__________SCH7">#REF!</definedName>
    <definedName name="__________SCH8" localSheetId="5">#REF!</definedName>
    <definedName name="__________SCH8">#REF!</definedName>
    <definedName name="__________SCH9" localSheetId="5">#REF!</definedName>
    <definedName name="__________SCH9">#REF!</definedName>
    <definedName name="_________SCH1" localSheetId="5">#REF!</definedName>
    <definedName name="_________SCH1">#REF!</definedName>
    <definedName name="_________SCH10" localSheetId="5">#REF!</definedName>
    <definedName name="_________SCH10">#REF!</definedName>
    <definedName name="_________SCH11" localSheetId="5">#REF!</definedName>
    <definedName name="_________SCH11">#REF!</definedName>
    <definedName name="_________SCH2" localSheetId="5">#REF!</definedName>
    <definedName name="_________SCH2">#REF!</definedName>
    <definedName name="_________SCH3" localSheetId="5">#REF!</definedName>
    <definedName name="_________SCH3">#REF!</definedName>
    <definedName name="_________SCH4" localSheetId="5">#REF!</definedName>
    <definedName name="_________SCH4">#REF!</definedName>
    <definedName name="_________SCH5" localSheetId="5">#REF!</definedName>
    <definedName name="_________SCH5">#REF!</definedName>
    <definedName name="_________SCH6" localSheetId="5">#REF!</definedName>
    <definedName name="_________SCH6">#REF!</definedName>
    <definedName name="_________SCH7" localSheetId="5">#REF!</definedName>
    <definedName name="_________SCH7">#REF!</definedName>
    <definedName name="_________SCH8" localSheetId="5">#REF!</definedName>
    <definedName name="_________SCH8">#REF!</definedName>
    <definedName name="_________SCH9" localSheetId="5">#REF!</definedName>
    <definedName name="_________SCH9">#REF!</definedName>
    <definedName name="_________XL__ENTER_UNIT" localSheetId="5">#REF!</definedName>
    <definedName name="_________XL__ENTER_UNIT">#REF!</definedName>
    <definedName name="________SCH1" localSheetId="5">#REF!</definedName>
    <definedName name="________SCH1">#REF!</definedName>
    <definedName name="________SCH10" localSheetId="5">#REF!</definedName>
    <definedName name="________SCH10">#REF!</definedName>
    <definedName name="________SCH11" localSheetId="5">#REF!</definedName>
    <definedName name="________SCH11">#REF!</definedName>
    <definedName name="________SCH2" localSheetId="5">#REF!</definedName>
    <definedName name="________SCH2">#REF!</definedName>
    <definedName name="________SCH3" localSheetId="5">#REF!</definedName>
    <definedName name="________SCH3">#REF!</definedName>
    <definedName name="________SCH4" localSheetId="5">#REF!</definedName>
    <definedName name="________SCH4">#REF!</definedName>
    <definedName name="________SCH5" localSheetId="5">#REF!</definedName>
    <definedName name="________SCH5">#REF!</definedName>
    <definedName name="________SCH6" localSheetId="5">#REF!</definedName>
    <definedName name="________SCH6">#REF!</definedName>
    <definedName name="________SCH7" localSheetId="5">#REF!</definedName>
    <definedName name="________SCH7">#REF!</definedName>
    <definedName name="________SCH8" localSheetId="5">#REF!</definedName>
    <definedName name="________SCH8">#REF!</definedName>
    <definedName name="________SCH9" localSheetId="5">#REF!</definedName>
    <definedName name="________SCH9">#REF!</definedName>
    <definedName name="_______SCH1" localSheetId="5">#REF!</definedName>
    <definedName name="_______SCH1">#REF!</definedName>
    <definedName name="_______SCH10" localSheetId="5">#REF!</definedName>
    <definedName name="_______SCH10">#REF!</definedName>
    <definedName name="_______SCH11" localSheetId="5">#REF!</definedName>
    <definedName name="_______SCH11">#REF!</definedName>
    <definedName name="_______SCH2" localSheetId="5">#REF!</definedName>
    <definedName name="_______SCH2">#REF!</definedName>
    <definedName name="_______SCH3" localSheetId="5">#REF!</definedName>
    <definedName name="_______SCH3">#REF!</definedName>
    <definedName name="_______SCH4" localSheetId="5">#REF!</definedName>
    <definedName name="_______SCH4">#REF!</definedName>
    <definedName name="_______SCH5" localSheetId="5">#REF!</definedName>
    <definedName name="_______SCH5">#REF!</definedName>
    <definedName name="_______SCH6" localSheetId="5">'[1]04REL'!#REF!</definedName>
    <definedName name="_______SCH6">'[1]04REL'!#REF!</definedName>
    <definedName name="_______SCH7" localSheetId="4">#REF!</definedName>
    <definedName name="_______SCH7" localSheetId="5">#REF!</definedName>
    <definedName name="_______SCH7" localSheetId="3">#REF!</definedName>
    <definedName name="_______SCH7">#REF!</definedName>
    <definedName name="_______SCH8" localSheetId="4">#REF!</definedName>
    <definedName name="_______SCH8" localSheetId="5">#REF!</definedName>
    <definedName name="_______SCH8" localSheetId="3">#REF!</definedName>
    <definedName name="_______SCH8">#REF!</definedName>
    <definedName name="_______SCH9" localSheetId="4">#REF!</definedName>
    <definedName name="_______SCH9" localSheetId="5">#REF!</definedName>
    <definedName name="_______SCH9" localSheetId="3">#REF!</definedName>
    <definedName name="_______SCH9">#REF!</definedName>
    <definedName name="_______XL__ENTER_UNIT" localSheetId="5">#REF!</definedName>
    <definedName name="_______XL__ENTER_UNIT">#REF!</definedName>
    <definedName name="______SCH1" localSheetId="5">#REF!</definedName>
    <definedName name="______SCH1">#REF!</definedName>
    <definedName name="______SCH10" localSheetId="5">#REF!</definedName>
    <definedName name="______SCH10">#REF!</definedName>
    <definedName name="______SCH11" localSheetId="5">#REF!</definedName>
    <definedName name="______SCH11">#REF!</definedName>
    <definedName name="______SCH2" localSheetId="5">#REF!</definedName>
    <definedName name="______SCH2">#REF!</definedName>
    <definedName name="______SCH3" localSheetId="5">#REF!</definedName>
    <definedName name="______SCH3">#REF!</definedName>
    <definedName name="______SCH4" localSheetId="5">#REF!</definedName>
    <definedName name="______SCH4">#REF!</definedName>
    <definedName name="______SCH5" localSheetId="5">#REF!</definedName>
    <definedName name="______SCH5">#REF!</definedName>
    <definedName name="______SCH6" localSheetId="5">'[1]04REL'!#REF!</definedName>
    <definedName name="______SCH6">'[1]04REL'!#REF!</definedName>
    <definedName name="______SCH7" localSheetId="4">#REF!</definedName>
    <definedName name="______SCH7" localSheetId="5">#REF!</definedName>
    <definedName name="______SCH7" localSheetId="3">#REF!</definedName>
    <definedName name="______SCH7">#REF!</definedName>
    <definedName name="______SCH8" localSheetId="4">#REF!</definedName>
    <definedName name="______SCH8" localSheetId="5">#REF!</definedName>
    <definedName name="______SCH8" localSheetId="3">#REF!</definedName>
    <definedName name="______SCH8">#REF!</definedName>
    <definedName name="______SCH9" localSheetId="4">#REF!</definedName>
    <definedName name="______SCH9" localSheetId="5">#REF!</definedName>
    <definedName name="______SCH9" localSheetId="3">#REF!</definedName>
    <definedName name="______SCH9">#REF!</definedName>
    <definedName name="______XL__ENTER_UNIT" localSheetId="5">#REF!</definedName>
    <definedName name="______XL__ENTER_UNIT">#REF!</definedName>
    <definedName name="_____SCH1" localSheetId="5">#REF!</definedName>
    <definedName name="_____SCH1">#REF!</definedName>
    <definedName name="_____SCH10" localSheetId="5">#REF!</definedName>
    <definedName name="_____SCH10">#REF!</definedName>
    <definedName name="_____SCH11" localSheetId="5">#REF!</definedName>
    <definedName name="_____SCH11">#REF!</definedName>
    <definedName name="_____SCH2" localSheetId="5">#REF!</definedName>
    <definedName name="_____SCH2">#REF!</definedName>
    <definedName name="_____SCH3" localSheetId="5">#REF!</definedName>
    <definedName name="_____SCH3">#REF!</definedName>
    <definedName name="_____SCH4" localSheetId="5">#REF!</definedName>
    <definedName name="_____SCH4">#REF!</definedName>
    <definedName name="_____SCH5" localSheetId="5">#REF!</definedName>
    <definedName name="_____SCH5">#REF!</definedName>
    <definedName name="_____SCH6" localSheetId="5">'[1]04REL'!#REF!</definedName>
    <definedName name="_____SCH6">'[1]04REL'!#REF!</definedName>
    <definedName name="_____SCH7" localSheetId="4">#REF!</definedName>
    <definedName name="_____SCH7" localSheetId="5">#REF!</definedName>
    <definedName name="_____SCH7" localSheetId="3">#REF!</definedName>
    <definedName name="_____SCH7">#REF!</definedName>
    <definedName name="_____SCH8" localSheetId="4">#REF!</definedName>
    <definedName name="_____SCH8" localSheetId="5">#REF!</definedName>
    <definedName name="_____SCH8" localSheetId="3">#REF!</definedName>
    <definedName name="_____SCH8">#REF!</definedName>
    <definedName name="_____SCH9" localSheetId="4">#REF!</definedName>
    <definedName name="_____SCH9" localSheetId="5">#REF!</definedName>
    <definedName name="_____SCH9" localSheetId="3">#REF!</definedName>
    <definedName name="_____SCH9">#REF!</definedName>
    <definedName name="____SCH1" localSheetId="5">#REF!</definedName>
    <definedName name="____SCH1">#REF!</definedName>
    <definedName name="____SCH10" localSheetId="5">#REF!</definedName>
    <definedName name="____SCH10">#REF!</definedName>
    <definedName name="____SCH11" localSheetId="5">#REF!</definedName>
    <definedName name="____SCH11">#REF!</definedName>
    <definedName name="____SCH2" localSheetId="5">#REF!</definedName>
    <definedName name="____SCH2">#REF!</definedName>
    <definedName name="____SCH3" localSheetId="5">#REF!</definedName>
    <definedName name="____SCH3">#REF!</definedName>
    <definedName name="____SCH4" localSheetId="5">#REF!</definedName>
    <definedName name="____SCH4">#REF!</definedName>
    <definedName name="____SCH5" localSheetId="5">#REF!</definedName>
    <definedName name="____SCH5">#REF!</definedName>
    <definedName name="____SCH6" localSheetId="5">'[1]04REL'!#REF!</definedName>
    <definedName name="____SCH6">'[1]04REL'!#REF!</definedName>
    <definedName name="____SCH7" localSheetId="4">#REF!</definedName>
    <definedName name="____SCH7" localSheetId="5">#REF!</definedName>
    <definedName name="____SCH7" localSheetId="3">#REF!</definedName>
    <definedName name="____SCH7">#REF!</definedName>
    <definedName name="____SCH8" localSheetId="4">#REF!</definedName>
    <definedName name="____SCH8" localSheetId="5">#REF!</definedName>
    <definedName name="____SCH8" localSheetId="3">#REF!</definedName>
    <definedName name="____SCH8">#REF!</definedName>
    <definedName name="____SCH9" localSheetId="4">#REF!</definedName>
    <definedName name="____SCH9" localSheetId="5">#REF!</definedName>
    <definedName name="____SCH9" localSheetId="3">#REF!</definedName>
    <definedName name="____SCH9">#REF!</definedName>
    <definedName name="____XL__ENTER_UNIT" localSheetId="5">#REF!</definedName>
    <definedName name="____XL__ENTER_UNIT">#REF!</definedName>
    <definedName name="___INDEX_SHEET___ASAP_Utilities" localSheetId="5">#REF!</definedName>
    <definedName name="___INDEX_SHEET___ASAP_Utilities">#REF!</definedName>
    <definedName name="___SCH1" localSheetId="5">#REF!</definedName>
    <definedName name="___SCH1">#REF!</definedName>
    <definedName name="___SCH10" localSheetId="5">#REF!</definedName>
    <definedName name="___SCH10">#REF!</definedName>
    <definedName name="___SCH11" localSheetId="5">#REF!</definedName>
    <definedName name="___SCH11">#REF!</definedName>
    <definedName name="___SCH2" localSheetId="5">#REF!</definedName>
    <definedName name="___SCH2">#REF!</definedName>
    <definedName name="___SCH3" localSheetId="5">#REF!</definedName>
    <definedName name="___SCH3">#REF!</definedName>
    <definedName name="___SCH4" localSheetId="5">#REF!</definedName>
    <definedName name="___SCH4">#REF!</definedName>
    <definedName name="___SCH5" localSheetId="5">#REF!</definedName>
    <definedName name="___SCH5">#REF!</definedName>
    <definedName name="___SCH6" localSheetId="5">'[1]04REL'!#REF!</definedName>
    <definedName name="___SCH6">'[1]04REL'!#REF!</definedName>
    <definedName name="___SCH7" localSheetId="4">#REF!</definedName>
    <definedName name="___SCH7" localSheetId="5">#REF!</definedName>
    <definedName name="___SCH7" localSheetId="3">#REF!</definedName>
    <definedName name="___SCH7">#REF!</definedName>
    <definedName name="___SCH8" localSheetId="4">#REF!</definedName>
    <definedName name="___SCH8" localSheetId="5">#REF!</definedName>
    <definedName name="___SCH8" localSheetId="3">#REF!</definedName>
    <definedName name="___SCH8">#REF!</definedName>
    <definedName name="___SCH9" localSheetId="4">#REF!</definedName>
    <definedName name="___SCH9" localSheetId="5">#REF!</definedName>
    <definedName name="___SCH9" localSheetId="3">#REF!</definedName>
    <definedName name="___SCH9">#REF!</definedName>
    <definedName name="___XL__ENTER_UNIT" localSheetId="5">#REF!</definedName>
    <definedName name="___XL__ENTER_UNIT">#REF!</definedName>
    <definedName name="__123Graph_A" localSheetId="5" hidden="1">[2]CE!#REF!</definedName>
    <definedName name="__123Graph_A" hidden="1">[2]CE!#REF!</definedName>
    <definedName name="__123Graph_ASTNPLF" localSheetId="5" hidden="1">[2]CE!#REF!</definedName>
    <definedName name="__123Graph_ASTNPLF" hidden="1">[2]CE!#REF!</definedName>
    <definedName name="__123Graph_B" localSheetId="5" hidden="1">[2]CE!#REF!</definedName>
    <definedName name="__123Graph_B" hidden="1">[2]CE!#REF!</definedName>
    <definedName name="__123Graph_BSTNPLF" localSheetId="5" hidden="1">[2]CE!#REF!</definedName>
    <definedName name="__123Graph_BSTNPLF" hidden="1">[2]CE!#REF!</definedName>
    <definedName name="__123Graph_C" localSheetId="5" hidden="1">[2]CE!#REF!</definedName>
    <definedName name="__123Graph_C" hidden="1">[2]CE!#REF!</definedName>
    <definedName name="__123Graph_CSTNPLF" localSheetId="5" hidden="1">[2]CE!#REF!</definedName>
    <definedName name="__123Graph_CSTNPLF" hidden="1">[2]CE!#REF!</definedName>
    <definedName name="__123Graph_X" localSheetId="5" hidden="1">[2]CE!#REF!</definedName>
    <definedName name="__123Graph_X" hidden="1">[2]CE!#REF!</definedName>
    <definedName name="__123Graph_XSTNPLF" localSheetId="5" hidden="1">[2]CE!#REF!</definedName>
    <definedName name="__123Graph_XSTNPLF" hidden="1">[2]CE!#REF!</definedName>
    <definedName name="__DOWN_10__GOTO" localSheetId="4">#REF!</definedName>
    <definedName name="__DOWN_10__GOTO" localSheetId="5">#REF!</definedName>
    <definedName name="__DOWN_10__GOTO" localSheetId="3">#REF!</definedName>
    <definedName name="__DOWN_10__GOTO">#REF!</definedName>
    <definedName name="__ES84__EW84_0." localSheetId="4">#REF!</definedName>
    <definedName name="__ES84__EW84_0." localSheetId="5">#REF!</definedName>
    <definedName name="__ES84__EW84_0." localSheetId="3">#REF!</definedName>
    <definedName name="__ES84__EW84_0.">#REF!</definedName>
    <definedName name="__FDS_HYPERLINK_TOGGLE_STATE__" hidden="1">"ON"</definedName>
    <definedName name="__GOTO_EP84__AV" localSheetId="4">#REF!</definedName>
    <definedName name="__GOTO_EP84__AV" localSheetId="5">#REF!</definedName>
    <definedName name="__GOTO_EP84__AV">#REF!</definedName>
    <definedName name="__SCH1" localSheetId="5">#REF!</definedName>
    <definedName name="__SCH1">#REF!</definedName>
    <definedName name="__SCH10" localSheetId="5">#REF!</definedName>
    <definedName name="__SCH10">#REF!</definedName>
    <definedName name="__SCH11" localSheetId="5">#REF!</definedName>
    <definedName name="__SCH11">#REF!</definedName>
    <definedName name="__SCH2" localSheetId="5">#REF!</definedName>
    <definedName name="__SCH2">#REF!</definedName>
    <definedName name="__SCH3" localSheetId="5">#REF!</definedName>
    <definedName name="__SCH3">#REF!</definedName>
    <definedName name="__SCH4" localSheetId="5">#REF!</definedName>
    <definedName name="__SCH4">#REF!</definedName>
    <definedName name="__SCH5" localSheetId="5">#REF!</definedName>
    <definedName name="__SCH5">#REF!</definedName>
    <definedName name="__SCH6" localSheetId="5">'[1]04REL'!#REF!</definedName>
    <definedName name="__SCH6">'[1]04REL'!#REF!</definedName>
    <definedName name="__SCH7" localSheetId="4">#REF!</definedName>
    <definedName name="__SCH7" localSheetId="5">#REF!</definedName>
    <definedName name="__SCH7" localSheetId="3">#REF!</definedName>
    <definedName name="__SCH7">#REF!</definedName>
    <definedName name="__SCH8" localSheetId="4">#REF!</definedName>
    <definedName name="__SCH8" localSheetId="5">#REF!</definedName>
    <definedName name="__SCH8" localSheetId="3">#REF!</definedName>
    <definedName name="__SCH8">#REF!</definedName>
    <definedName name="__SCH9" localSheetId="4">#REF!</definedName>
    <definedName name="__SCH9" localSheetId="5">#REF!</definedName>
    <definedName name="__SCH9" localSheetId="3">#REF!</definedName>
    <definedName name="__SCH9">#REF!</definedName>
    <definedName name="__SUM_CS57..CS6" localSheetId="5">#REF!</definedName>
    <definedName name="__SUM_CS57..CS6">#REF!</definedName>
    <definedName name="__SUM_CS65..CS7" localSheetId="5">#REF!</definedName>
    <definedName name="__SUM_CS65..CS7">#REF!</definedName>
    <definedName name="__SUM_FQ20..FQ2" localSheetId="5">#REF!</definedName>
    <definedName name="__SUM_FQ20..FQ2">#REF!</definedName>
    <definedName name="__SUM_FQ28..FQ3" localSheetId="5">#REF!</definedName>
    <definedName name="__SUM_FQ28..FQ3">#REF!</definedName>
    <definedName name="__XL__ENTER_UNIT" localSheetId="5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 localSheetId="5">#REF!</definedName>
    <definedName name="_5">#REF!</definedName>
    <definedName name="_6" localSheetId="5">#REF!</definedName>
    <definedName name="_6">#REF!</definedName>
    <definedName name="_ann2" localSheetId="5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4">#REF!</definedName>
    <definedName name="_D___GOTO_GK112" localSheetId="5">#REF!</definedName>
    <definedName name="_D___GOTO_GK112" localSheetId="3">#REF!</definedName>
    <definedName name="_D___GOTO_GK112">#REF!</definedName>
    <definedName name="_D___GOTO_GK56_" localSheetId="4">#REF!</definedName>
    <definedName name="_D___GOTO_GK56_" localSheetId="5">#REF!</definedName>
    <definedName name="_D___GOTO_GK56_" localSheetId="3">#REF!</definedName>
    <definedName name="_D___GOTO_GK56_">#REF!</definedName>
    <definedName name="_D__D___L___GOT" localSheetId="4">#REF!</definedName>
    <definedName name="_D__D___L___GOT" localSheetId="5">#REF!</definedName>
    <definedName name="_D__D___L___GOT" localSheetId="3">#REF!</definedName>
    <definedName name="_D__D___L___GOT">#REF!</definedName>
    <definedName name="_D__D__D___D__D" localSheetId="5">#REF!</definedName>
    <definedName name="_D__D__D___D__D">#REF!</definedName>
    <definedName name="_D_19__U_19_" localSheetId="5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 localSheetId="5">#REF!</definedName>
    <definedName name="_DOWN_9__RIGHT_">#REF!</definedName>
    <definedName name="_eva97">#REF!</definedName>
    <definedName name="_fcf97">#REF!</definedName>
    <definedName name="_Fill" localSheetId="5" hidden="1">#REF!</definedName>
    <definedName name="_Fill" hidden="1">#REF!</definedName>
    <definedName name="_FROM__R__R__08" localSheetId="5">#REF!</definedName>
    <definedName name="_FROM__R__R__08">#REF!</definedName>
    <definedName name="_FROM__R__R__16" localSheetId="5">#REF!</definedName>
    <definedName name="_FROM__R__R__16">#REF!</definedName>
    <definedName name="_FSTEMP_">#REF!</definedName>
    <definedName name="_GENERATION__R_" localSheetId="5">#REF!</definedName>
    <definedName name="_GENERATION__R_">#REF!</definedName>
    <definedName name="_GOTO_BT49__R__" localSheetId="5">#REF!</definedName>
    <definedName name="_GOTO_BT49__R__">#REF!</definedName>
    <definedName name="_GOTO_CF11__?__" localSheetId="5">#REF!</definedName>
    <definedName name="_GOTO_CF11__?__">#REF!</definedName>
    <definedName name="_GOTO_EO75__WEK" localSheetId="5">#REF!</definedName>
    <definedName name="_GOTO_EO75__WEK">#REF!</definedName>
    <definedName name="_GOTO_EP82__PEA" localSheetId="5">#REF!</definedName>
    <definedName name="_GOTO_EP82__PEA">#REF!</definedName>
    <definedName name="_GOTO_EP86__PER" localSheetId="5">#REF!</definedName>
    <definedName name="_GOTO_EP86__PER">#REF!</definedName>
    <definedName name="_GOTO_FO112__RV" localSheetId="5">#REF!</definedName>
    <definedName name="_GOTO_FO112__RV">#REF!</definedName>
    <definedName name="_GOTO_FO56__RV_" localSheetId="5">#REF!</definedName>
    <definedName name="_GOTO_FO56__RV_">#REF!</definedName>
    <definedName name="_HOME__GOTO_M14" localSheetId="5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4">#REF!</definedName>
    <definedName name="_PLF__R__R___ES" localSheetId="5">#REF!</definedName>
    <definedName name="_PLF__R__R___ES" localSheetId="3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4">#REF!</definedName>
    <definedName name="_RV_DOWN_6__LEF" localSheetId="5">#REF!</definedName>
    <definedName name="_RV_DOWN_6__LEF" localSheetId="3">#REF!</definedName>
    <definedName name="_RV_DOWN_6__LEF">#REF!</definedName>
    <definedName name="_SCH1" localSheetId="4">#REF!</definedName>
    <definedName name="_SCH1" localSheetId="5">#REF!</definedName>
    <definedName name="_SCH1" localSheetId="3">#REF!</definedName>
    <definedName name="_SCH1">#REF!</definedName>
    <definedName name="_SCH10" localSheetId="5">#REF!</definedName>
    <definedName name="_SCH10">#REF!</definedName>
    <definedName name="_SCH11" localSheetId="5">#REF!</definedName>
    <definedName name="_SCH11">#REF!</definedName>
    <definedName name="_SCH12">[4]BSPL!$A$655:$D$692</definedName>
    <definedName name="_sch13">[4]BSPL!$A$694:$D$744</definedName>
    <definedName name="_SCH2" localSheetId="4">#REF!</definedName>
    <definedName name="_SCH2" localSheetId="5">#REF!</definedName>
    <definedName name="_SCH2" localSheetId="3">#REF!</definedName>
    <definedName name="_SCH2">#REF!</definedName>
    <definedName name="_SCH3" localSheetId="4">#REF!</definedName>
    <definedName name="_SCH3" localSheetId="5">#REF!</definedName>
    <definedName name="_SCH3" localSheetId="3">#REF!</definedName>
    <definedName name="_SCH3">#REF!</definedName>
    <definedName name="_SCH4" localSheetId="4">#REF!</definedName>
    <definedName name="_SCH4" localSheetId="5">#REF!</definedName>
    <definedName name="_SCH4" localSheetId="3">#REF!</definedName>
    <definedName name="_SCH4">#REF!</definedName>
    <definedName name="_SCH5" localSheetId="5">#REF!</definedName>
    <definedName name="_SCH5">#REF!</definedName>
    <definedName name="_SCH6" localSheetId="5">'[1]04REL'!#REF!</definedName>
    <definedName name="_SCH6">'[1]04REL'!#REF!</definedName>
    <definedName name="_SCH7" localSheetId="4">#REF!</definedName>
    <definedName name="_SCH7" localSheetId="5">#REF!</definedName>
    <definedName name="_SCH7" localSheetId="3">#REF!</definedName>
    <definedName name="_SCH7">#REF!</definedName>
    <definedName name="_SCH8" localSheetId="4">#REF!</definedName>
    <definedName name="_SCH8" localSheetId="5">#REF!</definedName>
    <definedName name="_SCH8" localSheetId="3">#REF!</definedName>
    <definedName name="_SCH8">#REF!</definedName>
    <definedName name="_SCH9" localSheetId="4">#REF!</definedName>
    <definedName name="_SCH9" localSheetId="5">#REF!</definedName>
    <definedName name="_SCH9" localSheetId="3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4">#REF!</definedName>
    <definedName name="_SUM_DI14..DI21" localSheetId="5">#REF!</definedName>
    <definedName name="_SUM_DI14..DI21">#REF!</definedName>
    <definedName name="_SUM_DI22..DI29" localSheetId="5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4">#REF!</definedName>
    <definedName name="_U__END__U__D__" localSheetId="5">#REF!</definedName>
    <definedName name="_U__END__U__D__" localSheetId="3">#REF!</definedName>
    <definedName name="_U__END__U__D__">#REF!</definedName>
    <definedName name="_U__U__END__U__" localSheetId="5">#REF!</definedName>
    <definedName name="_U__U__END__U__">#REF!</definedName>
    <definedName name="_U__U__U__U__U_" localSheetId="5">#REF!</definedName>
    <definedName name="_U__U__U__U__U_">#REF!</definedName>
    <definedName name="_WGPD_GOTO_CO10" localSheetId="5">#REF!</definedName>
    <definedName name="_WGPD_GOTO_CO10">#REF!</definedName>
    <definedName name="A" localSheetId="5">#REF!</definedName>
    <definedName name="A">#REF!</definedName>
    <definedName name="A_GEN1.DomesticCompFlg">[6]GENERAL!$AQ$15</definedName>
    <definedName name="A_GEN1.ResidentialStatus">[6]GENERAL!$U$32</definedName>
    <definedName name="AA" localSheetId="4">#REF!</definedName>
    <definedName name="AA" localSheetId="5">#REF!</definedName>
    <definedName name="AA" localSheetId="3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4">#REF!</definedName>
    <definedName name="achscs" localSheetId="5">#REF!</definedName>
    <definedName name="achscs" localSheetId="3">#REF!</definedName>
    <definedName name="achscs">#REF!</definedName>
    <definedName name="ACL">#REF!</definedName>
    <definedName name="Acq" localSheetId="5">#REF!</definedName>
    <definedName name="Acq">#REF!</definedName>
    <definedName name="Act_DSCR" localSheetId="5">[11]Input!#REF!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4">#REF!</definedName>
    <definedName name="adsds" localSheetId="5">#REF!</definedName>
    <definedName name="adsds" localSheetId="3">#REF!</definedName>
    <definedName name="adsds">#REF!</definedName>
    <definedName name="afasfasf" localSheetId="4">#REF!</definedName>
    <definedName name="afasfasf" localSheetId="5">#REF!</definedName>
    <definedName name="afasfasf" localSheetId="3">#REF!</definedName>
    <definedName name="afasfasf">#REF!</definedName>
    <definedName name="AggregateInc">[6]Calculator!$M$3</definedName>
    <definedName name="ahjsdhjkdh" localSheetId="4">#REF!</definedName>
    <definedName name="ahjsdhjkdh" localSheetId="5">#REF!</definedName>
    <definedName name="ahjsdhjkdh" localSheetId="3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4">#REF!</definedName>
    <definedName name="asaaa" localSheetId="5">#REF!</definedName>
    <definedName name="asaaa" localSheetId="3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4">#REF!</definedName>
    <definedName name="atyfafa" localSheetId="5">#REF!</definedName>
    <definedName name="atyfafa" localSheetId="3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4">#REF!</definedName>
    <definedName name="AUX_Base" localSheetId="5">#REF!</definedName>
    <definedName name="AUX_Base" localSheetId="3">#REF!</definedName>
    <definedName name="AUX_Base">#REF!</definedName>
    <definedName name="Aux_Sen" localSheetId="4">#REF!</definedName>
    <definedName name="Aux_Sen" localSheetId="5">#REF!</definedName>
    <definedName name="Aux_Sen" localSheetId="3">#REF!</definedName>
    <definedName name="Aux_Sen">#REF!</definedName>
    <definedName name="AV" localSheetId="4">#REF!</definedName>
    <definedName name="AV" localSheetId="5">#REF!</definedName>
    <definedName name="AV" localSheetId="3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4">#REF!</definedName>
    <definedName name="b" localSheetId="5">#REF!</definedName>
    <definedName name="b" localSheetId="3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4">#REF!</definedName>
    <definedName name="Base_Case" localSheetId="5">#REF!</definedName>
    <definedName name="Base_Case" localSheetId="3">#REF!</definedName>
    <definedName name="Base_Case">#REF!</definedName>
    <definedName name="BASE_DSCR" localSheetId="4">#REF!</definedName>
    <definedName name="BASE_DSCR" localSheetId="5">#REF!</definedName>
    <definedName name="BASE_DSCR" localSheetId="3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4">#REF!</definedName>
    <definedName name="bfjksbnf" localSheetId="5">#REF!</definedName>
    <definedName name="bfjksbnf" localSheetId="3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4">#REF!,#REF!</definedName>
    <definedName name="bgbgb" localSheetId="5">#REF!,#REF!</definedName>
    <definedName name="bgbgb" localSheetId="3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4">#REF!</definedName>
    <definedName name="BS" localSheetId="5">#REF!</definedName>
    <definedName name="BS" localSheetId="3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4">[26]Schedule1!#REF!</definedName>
    <definedName name="BuiltIn_Print_Area___0" localSheetId="5">[26]Schedule1!#REF!</definedName>
    <definedName name="BuiltIn_Print_Area___0" localSheetId="3">[26]Schedule1!#REF!</definedName>
    <definedName name="BuiltIn_Print_Area___0">[26]Schedule1!#REF!</definedName>
    <definedName name="BuiltIn_Print_Area___0___0" localSheetId="4">[27]GROUPING!#REF!</definedName>
    <definedName name="BuiltIn_Print_Area___0___0" localSheetId="5">[27]GROUPING!#REF!</definedName>
    <definedName name="BuiltIn_Print_Area___0___0" localSheetId="3">[27]GROUPING!#REF!</definedName>
    <definedName name="BuiltIn_Print_Area___0___0">[27]GROUPING!#REF!</definedName>
    <definedName name="BuiltIn_Print_Area___0___0___0___0" localSheetId="5">[27]GROUPING!#REF!</definedName>
    <definedName name="BuiltIn_Print_Area___0___0___0___0">[27]GROUPING!#REF!</definedName>
    <definedName name="BuiltIn_Print_Area___0___0___0___0___0" localSheetId="5">[26]Schedule1!#REF!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4">'[28]2000-01'!#REF!</definedName>
    <definedName name="C_Data_1" localSheetId="5">'[28]2000-01'!#REF!</definedName>
    <definedName name="C_Data_1" localSheetId="3">'[28]2000-01'!#REF!</definedName>
    <definedName name="C_Data_1">'[28]2000-01'!#REF!</definedName>
    <definedName name="C_Data_2" localSheetId="4">'[28]2000-01'!#REF!</definedName>
    <definedName name="C_Data_2" localSheetId="5">'[28]2000-01'!#REF!</definedName>
    <definedName name="C_Data_2" localSheetId="3">'[28]2000-01'!#REF!</definedName>
    <definedName name="C_Data_2">'[28]2000-01'!#REF!</definedName>
    <definedName name="C_Eligible">'[6]80G'!$L$1</definedName>
    <definedName name="CAL_MEL" localSheetId="4">#REF!</definedName>
    <definedName name="CAL_MEL" localSheetId="5">#REF!</definedName>
    <definedName name="CAL_MEL" localSheetId="3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4">#REF!</definedName>
    <definedName name="CAP_Base" localSheetId="5">#REF!</definedName>
    <definedName name="CAP_Base" localSheetId="3">#REF!</definedName>
    <definedName name="CAP_Base">#REF!</definedName>
    <definedName name="CAP_SEN" localSheetId="4">#REF!</definedName>
    <definedName name="CAP_SEN" localSheetId="5">#REF!</definedName>
    <definedName name="CAP_SEN" localSheetId="3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4">#REF!</definedName>
    <definedName name="CM10_C_RIGHT___" localSheetId="5">#REF!</definedName>
    <definedName name="CM10_C_RIGHT___" localSheetId="3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4">#REF!</definedName>
    <definedName name="COAL_ESC_BASE" localSheetId="5">#REF!</definedName>
    <definedName name="COAL_ESC_BASE" localSheetId="3">#REF!</definedName>
    <definedName name="COAL_ESC_BASE">#REF!</definedName>
    <definedName name="COAL_ESC_SEN" localSheetId="4">#REF!</definedName>
    <definedName name="COAL_ESC_SEN" localSheetId="5">#REF!</definedName>
    <definedName name="COAL_ESC_SEN" localSheetId="3">#REF!</definedName>
    <definedName name="COAL_ESC_SEN">#REF!</definedName>
    <definedName name="CoalSPV_DSCR" localSheetId="4">#REF!</definedName>
    <definedName name="CoalSPV_DSCR" localSheetId="5">#REF!</definedName>
    <definedName name="CoalSPV_DSCR" localSheetId="3">#REF!</definedName>
    <definedName name="CoalSPV_DSCR">#REF!</definedName>
    <definedName name="COALSPV_FLAG" localSheetId="4">[11]Input!#REF!</definedName>
    <definedName name="COALSPV_FLAG" localSheetId="5">[11]Input!#REF!</definedName>
    <definedName name="COALSPV_FLAG" localSheetId="3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4">#REF!</definedName>
    <definedName name="CUF_.5" localSheetId="5">#REF!</definedName>
    <definedName name="CUF_.5" localSheetId="3">#REF!</definedName>
    <definedName name="CUF_.5">#REF!</definedName>
    <definedName name="CUF_1" localSheetId="4">#REF!</definedName>
    <definedName name="CUF_1" localSheetId="5">#REF!</definedName>
    <definedName name="CUF_1" localSheetId="3">#REF!</definedName>
    <definedName name="CUF_1">#REF!</definedName>
    <definedName name="CUF_1.5" localSheetId="4">#REF!</definedName>
    <definedName name="CUF_1.5" localSheetId="5">#REF!</definedName>
    <definedName name="CUF_1.5" localSheetId="3">#REF!</definedName>
    <definedName name="CUF_1.5">#REF!</definedName>
    <definedName name="CUF_2" localSheetId="5">#REF!</definedName>
    <definedName name="CUF_2">#REF!</definedName>
    <definedName name="CUF_2.5" localSheetId="5">#REF!</definedName>
    <definedName name="CUF_2.5">#REF!</definedName>
    <definedName name="CUF_3" localSheetId="5">#REF!</definedName>
    <definedName name="CUF_3">#REF!</definedName>
    <definedName name="CUF_P50" localSheetId="5">#REF!</definedName>
    <definedName name="CUF_P50">#REF!</definedName>
    <definedName name="CUF_P75" localSheetId="5">#REF!</definedName>
    <definedName name="CUF_P75">#REF!</definedName>
    <definedName name="Cum_Int">#REF!</definedName>
    <definedName name="CurA" localSheetId="5">#REF!</definedName>
    <definedName name="CurA">#REF!</definedName>
    <definedName name="CurT" localSheetId="5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4">#REF!</definedName>
    <definedName name="CV" localSheetId="5">#REF!</definedName>
    <definedName name="CV" localSheetId="3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4">#REF!</definedName>
    <definedName name="D_1" localSheetId="5">#REF!</definedName>
    <definedName name="D_1" localSheetId="3">#REF!</definedName>
    <definedName name="D_1">#REF!</definedName>
    <definedName name="D_2" localSheetId="4">#REF!</definedName>
    <definedName name="D_2" localSheetId="5">#REF!</definedName>
    <definedName name="D_2" localSheetId="3">#REF!</definedName>
    <definedName name="D_2">#REF!</definedName>
    <definedName name="D_3" localSheetId="4">#REF!</definedName>
    <definedName name="D_3" localSheetId="5">#REF!</definedName>
    <definedName name="D_3" localSheetId="3">#REF!</definedName>
    <definedName name="D_3">#REF!</definedName>
    <definedName name="D_4" localSheetId="5">#REF!</definedName>
    <definedName name="D_4">#REF!</definedName>
    <definedName name="D_5" localSheetId="5">#REF!</definedName>
    <definedName name="D_5">#REF!</definedName>
    <definedName name="D_6" localSheetId="5">#REF!</definedName>
    <definedName name="D_6">#REF!</definedName>
    <definedName name="D_RANGE">#REF!</definedName>
    <definedName name="d1_range">#REF!</definedName>
    <definedName name="dadfsdf" localSheetId="5">#REF!</definedName>
    <definedName name="dadfsdf">#REF!</definedName>
    <definedName name="dafsff" localSheetId="5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4">#REF!,#REF!</definedName>
    <definedName name="dargad" localSheetId="5">#REF!,#REF!</definedName>
    <definedName name="dargad" localSheetId="3">#REF!,#REF!</definedName>
    <definedName name="dargad">#REF!,#REF!</definedName>
    <definedName name="Data" localSheetId="5">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4">#REF!</definedName>
    <definedName name="_xlnm.Database" localSheetId="5">#REF!</definedName>
    <definedName name="_xlnm.Database" localSheetId="3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4">'[39]04REL'!#REF!</definedName>
    <definedName name="ddd" localSheetId="5">'[39]04REL'!#REF!</definedName>
    <definedName name="ddd" localSheetId="3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4">#REF!</definedName>
    <definedName name="Deal" localSheetId="5">#REF!</definedName>
    <definedName name="Deal" localSheetId="3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4">#REF!</definedName>
    <definedName name="Dec_Proj_Cost" localSheetId="5">#REF!</definedName>
    <definedName name="Dec_Proj_Cost" localSheetId="3">#REF!</definedName>
    <definedName name="Dec_Proj_Cost">#REF!</definedName>
    <definedName name="ded_usincome">[6]Calculator!$Q$7</definedName>
    <definedName name="Deg_.25" localSheetId="4">#REF!</definedName>
    <definedName name="Deg_.25" localSheetId="5">#REF!</definedName>
    <definedName name="Deg_.25" localSheetId="3">#REF!</definedName>
    <definedName name="Deg_.25">#REF!</definedName>
    <definedName name="Deg_.5" localSheetId="4">#REF!</definedName>
    <definedName name="Deg_.5" localSheetId="5">#REF!</definedName>
    <definedName name="Deg_.5" localSheetId="3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4">#REF!</definedName>
    <definedName name="DER_1" localSheetId="5">#REF!</definedName>
    <definedName name="DER_1" localSheetId="3">#REF!</definedName>
    <definedName name="DER_1">#REF!</definedName>
    <definedName name="DER_2" localSheetId="4">#REF!</definedName>
    <definedName name="DER_2" localSheetId="5">#REF!</definedName>
    <definedName name="DER_2" localSheetId="3">#REF!</definedName>
    <definedName name="DER_2">#REF!</definedName>
    <definedName name="DER_3" localSheetId="4">#REF!</definedName>
    <definedName name="DER_3" localSheetId="5">#REF!</definedName>
    <definedName name="DER_3" localSheetId="3">#REF!</definedName>
    <definedName name="DER_3">#REF!</definedName>
    <definedName name="DER_4" localSheetId="5">#REF!</definedName>
    <definedName name="DER_4">#REF!</definedName>
    <definedName name="DER_5" localSheetId="5">#REF!</definedName>
    <definedName name="DER_5">#REF!</definedName>
    <definedName name="DER_6" localSheetId="5">#REF!</definedName>
    <definedName name="DER_6">#REF!</definedName>
    <definedName name="DETAIL">#REF!</definedName>
    <definedName name="dgxgfzdg" localSheetId="4">#REF!,#REF!</definedName>
    <definedName name="dgxgfzdg" localSheetId="5">#REF!,#REF!</definedName>
    <definedName name="dgxgfzdg" localSheetId="3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4">#REF!</definedName>
    <definedName name="DIFF_SPV" localSheetId="5">#REF!</definedName>
    <definedName name="DIFF_SPV" localSheetId="3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4">#REF!</definedName>
    <definedName name="ds" localSheetId="5">#REF!</definedName>
    <definedName name="ds" localSheetId="3">#REF!</definedName>
    <definedName name="ds">#REF!</definedName>
    <definedName name="dsd" localSheetId="4">#REF!</definedName>
    <definedName name="dsd" localSheetId="5">#REF!</definedName>
    <definedName name="dsd" localSheetId="3">#REF!</definedName>
    <definedName name="dsd">#REF!</definedName>
    <definedName name="dsfdfADF" localSheetId="4">#REF!</definedName>
    <definedName name="dsfdfADF" localSheetId="5">#REF!</definedName>
    <definedName name="dsfdfADF" localSheetId="3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4">#REF!,#REF!</definedName>
    <definedName name="dxzxxx" localSheetId="5">#REF!,#REF!</definedName>
    <definedName name="dxzxxx" localSheetId="3">#REF!,#REF!</definedName>
    <definedName name="dxzxxx">#REF!,#REF!</definedName>
    <definedName name="E" localSheetId="4">#REF!</definedName>
    <definedName name="E" localSheetId="5">#REF!</definedName>
    <definedName name="E" localSheetId="3">#REF!</definedName>
    <definedName name="E">#REF!</definedName>
    <definedName name="E_1" localSheetId="4">#REF!</definedName>
    <definedName name="E_1" localSheetId="5">#REF!</definedName>
    <definedName name="E_1" localSheetId="3">#REF!</definedName>
    <definedName name="E_1">#REF!</definedName>
    <definedName name="E_2" localSheetId="4">#REF!</definedName>
    <definedName name="E_2" localSheetId="5">#REF!</definedName>
    <definedName name="E_2" localSheetId="3">#REF!</definedName>
    <definedName name="E_2">#REF!</definedName>
    <definedName name="E_3" localSheetId="5">#REF!</definedName>
    <definedName name="E_3">#REF!</definedName>
    <definedName name="E_315MVA_Addl_Page1" localSheetId="5">#REF!</definedName>
    <definedName name="E_315MVA_Addl_Page1">#REF!</definedName>
    <definedName name="E_315MVA_Addl_Page2" localSheetId="5">#REF!</definedName>
    <definedName name="E_315MVA_Addl_Page2">#REF!</definedName>
    <definedName name="E_4" localSheetId="5">#REF!</definedName>
    <definedName name="E_4">#REF!</definedName>
    <definedName name="E_5" localSheetId="5">#REF!</definedName>
    <definedName name="E_5">#REF!</definedName>
    <definedName name="E_6" localSheetId="5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4">[11]Input!#REF!</definedName>
    <definedName name="ECB" localSheetId="5">[11]Input!#REF!</definedName>
    <definedName name="ECB" localSheetId="3">[11]Input!#REF!</definedName>
    <definedName name="ECB">[11]Input!#REF!</definedName>
    <definedName name="ECB_BASE" localSheetId="4">[11]Input!#REF!</definedName>
    <definedName name="ECB_BASE" localSheetId="5">[11]Input!#REF!</definedName>
    <definedName name="ECB_BASE" localSheetId="3">[11]Input!#REF!</definedName>
    <definedName name="ECB_BASE">[11]Input!#REF!</definedName>
    <definedName name="ECB_REFI" localSheetId="4">[11]Input!#REF!</definedName>
    <definedName name="ECB_REFI" localSheetId="5">[11]Input!#REF!</definedName>
    <definedName name="ECB_REFI" localSheetId="3">[11]Input!#REF!</definedName>
    <definedName name="ECB_REFI">[11]Input!#REF!</definedName>
    <definedName name="Eco_Transport_Base" localSheetId="4">#REF!</definedName>
    <definedName name="Eco_Transport_Base" localSheetId="5">#REF!</definedName>
    <definedName name="Eco_Transport_Base" localSheetId="3">#REF!</definedName>
    <definedName name="Eco_Transport_Base">#REF!</definedName>
    <definedName name="Eco_Transport_SEN" localSheetId="4">#REF!</definedName>
    <definedName name="Eco_Transport_SEN" localSheetId="5">#REF!</definedName>
    <definedName name="Eco_Transport_SEN" localSheetId="3">#REF!</definedName>
    <definedName name="Eco_Transport_SEN">#REF!</definedName>
    <definedName name="ECOEsc_Base" localSheetId="4">#REF!</definedName>
    <definedName name="ECOEsc_Base" localSheetId="5">#REF!</definedName>
    <definedName name="ECOEsc_Base" localSheetId="3">#REF!</definedName>
    <definedName name="ECOEsc_Base">#REF!</definedName>
    <definedName name="ECOEsc_SEN" localSheetId="5">#REF!</definedName>
    <definedName name="ECOEsc_SEN">#REF!</definedName>
    <definedName name="ECOPrice_Base" localSheetId="5">#REF!</definedName>
    <definedName name="ECOPrice_Base">#REF!</definedName>
    <definedName name="ECOPrice_SEN" localSheetId="5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4">#REF!</definedName>
    <definedName name="egtdgtgxdg" localSheetId="5">#REF!</definedName>
    <definedName name="egtdgtgxdg" localSheetId="3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4">#REF!</definedName>
    <definedName name="EmpExp_Base" localSheetId="5">#REF!</definedName>
    <definedName name="EmpExp_Base" localSheetId="3">#REF!</definedName>
    <definedName name="EmpExp_Base">#REF!</definedName>
    <definedName name="EmpExp_SEN" localSheetId="4">#REF!</definedName>
    <definedName name="EmpExp_SEN" localSheetId="5">#REF!</definedName>
    <definedName name="EmpExp_SEN" localSheetId="3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4">#REF!</definedName>
    <definedName name="EscAGExp" localSheetId="5">#REF!</definedName>
    <definedName name="EscAGExp" localSheetId="3">#REF!</definedName>
    <definedName name="EscAGExp">#REF!</definedName>
    <definedName name="EscCoal" localSheetId="4">#REF!</definedName>
    <definedName name="EscCoal" localSheetId="5">#REF!</definedName>
    <definedName name="EscCoal" localSheetId="3">#REF!</definedName>
    <definedName name="EscCoal">#REF!</definedName>
    <definedName name="EscDomGas" localSheetId="4">#REF!</definedName>
    <definedName name="EscDomGas" localSheetId="5">#REF!</definedName>
    <definedName name="EscDomGas" localSheetId="3">#REF!</definedName>
    <definedName name="EscDomGas">#REF!</definedName>
    <definedName name="EscEmpExp" localSheetId="5">#REF!</definedName>
    <definedName name="EscEmpExp">#REF!</definedName>
    <definedName name="EscLNGas" localSheetId="5">#REF!</definedName>
    <definedName name="EscLNGas">#REF!</definedName>
    <definedName name="EscOil" localSheetId="5">#REF!</definedName>
    <definedName name="EscOil">#REF!</definedName>
    <definedName name="EscOtherIncome" localSheetId="5">#REF!</definedName>
    <definedName name="EscOtherIncome">#REF!</definedName>
    <definedName name="EscOtherVarCharge" localSheetId="5">#REF!</definedName>
    <definedName name="EscOtherVarCharge">#REF!</definedName>
    <definedName name="EscRMExp" localSheetId="5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 localSheetId="5">#REF!</definedName>
    <definedName name="ex">#REF!</definedName>
    <definedName name="EXC" localSheetId="5">#REF!</definedName>
    <definedName name="EXC">#REF!</definedName>
    <definedName name="Excel_BuiltIn_Print_Area_3" localSheetId="5">[50]EPS!#REF!</definedName>
    <definedName name="Excel_BuiltIn_Print_Area_3">[50]EPS!#REF!</definedName>
    <definedName name="exfactcost">'[47]HI-TARGE'!#REF!</definedName>
    <definedName name="EXH" localSheetId="4">#REF!</definedName>
    <definedName name="EXH" localSheetId="5">#REF!</definedName>
    <definedName name="EXH" localSheetId="3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4">#REF!</definedName>
    <definedName name="F" localSheetId="5">#REF!</definedName>
    <definedName name="F" localSheetId="3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4">#REF!</definedName>
    <definedName name="FAX" localSheetId="5">#REF!</definedName>
    <definedName name="FAX" localSheetId="3">#REF!</definedName>
    <definedName name="FAX">#REF!</definedName>
    <definedName name="fbdfhsh" localSheetId="4">#REF!</definedName>
    <definedName name="fbdfhsh" localSheetId="5">#REF!</definedName>
    <definedName name="fbdfhsh" localSheetId="3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4">#REF!</definedName>
    <definedName name="fdfdgdgd" localSheetId="5">#REF!</definedName>
    <definedName name="fdfdgdgd" localSheetId="3">#REF!</definedName>
    <definedName name="fdfdgdgd">#REF!</definedName>
    <definedName name="fdsfdsf" localSheetId="4">#REF!</definedName>
    <definedName name="fdsfdsf" localSheetId="5">#REF!</definedName>
    <definedName name="fdsfdsf" localSheetId="3">#REF!</definedName>
    <definedName name="fdsfdsf">#REF!</definedName>
    <definedName name="fdxfds" localSheetId="4">#REF!</definedName>
    <definedName name="fdxfds" localSheetId="5">#REF!</definedName>
    <definedName name="fdxfds" localSheetId="3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4">#REF!</definedName>
    <definedName name="fgdgchjgd" localSheetId="5">#REF!</definedName>
    <definedName name="fgdgchjgd">#REF!</definedName>
    <definedName name="fgvdata">#REF!</definedName>
    <definedName name="Fhandling">[11]Assumptions!$D$61</definedName>
    <definedName name="FHandling_Base" localSheetId="4">#REF!</definedName>
    <definedName name="FHandling_Base" localSheetId="5">#REF!</definedName>
    <definedName name="FHandling_Base" localSheetId="3">#REF!</definedName>
    <definedName name="FHandling_Base">#REF!</definedName>
    <definedName name="FHandling_SEN" localSheetId="4">#REF!</definedName>
    <definedName name="FHandling_SEN" localSheetId="5">#REF!</definedName>
    <definedName name="FHandling_SEN" localSheetId="3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4">#REF!</definedName>
    <definedName name="Forex_Base" localSheetId="5">#REF!</definedName>
    <definedName name="Forex_Base" localSheetId="3">#REF!</definedName>
    <definedName name="Forex_Base">#REF!</definedName>
    <definedName name="Forex_SEN" localSheetId="4">#REF!</definedName>
    <definedName name="Forex_SEN" localSheetId="5">#REF!</definedName>
    <definedName name="Forex_SEN" localSheetId="3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4">#REF!</definedName>
    <definedName name="fssdzfzsdffzsdf" localSheetId="5">#REF!</definedName>
    <definedName name="fssdzfzsdffzsdf" localSheetId="3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4">#REF!</definedName>
    <definedName name="Fuel_Base" localSheetId="5">#REF!</definedName>
    <definedName name="Fuel_Base" localSheetId="3">#REF!</definedName>
    <definedName name="Fuel_Base">#REF!</definedName>
    <definedName name="Fuel_Exp_CY" localSheetId="4">#REF!</definedName>
    <definedName name="Fuel_Exp_CY" localSheetId="5">#REF!</definedName>
    <definedName name="Fuel_Exp_CY" localSheetId="3">#REF!</definedName>
    <definedName name="Fuel_Exp_CY">#REF!</definedName>
    <definedName name="Fuel_Exp_EY" localSheetId="4">#REF!</definedName>
    <definedName name="Fuel_Exp_EY" localSheetId="5">#REF!</definedName>
    <definedName name="Fuel_Exp_EY" localSheetId="3">#REF!</definedName>
    <definedName name="Fuel_Exp_EY">#REF!</definedName>
    <definedName name="Fuel_Exp_PY" localSheetId="5">#REF!</definedName>
    <definedName name="Fuel_Exp_PY">#REF!</definedName>
    <definedName name="FUEL_SEN" localSheetId="5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4">#REF!</definedName>
    <definedName name="Fx_Base" localSheetId="5">#REF!</definedName>
    <definedName name="Fx_Base" localSheetId="3">#REF!</definedName>
    <definedName name="Fx_Base">#REF!</definedName>
    <definedName name="Fx_SEN" localSheetId="4">#REF!</definedName>
    <definedName name="Fx_SEN" localSheetId="5">#REF!</definedName>
    <definedName name="Fx_SEN" localSheetId="3">#REF!</definedName>
    <definedName name="Fx_SEN">#REF!</definedName>
    <definedName name="fy" localSheetId="4">#REF!</definedName>
    <definedName name="fy" localSheetId="5">#REF!</definedName>
    <definedName name="fy" localSheetId="3">#REF!</definedName>
    <definedName name="fy">#REF!</definedName>
    <definedName name="FYMonths">[29]ReportsParameters!$B$42</definedName>
    <definedName name="g" localSheetId="4">#REF!</definedName>
    <definedName name="g" localSheetId="5">#REF!</definedName>
    <definedName name="g" localSheetId="3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4">#REF!</definedName>
    <definedName name="gaga" localSheetId="5">#REF!</definedName>
    <definedName name="gaga" localSheetId="3">#REF!</definedName>
    <definedName name="gaga">#REF!</definedName>
    <definedName name="gahZh" localSheetId="5">#REF!</definedName>
    <definedName name="gahZh">#REF!</definedName>
    <definedName name="gajkahuah" localSheetId="5">#REF!</definedName>
    <definedName name="gajkahuah">#REF!</definedName>
    <definedName name="gasgdskhdu" localSheetId="4">#REF!,#REF!</definedName>
    <definedName name="gasgdskhdu" localSheetId="5">#REF!,#REF!</definedName>
    <definedName name="gasgdskhdu" localSheetId="3">#REF!,#REF!</definedName>
    <definedName name="gasgdskhdu">#REF!,#REF!</definedName>
    <definedName name="gdgfg" localSheetId="4">#REF!,#REF!</definedName>
    <definedName name="gdgfg" localSheetId="5">#REF!,#REF!</definedName>
    <definedName name="gdgfg" localSheetId="3">#REF!,#REF!</definedName>
    <definedName name="gdgfg">#REF!,#REF!</definedName>
    <definedName name="gf" localSheetId="4">#REF!</definedName>
    <definedName name="gf" localSheetId="5">#REF!</definedName>
    <definedName name="gf" localSheetId="3">#REF!</definedName>
    <definedName name="gf">#REF!</definedName>
    <definedName name="gfg" localSheetId="4">#REF!</definedName>
    <definedName name="gfg" localSheetId="5">#REF!</definedName>
    <definedName name="gfg" localSheetId="3">#REF!</definedName>
    <definedName name="gfg">#REF!</definedName>
    <definedName name="gggggg">'[33]ANNX -II'!$X$20:$AG$41</definedName>
    <definedName name="ghhfh" localSheetId="4">#REF!</definedName>
    <definedName name="ghhfh" localSheetId="5">#REF!</definedName>
    <definedName name="ghhfh" localSheetId="3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4">#REF!</definedName>
    <definedName name="GR" localSheetId="5">#REF!</definedName>
    <definedName name="GR" localSheetId="3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4">#REF!</definedName>
    <definedName name="gshjgshgs" localSheetId="5">#REF!</definedName>
    <definedName name="gshjgshgs" localSheetId="3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4">#REF!,#REF!</definedName>
    <definedName name="gydgdg" localSheetId="5">#REF!,#REF!</definedName>
    <definedName name="gydgdg" localSheetId="3">#REF!,#REF!</definedName>
    <definedName name="gydgdg">#REF!,#REF!</definedName>
    <definedName name="h" localSheetId="4">'[55]04REL'!#REF!</definedName>
    <definedName name="h" localSheetId="5">'[55]04REL'!#REF!</definedName>
    <definedName name="h" localSheetId="3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4">#REF!</definedName>
    <definedName name="hahshuis" localSheetId="5">#REF!</definedName>
    <definedName name="hahshuis" localSheetId="3">#REF!</definedName>
    <definedName name="hahshuis">#REF!</definedName>
    <definedName name="halol">[56]HALOL!$A$10:$D$182</definedName>
    <definedName name="hasnain" localSheetId="4">#REF!</definedName>
    <definedName name="hasnain" localSheetId="5">#REF!</definedName>
    <definedName name="hasnain" localSheetId="3">#REF!</definedName>
    <definedName name="hasnain">#REF!</definedName>
    <definedName name="hdhdjh" localSheetId="4">#REF!</definedName>
    <definedName name="hdhdjh" localSheetId="5">#REF!</definedName>
    <definedName name="hdhdjh" localSheetId="3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4">'[39]04REL'!#REF!</definedName>
    <definedName name="hgtfhdh" localSheetId="5">'[39]04REL'!#REF!</definedName>
    <definedName name="hgtfhdh" localSheetId="3">'[39]04REL'!#REF!</definedName>
    <definedName name="hgtfhdh">'[39]04REL'!#REF!</definedName>
    <definedName name="hhhuh" localSheetId="4">#REF!</definedName>
    <definedName name="hhhuh" localSheetId="5">#REF!</definedName>
    <definedName name="hhhuh" localSheetId="3">#REF!</definedName>
    <definedName name="hhhuh">#REF!</definedName>
    <definedName name="hHzhzh" localSheetId="4">#REF!</definedName>
    <definedName name="hHzhzh" localSheetId="5">#REF!</definedName>
    <definedName name="hHzhzh" localSheetId="3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4">#REF!</definedName>
    <definedName name="hshhxuhxu" localSheetId="5">#REF!</definedName>
    <definedName name="hshhxuhxu" localSheetId="3">#REF!</definedName>
    <definedName name="hshhxuhxu">#REF!</definedName>
    <definedName name="hvdc.avlblty">'[15]PPT Inputs'!$C$27</definedName>
    <definedName name="HWSheet">1</definedName>
    <definedName name="i" localSheetId="4">#REF!</definedName>
    <definedName name="i" localSheetId="5">#REF!</definedName>
    <definedName name="i" localSheetId="3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4">#REF!</definedName>
    <definedName name="idc_copy_3" localSheetId="5">#REF!</definedName>
    <definedName name="idc_copy_3" localSheetId="3">#REF!</definedName>
    <definedName name="idc_copy_3">#REF!</definedName>
    <definedName name="idc_diff" localSheetId="4">#REF!</definedName>
    <definedName name="idc_diff" localSheetId="5">#REF!</definedName>
    <definedName name="idc_diff" localSheetId="3">#REF!</definedName>
    <definedName name="idc_diff">#REF!</definedName>
    <definedName name="IDC_DIFF_1" localSheetId="4">'[23]Capex Scheduling'!#REF!</definedName>
    <definedName name="IDC_DIFF_1" localSheetId="5">'[23]Capex Scheduling'!#REF!</definedName>
    <definedName name="IDC_DIFF_1" localSheetId="3">'[23]Capex Scheduling'!#REF!</definedName>
    <definedName name="IDC_DIFF_1">'[23]Capex Scheduling'!#REF!</definedName>
    <definedName name="idc_p">'[58]Debt Scheduling'!$E$50:$Q$50</definedName>
    <definedName name="idc_paste" localSheetId="4">#REF!</definedName>
    <definedName name="idc_paste" localSheetId="5">#REF!</definedName>
    <definedName name="idc_paste" localSheetId="3">#REF!</definedName>
    <definedName name="idc_paste">#REF!</definedName>
    <definedName name="idc_paste_3" localSheetId="4">#REF!</definedName>
    <definedName name="idc_paste_3" localSheetId="5">#REF!</definedName>
    <definedName name="idc_paste_3" localSheetId="3">#REF!</definedName>
    <definedName name="idc_paste_3">#REF!</definedName>
    <definedName name="IdcDiff" localSheetId="4">'[23]Capex Scheduling'!#REF!</definedName>
    <definedName name="IdcDiff" localSheetId="5">'[23]Capex Scheduling'!#REF!</definedName>
    <definedName name="IdcDiff" localSheetId="3">'[23]Capex Scheduling'!#REF!</definedName>
    <definedName name="IdcDiff">'[23]Capex Scheduling'!#REF!</definedName>
    <definedName name="IDCDifference" localSheetId="4">'[23]Capex Scheduling'!#REF!</definedName>
    <definedName name="IDCDifference" localSheetId="5">'[23]Capex Scheduling'!#REF!</definedName>
    <definedName name="IDCDifference" localSheetId="3">'[23]Capex Scheduling'!#REF!</definedName>
    <definedName name="IDCDifference">'[23]Capex Scheduling'!#REF!</definedName>
    <definedName name="idcPaste1">'[23]Capex Scheduling'!$F$35:$W$35</definedName>
    <definedName name="Inc_Proj_Cost" localSheetId="4">#REF!</definedName>
    <definedName name="Inc_Proj_Cost" localSheetId="5">#REF!</definedName>
    <definedName name="Inc_Proj_Cost" localSheetId="3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4">'[60]LTC-Insulation_Volume'!#REF!</definedName>
    <definedName name="Insulation_Volume" localSheetId="5">'[60]LTC-Insulation_Volume'!#REF!</definedName>
    <definedName name="Insulation_Volume" localSheetId="3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4">#REF!</definedName>
    <definedName name="IntRate_100" localSheetId="5">#REF!</definedName>
    <definedName name="IntRate_100" localSheetId="3">#REF!</definedName>
    <definedName name="IntRate_100">#REF!</definedName>
    <definedName name="IntRate_11">[41]Assumptions!$B$11</definedName>
    <definedName name="IntRate_12">[41]Assumptions!$B$12</definedName>
    <definedName name="IntRate_25" localSheetId="4">#REF!</definedName>
    <definedName name="IntRate_25" localSheetId="5">#REF!</definedName>
    <definedName name="IntRate_25" localSheetId="3">#REF!</definedName>
    <definedName name="IntRate_25">#REF!</definedName>
    <definedName name="IntRate_50" localSheetId="4">#REF!</definedName>
    <definedName name="IntRate_50" localSheetId="5">#REF!</definedName>
    <definedName name="IntRate_50" localSheetId="3">#REF!</definedName>
    <definedName name="IntRate_50">#REF!</definedName>
    <definedName name="IntRate_75" localSheetId="4">#REF!</definedName>
    <definedName name="IntRate_75" localSheetId="5">#REF!</definedName>
    <definedName name="IntRate_75" localSheetId="3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4">#REF!</definedName>
    <definedName name="IntRate12" localSheetId="5">#REF!</definedName>
    <definedName name="IntRate12" localSheetId="3">#REF!</definedName>
    <definedName name="IntRate12">#REF!</definedName>
    <definedName name="IntRate13" localSheetId="4">#REF!</definedName>
    <definedName name="IntRate13" localSheetId="5">#REF!</definedName>
    <definedName name="IntRate13" localSheetId="3">#REF!</definedName>
    <definedName name="IntRate13">#REF!</definedName>
    <definedName name="IntRateWC11" localSheetId="4">#REF!</definedName>
    <definedName name="IntRateWC11" localSheetId="5">#REF!</definedName>
    <definedName name="IntRateWC11" localSheetId="3">#REF!</definedName>
    <definedName name="IntRateWC11">#REF!</definedName>
    <definedName name="IntRateWC12" localSheetId="5">#REF!</definedName>
    <definedName name="IntRateWC12">#REF!</definedName>
    <definedName name="IntRateWC13" localSheetId="5">#REF!</definedName>
    <definedName name="IntRateWC13">#REF!</definedName>
    <definedName name="Intt_Charge_cY" localSheetId="4">#REF!,#REF!</definedName>
    <definedName name="Intt_Charge_cY" localSheetId="5">#REF!,#REF!</definedName>
    <definedName name="Intt_Charge_cY" localSheetId="3">#REF!,#REF!</definedName>
    <definedName name="Intt_Charge_cY">#REF!,#REF!</definedName>
    <definedName name="Intt_Charge_cy_1">'[62]A 3.7'!$H$35,'[62]A 3.7'!$H$44</definedName>
    <definedName name="Intt_Charge_eY" localSheetId="4">#REF!,#REF!</definedName>
    <definedName name="Intt_Charge_eY" localSheetId="5">#REF!,#REF!</definedName>
    <definedName name="Intt_Charge_eY" localSheetId="3">#REF!,#REF!</definedName>
    <definedName name="Intt_Charge_eY">#REF!,#REF!</definedName>
    <definedName name="Intt_Charge_ey_1">'[62]A 3.7'!$I$35,'[62]A 3.7'!$I$44</definedName>
    <definedName name="Intt_Charge_PY" localSheetId="4">#REF!,#REF!</definedName>
    <definedName name="Intt_Charge_PY" localSheetId="5">#REF!,#REF!</definedName>
    <definedName name="Intt_Charge_PY" localSheetId="3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4">#REF!</definedName>
    <definedName name="IsCircular" localSheetId="5">#REF!</definedName>
    <definedName name="IsCircular" localSheetId="3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4">#REF!</definedName>
    <definedName name="j" localSheetId="5">#REF!</definedName>
    <definedName name="j" localSheetId="3">#REF!</definedName>
    <definedName name="j">#REF!</definedName>
    <definedName name="JDCL_MISC">#REF!</definedName>
    <definedName name="jjjj">#REF!</definedName>
    <definedName name="jjkjklj" localSheetId="4">#REF!,#REF!</definedName>
    <definedName name="jjkjklj" localSheetId="5">#REF!,#REF!</definedName>
    <definedName name="jjkjklj" localSheetId="3">#REF!,#REF!</definedName>
    <definedName name="jjkjklj">#REF!,#REF!</definedName>
    <definedName name="jjskjsklj" localSheetId="4">#REF!</definedName>
    <definedName name="jjskjsklj" localSheetId="5">#REF!</definedName>
    <definedName name="jjskjsklj" localSheetId="3">#REF!</definedName>
    <definedName name="jjskjsklj">#REF!</definedName>
    <definedName name="jsdkf3" localSheetId="4">#REF!</definedName>
    <definedName name="jsdkf3" localSheetId="5">#REF!</definedName>
    <definedName name="jsdkf3" localSheetId="3">#REF!</definedName>
    <definedName name="jsdkf3">#REF!</definedName>
    <definedName name="jsjssij" localSheetId="4">#REF!</definedName>
    <definedName name="jsjssij" localSheetId="5">#REF!</definedName>
    <definedName name="jsjssij" localSheetId="3">#REF!</definedName>
    <definedName name="jsjssij">#REF!</definedName>
    <definedName name="k" localSheetId="5">#REF!</definedName>
    <definedName name="k">#REF!</definedName>
    <definedName name="K2000_">#N/A</definedName>
    <definedName name="Kettex">#REF!</definedName>
    <definedName name="kettex98">#REF!</definedName>
    <definedName name="kishor" localSheetId="4">#REF!</definedName>
    <definedName name="kishor" localSheetId="5">#REF!</definedName>
    <definedName name="kishor" localSheetId="3">#REF!</definedName>
    <definedName name="kishor">#REF!</definedName>
    <definedName name="kk">#REF!</definedName>
    <definedName name="kkJJ" localSheetId="4">#REF!</definedName>
    <definedName name="kkJJ" localSheetId="5">#REF!</definedName>
    <definedName name="kkJJ" localSheetId="3">#REF!</definedName>
    <definedName name="kkJJ">#REF!</definedName>
    <definedName name="kkk">#REF!</definedName>
    <definedName name="Korea_Telecom">[16]List_ratios!#REF!</definedName>
    <definedName name="ksokskosk" localSheetId="4">#REF!</definedName>
    <definedName name="ksokskosk" localSheetId="5">#REF!</definedName>
    <definedName name="ksokskosk" localSheetId="3">#REF!</definedName>
    <definedName name="ksokskosk">#REF!</definedName>
    <definedName name="kv.avlblty">'[15]PPT Inputs'!$C$28</definedName>
    <definedName name="l" localSheetId="4">#REF!</definedName>
    <definedName name="l" localSheetId="5">#REF!</definedName>
    <definedName name="l" localSheetId="3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4">#REF!</definedName>
    <definedName name="llJkljl" localSheetId="5">#REF!</definedName>
    <definedName name="llJkljl" localSheetId="3">#REF!</definedName>
    <definedName name="llJkljl">#REF!</definedName>
    <definedName name="Loan_Amount">#REF!</definedName>
    <definedName name="loan_cntr">'[65]Capital Cost'!$A$111:$IV$111</definedName>
    <definedName name="Loan_CoalSPV" localSheetId="4">#REF!</definedName>
    <definedName name="Loan_CoalSPV" localSheetId="5">#REF!</definedName>
    <definedName name="Loan_CoalSPV" localSheetId="3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4">#REF!</definedName>
    <definedName name="LTR_M_NEW" localSheetId="5">#REF!</definedName>
    <definedName name="LTR_M_NEW" localSheetId="3">#REF!</definedName>
    <definedName name="LTR_M_NEW">#REF!</definedName>
    <definedName name="LTR_MOR" localSheetId="4">#REF!</definedName>
    <definedName name="LTR_MOR" localSheetId="5">#REF!</definedName>
    <definedName name="LTR_MOR" localSheetId="3">#REF!</definedName>
    <definedName name="LTR_MOR">#REF!</definedName>
    <definedName name="lvkfeqvlkqe" localSheetId="5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4">#REF!</definedName>
    <definedName name="m105." localSheetId="5">#REF!</definedName>
    <definedName name="m105." localSheetId="3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4">#REF!</definedName>
    <definedName name="Melawan_Transport_Base" localSheetId="5">#REF!</definedName>
    <definedName name="Melawan_Transport_Base" localSheetId="3">#REF!</definedName>
    <definedName name="Melawan_Transport_Base">#REF!</definedName>
    <definedName name="Melawan_Transport_SEN" localSheetId="4">#REF!</definedName>
    <definedName name="Melawan_Transport_SEN" localSheetId="5">#REF!</definedName>
    <definedName name="Melawan_Transport_SEN" localSheetId="3">#REF!</definedName>
    <definedName name="Melawan_Transport_SEN">#REF!</definedName>
    <definedName name="MelawanEsc_Base" localSheetId="4">#REF!</definedName>
    <definedName name="MelawanEsc_Base" localSheetId="5">#REF!</definedName>
    <definedName name="MelawanEsc_Base" localSheetId="3">#REF!</definedName>
    <definedName name="MelawanEsc_Base">#REF!</definedName>
    <definedName name="MelawanEsc_SEN" localSheetId="5">#REF!</definedName>
    <definedName name="MelawanEsc_SEN">#REF!</definedName>
    <definedName name="Melawanprice_Base" localSheetId="5">#REF!</definedName>
    <definedName name="Melawanprice_Base">#REF!</definedName>
    <definedName name="MelawanPrice_SEN" localSheetId="5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4">#REF!</definedName>
    <definedName name="Min_SPV" localSheetId="5">#REF!</definedName>
    <definedName name="Min_SPV" localSheetId="3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4">#REF!</definedName>
    <definedName name="Mix_Eco_Base" localSheetId="5">#REF!</definedName>
    <definedName name="Mix_Eco_Base" localSheetId="3">#REF!</definedName>
    <definedName name="Mix_Eco_Base">#REF!</definedName>
    <definedName name="Mix_Eco_Sen" localSheetId="4">#REF!</definedName>
    <definedName name="Mix_Eco_Sen" localSheetId="5">#REF!</definedName>
    <definedName name="Mix_Eco_Sen" localSheetId="3">#REF!</definedName>
    <definedName name="Mix_Eco_Sen">#REF!</definedName>
    <definedName name="MIX_MEL">[11]Assumptions!$C$92</definedName>
    <definedName name="Mix_Melawan_Base" localSheetId="4">#REF!</definedName>
    <definedName name="Mix_Melawan_Base" localSheetId="5">#REF!</definedName>
    <definedName name="Mix_Melawan_Base" localSheetId="3">#REF!</definedName>
    <definedName name="Mix_Melawan_Base">#REF!</definedName>
    <definedName name="Mix_Melawan_SEN" localSheetId="4">#REF!</definedName>
    <definedName name="Mix_Melawan_SEN" localSheetId="5">#REF!</definedName>
    <definedName name="Mix_Melawan_SEN" localSheetId="3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4" hidden="1">[67]CE!#REF!</definedName>
    <definedName name="new" localSheetId="5" hidden="1">[67]CE!#REF!</definedName>
    <definedName name="new" localSheetId="3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4">#REF!</definedName>
    <definedName name="nnkklj" localSheetId="5">#REF!</definedName>
    <definedName name="nnkklj" localSheetId="3">#REF!</definedName>
    <definedName name="nnkklj">#REF!</definedName>
    <definedName name="NO_G" localSheetId="4">#REF!</definedName>
    <definedName name="NO_G" localSheetId="5">#REF!</definedName>
    <definedName name="NO_G" localSheetId="3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4">#REF!</definedName>
    <definedName name="O" localSheetId="5">#REF!</definedName>
    <definedName name="O" localSheetId="3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4">#REF!</definedName>
    <definedName name="Olklkk" localSheetId="5">#REF!</definedName>
    <definedName name="Olklkk" localSheetId="3">#REF!</definedName>
    <definedName name="Olklkk">#REF!</definedName>
    <definedName name="OM.5" localSheetId="4">#REF!</definedName>
    <definedName name="OM.5" localSheetId="5">#REF!</definedName>
    <definedName name="OM.5" localSheetId="3">#REF!</definedName>
    <definedName name="OM.5">#REF!</definedName>
    <definedName name="OM_1" localSheetId="4">#REF!</definedName>
    <definedName name="OM_1" localSheetId="5">#REF!</definedName>
    <definedName name="OM_1" localSheetId="3">#REF!</definedName>
    <definedName name="OM_1">#REF!</definedName>
    <definedName name="OM_1.5" localSheetId="5">#REF!</definedName>
    <definedName name="OM_1.5">#REF!</definedName>
    <definedName name="OM_2" localSheetId="5">#REF!</definedName>
    <definedName name="OM_2">#REF!</definedName>
    <definedName name="OM_2.5" localSheetId="5">#REF!</definedName>
    <definedName name="OM_2.5">#REF!</definedName>
    <definedName name="OM_3" localSheetId="5">#REF!</definedName>
    <definedName name="OM_3">#REF!</definedName>
    <definedName name="ONM_Base" localSheetId="5">#REF!</definedName>
    <definedName name="ONM_Base">#REF!</definedName>
    <definedName name="ONM_SEN" localSheetId="5">#REF!</definedName>
    <definedName name="ONM_SEN">#REF!</definedName>
    <definedName name="order_value" localSheetId="5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 localSheetId="5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4">#REF!</definedName>
    <definedName name="PAF_Base" localSheetId="5">#REF!</definedName>
    <definedName name="PAF_Base" localSheetId="3">#REF!</definedName>
    <definedName name="PAF_Base">#REF!</definedName>
    <definedName name="PAF_SEN" localSheetId="4">#REF!</definedName>
    <definedName name="PAF_SEN" localSheetId="5">#REF!</definedName>
    <definedName name="PAF_SEN" localSheetId="3">#REF!</definedName>
    <definedName name="PAF_SEN">#REF!</definedName>
    <definedName name="PAGE1" localSheetId="4">#REF!</definedName>
    <definedName name="PAGE1" localSheetId="5">#REF!</definedName>
    <definedName name="PAGE1" localSheetId="3">#REF!</definedName>
    <definedName name="PAGE1">#REF!</definedName>
    <definedName name="page10" localSheetId="5">#REF!</definedName>
    <definedName name="page10">#REF!</definedName>
    <definedName name="PAGE10_6" localSheetId="5">#REF!</definedName>
    <definedName name="PAGE10_6">#REF!</definedName>
    <definedName name="PAGE11_6" localSheetId="5">#REF!</definedName>
    <definedName name="PAGE11_6">#REF!</definedName>
    <definedName name="PAGE12_6" localSheetId="5">#REF!</definedName>
    <definedName name="PAGE12_6">#REF!</definedName>
    <definedName name="PAGE14" localSheetId="5">#REF!</definedName>
    <definedName name="PAGE14">#REF!</definedName>
    <definedName name="PAGE15" localSheetId="5">#REF!</definedName>
    <definedName name="PAGE15">#REF!</definedName>
    <definedName name="PAGE16" localSheetId="5">#REF!</definedName>
    <definedName name="PAGE16">#REF!</definedName>
    <definedName name="PAGE17" localSheetId="5">#REF!</definedName>
    <definedName name="PAGE17">#REF!</definedName>
    <definedName name="PAGE18" localSheetId="5">#REF!</definedName>
    <definedName name="PAGE18">#REF!</definedName>
    <definedName name="PAGE19" localSheetId="5">#REF!</definedName>
    <definedName name="PAGE19">#REF!</definedName>
    <definedName name="PAGE2" localSheetId="5">#REF!</definedName>
    <definedName name="PAGE2">#REF!</definedName>
    <definedName name="PAGE2_6" localSheetId="5">#REF!</definedName>
    <definedName name="PAGE2_6">#REF!</definedName>
    <definedName name="PAGE20" localSheetId="5">#REF!</definedName>
    <definedName name="PAGE20">#REF!</definedName>
    <definedName name="PAGE21" localSheetId="5">#REF!</definedName>
    <definedName name="PAGE21">#REF!</definedName>
    <definedName name="PAGE210" localSheetId="5">#REF!</definedName>
    <definedName name="PAGE210">#REF!</definedName>
    <definedName name="PAGE22" localSheetId="5">#REF!</definedName>
    <definedName name="PAGE22">#REF!</definedName>
    <definedName name="PAGE23" localSheetId="5">#REF!</definedName>
    <definedName name="PAGE23">#REF!</definedName>
    <definedName name="PAGE24" localSheetId="5">#REF!</definedName>
    <definedName name="PAGE24">#REF!</definedName>
    <definedName name="PAGE25" localSheetId="5">#REF!</definedName>
    <definedName name="PAGE25">#REF!</definedName>
    <definedName name="PAGE26" localSheetId="5">#REF!</definedName>
    <definedName name="PAGE26">#REF!</definedName>
    <definedName name="PAGE27" localSheetId="5">#REF!</definedName>
    <definedName name="PAGE27">#REF!</definedName>
    <definedName name="PAGE28" localSheetId="5">#REF!</definedName>
    <definedName name="PAGE28">#REF!</definedName>
    <definedName name="PAGE29" localSheetId="5">#REF!</definedName>
    <definedName name="PAGE29">#REF!</definedName>
    <definedName name="PAGE3_6" localSheetId="5">#REF!</definedName>
    <definedName name="PAGE3_6">#REF!</definedName>
    <definedName name="page34" localSheetId="5">#REF!</definedName>
    <definedName name="page34">#REF!</definedName>
    <definedName name="Page35" localSheetId="5">#REF!</definedName>
    <definedName name="Page35">#REF!</definedName>
    <definedName name="PAGE4_6" localSheetId="5">#REF!</definedName>
    <definedName name="PAGE4_6">#REF!</definedName>
    <definedName name="PAGE5_6" localSheetId="5">#REF!</definedName>
    <definedName name="PAGE5_6">#REF!</definedName>
    <definedName name="page50" localSheetId="5">#REF!</definedName>
    <definedName name="page50">#REF!</definedName>
    <definedName name="page51" localSheetId="5">#REF!</definedName>
    <definedName name="page51">#REF!</definedName>
    <definedName name="page52" localSheetId="5">#REF!</definedName>
    <definedName name="page52">#REF!</definedName>
    <definedName name="PAGE6" localSheetId="5">#REF!</definedName>
    <definedName name="PAGE6">#REF!</definedName>
    <definedName name="PAGE6_6" localSheetId="5">#REF!</definedName>
    <definedName name="PAGE6_6">#REF!</definedName>
    <definedName name="PAGE7" localSheetId="5">#REF!</definedName>
    <definedName name="PAGE7">#REF!</definedName>
    <definedName name="PAGE7_6" localSheetId="5">#REF!</definedName>
    <definedName name="PAGE7_6">#REF!</definedName>
    <definedName name="PAGE8" localSheetId="5">#REF!</definedName>
    <definedName name="PAGE8">#REF!</definedName>
    <definedName name="PAGE8_6U1A" localSheetId="5">#REF!</definedName>
    <definedName name="PAGE8_6U1A">#REF!</definedName>
    <definedName name="PAGE8_6U1B" localSheetId="5">#REF!</definedName>
    <definedName name="PAGE8_6U1B">#REF!</definedName>
    <definedName name="PAGE8_6U2A" localSheetId="5">#REF!</definedName>
    <definedName name="PAGE8_6U2A">#REF!</definedName>
    <definedName name="PAGE8_6U2B" localSheetId="5">#REF!</definedName>
    <definedName name="PAGE8_6U2B">#REF!</definedName>
    <definedName name="PAGE8_6U3A" localSheetId="5">#REF!</definedName>
    <definedName name="PAGE8_6U3A">#REF!</definedName>
    <definedName name="PAGE8_6U3B" localSheetId="5">#REF!</definedName>
    <definedName name="PAGE8_6U3B">#REF!</definedName>
    <definedName name="PAGE9" localSheetId="5">#REF!</definedName>
    <definedName name="PAGE9">#REF!</definedName>
    <definedName name="PAGE9_6" localSheetId="5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4">#REF!</definedName>
    <definedName name="PASTE_LoanCOALSPV" localSheetId="5">#REF!</definedName>
    <definedName name="PASTE_LoanCOALSPV" localSheetId="3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4">#REF!</definedName>
    <definedName name="PC_1" localSheetId="5">#REF!</definedName>
    <definedName name="PC_1" localSheetId="3">#REF!</definedName>
    <definedName name="PC_1">#REF!</definedName>
    <definedName name="PC_2" localSheetId="5">#REF!</definedName>
    <definedName name="PC_2">#REF!</definedName>
    <definedName name="PC_3" localSheetId="5">#REF!</definedName>
    <definedName name="PC_3">#REF!</definedName>
    <definedName name="PC_4" localSheetId="5">#REF!</definedName>
    <definedName name="PC_4">#REF!</definedName>
    <definedName name="PC_5" localSheetId="5">#REF!</definedName>
    <definedName name="PC_5">#REF!</definedName>
    <definedName name="PC_6" localSheetId="5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4">#REF!</definedName>
    <definedName name="PL" localSheetId="5">#REF!</definedName>
    <definedName name="PL" localSheetId="3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4">#REF!</definedName>
    <definedName name="PLF_Base" localSheetId="5">#REF!</definedName>
    <definedName name="PLF_Base" localSheetId="3">#REF!</definedName>
    <definedName name="PLF_Base">#REF!</definedName>
    <definedName name="PLF_SEN" localSheetId="4">#REF!</definedName>
    <definedName name="PLF_SEN" localSheetId="5">#REF!</definedName>
    <definedName name="PLF_SEN" localSheetId="3">#REF!</definedName>
    <definedName name="PLF_SEN">#REF!</definedName>
    <definedName name="Pop_Ratio" localSheetId="4">#REF!</definedName>
    <definedName name="Pop_Ratio" localSheetId="5">#REF!</definedName>
    <definedName name="Pop_Ratio" localSheetId="3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4">#REF!</definedName>
    <definedName name="Premium" localSheetId="5">#REF!</definedName>
    <definedName name="Premium" localSheetId="3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4">#REF!</definedName>
    <definedName name="PRF_1" localSheetId="5">#REF!</definedName>
    <definedName name="PRF_1" localSheetId="3">#REF!</definedName>
    <definedName name="PRF_1">#REF!</definedName>
    <definedName name="PRF_2_P1" localSheetId="4">#REF!</definedName>
    <definedName name="PRF_2_P1" localSheetId="5">#REF!</definedName>
    <definedName name="PRF_2_P1" localSheetId="3">#REF!</definedName>
    <definedName name="PRF_2_P1">#REF!</definedName>
    <definedName name="PRF_2_P2" localSheetId="5">#REF!</definedName>
    <definedName name="PRF_2_P2">#REF!</definedName>
    <definedName name="PRF_3_AN1" localSheetId="5">#REF!</definedName>
    <definedName name="PRF_3_AN1">#REF!</definedName>
    <definedName name="PRF_3_AN2" localSheetId="5">#REF!</definedName>
    <definedName name="PRF_3_AN2">#REF!</definedName>
    <definedName name="PRF_3_AN3" localSheetId="5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4">#REF!</definedName>
    <definedName name="_xlnm.Print_Area" localSheetId="5">'[73]Dep It'!#REF!</definedName>
    <definedName name="_xlnm.Print_Area" localSheetId="3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4">#REF!</definedName>
    <definedName name="Print_Area_MI" localSheetId="5">#REF!</definedName>
    <definedName name="PRINT_AREA_MI" localSheetId="3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'[74]A 3.7'!$I$35,'[74]A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4">#REF!</definedName>
    <definedName name="RAUX" localSheetId="5">#REF!</definedName>
    <definedName name="RAUX" localSheetId="3">#REF!</definedName>
    <definedName name="RAUX">#REF!</definedName>
    <definedName name="RAWMAT">'[47]Data Input'!$B$195:$P$272</definedName>
    <definedName name="RBASE" localSheetId="4">#REF!</definedName>
    <definedName name="RBASE" localSheetId="5">#REF!</definedName>
    <definedName name="RBASE" localSheetId="3">#REF!</definedName>
    <definedName name="RBASE">#REF!</definedName>
    <definedName name="RCAP" localSheetId="4">#REF!</definedName>
    <definedName name="RCAP" localSheetId="5">#REF!</definedName>
    <definedName name="RCAP" localSheetId="3">#REF!</definedName>
    <definedName name="RCAP">#REF!</definedName>
    <definedName name="RCERC" localSheetId="5">#REF!</definedName>
    <definedName name="RCERC">#REF!</definedName>
    <definedName name="RCOALCOST" localSheetId="5">#REF!</definedName>
    <definedName name="RCOALCOST">#REF!</definedName>
    <definedName name="RCoalScenario" localSheetId="5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4">#REF!</definedName>
    <definedName name="Red_Tariff_.25" localSheetId="5">#REF!</definedName>
    <definedName name="Red_Tariff_.25" localSheetId="3">#REF!</definedName>
    <definedName name="Red_Tariff_.25">#REF!</definedName>
    <definedName name="Red_Tariff_.5" localSheetId="4">#REF!</definedName>
    <definedName name="Red_Tariff_.5" localSheetId="5">#REF!</definedName>
    <definedName name="Red_Tariff_.5" localSheetId="3">#REF!</definedName>
    <definedName name="Red_Tariff_.5">#REF!</definedName>
    <definedName name="Ref_1">[75]PyrllDeduc!#REF!</definedName>
    <definedName name="Ref_2">[76]Year_End!#REF!</definedName>
    <definedName name="Ref_3">#REF!</definedName>
    <definedName name="Ref_4">'[77]Price Testing - Used - 1'!#REF!</definedName>
    <definedName name="Ref_5">'[77]Price Testing - Used - 1'!#REF!</definedName>
    <definedName name="Ref_6">'[77]Price Testing - Used - 1'!#REF!</definedName>
    <definedName name="refin" localSheetId="4">#REF!</definedName>
    <definedName name="refin" localSheetId="5">#REF!</definedName>
    <definedName name="refin" localSheetId="3">#REF!</definedName>
    <definedName name="refin">#REF!</definedName>
    <definedName name="Reinvest">#REF!</definedName>
    <definedName name="REmpExp" localSheetId="5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4">#REF!</definedName>
    <definedName name="REsc_Melawan" localSheetId="5">#REF!</definedName>
    <definedName name="REsc_Melawan" localSheetId="3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4">#REF!</definedName>
    <definedName name="RFHandling" localSheetId="5">#REF!</definedName>
    <definedName name="RFHandling" localSheetId="3">#REF!</definedName>
    <definedName name="RFHandling">#REF!</definedName>
    <definedName name="RFOREX" localSheetId="4">#REF!</definedName>
    <definedName name="RFOREX" localSheetId="5">#REF!</definedName>
    <definedName name="RFOREX" localSheetId="3">#REF!</definedName>
    <definedName name="RFOREX">#REF!</definedName>
    <definedName name="RFUEL" localSheetId="4">#REF!</definedName>
    <definedName name="RFUEL" localSheetId="5">#REF!</definedName>
    <definedName name="RFUEL" localSheetId="3">#REF!</definedName>
    <definedName name="RFUEL">#REF!</definedName>
    <definedName name="RFx" localSheetId="5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 localSheetId="5">#REF!</definedName>
    <definedName name="RMelawan_Price">#REF!</definedName>
    <definedName name="RMIX" localSheetId="5">#REF!</definedName>
    <definedName name="RMIX">#REF!</definedName>
    <definedName name="ROA">[16]List_ratios!#REF!</definedName>
    <definedName name="ROE">[16]List_ratios!#REF!</definedName>
    <definedName name="RONM" localSheetId="4">#REF!</definedName>
    <definedName name="RONM" localSheetId="5">#REF!</definedName>
    <definedName name="RONM" localSheetId="3">#REF!</definedName>
    <definedName name="RONM">#REF!</definedName>
    <definedName name="RPAF" localSheetId="5">#REF!</definedName>
    <definedName name="RPAF">#REF!</definedName>
    <definedName name="RPLF" localSheetId="5">#REF!</definedName>
    <definedName name="RPLF">#REF!</definedName>
    <definedName name="rr">[78]STATE!$A$2:$A$65536</definedName>
    <definedName name="rradj">nopatadj/capitaladj</definedName>
    <definedName name="RRTL_Int" localSheetId="4">#REF!</definedName>
    <definedName name="RRTL_Int" localSheetId="5">#REF!</definedName>
    <definedName name="RRTL_Int" localSheetId="3">#REF!</definedName>
    <definedName name="RRTL_Int">#REF!</definedName>
    <definedName name="Rsin">[79]Main!$B$2</definedName>
    <definedName name="RSL" localSheetId="4">#REF!</definedName>
    <definedName name="RSL" localSheetId="5">#REF!</definedName>
    <definedName name="RSL" localSheetId="3">#REF!</definedName>
    <definedName name="RSL">#REF!</definedName>
    <definedName name="RTariff" localSheetId="4">#REF!</definedName>
    <definedName name="RTariff" localSheetId="5">#REF!</definedName>
    <definedName name="RTariff" localSheetId="3">#REF!</definedName>
    <definedName name="RTariff">#REF!</definedName>
    <definedName name="RTL_BASE" localSheetId="4">[11]Input!#REF!</definedName>
    <definedName name="RTL_BASE" localSheetId="5">[11]Input!#REF!</definedName>
    <definedName name="RTL_BASE" localSheetId="3">[11]Input!#REF!</definedName>
    <definedName name="RTL_BASE">[11]Input!#REF!</definedName>
    <definedName name="RTL_INT_Base" localSheetId="4">#REF!</definedName>
    <definedName name="RTL_INT_Base" localSheetId="5">#REF!</definedName>
    <definedName name="RTL_INT_Base" localSheetId="3">#REF!</definedName>
    <definedName name="RTL_INT_Base">#REF!</definedName>
    <definedName name="RTL_INT_SEN" localSheetId="4">#REF!</definedName>
    <definedName name="RTL_INT_SEN" localSheetId="5">#REF!</definedName>
    <definedName name="RTL_INT_SEN" localSheetId="3">#REF!</definedName>
    <definedName name="RTL_INT_SEN">#REF!</definedName>
    <definedName name="RTransporation" localSheetId="4">#REF!</definedName>
    <definedName name="RTransporation" localSheetId="5">#REF!</definedName>
    <definedName name="RTransporation" localSheetId="3">#REF!</definedName>
    <definedName name="RTransporation">#REF!</definedName>
    <definedName name="RTransport" localSheetId="5">#REF!</definedName>
    <definedName name="RTransport">#REF!</definedName>
    <definedName name="RTransportation" localSheetId="5">#REF!</definedName>
    <definedName name="RTransportation">#REF!</definedName>
    <definedName name="S" localSheetId="5">#REF!</definedName>
    <definedName name="S">#REF!</definedName>
    <definedName name="S_0" localSheetId="5">#REF!</definedName>
    <definedName name="S_0">#REF!</definedName>
    <definedName name="S_0.5" localSheetId="5">#REF!</definedName>
    <definedName name="S_0.5">#REF!</definedName>
    <definedName name="S_1" localSheetId="5">#REF!</definedName>
    <definedName name="S_1">#REF!</definedName>
    <definedName name="S_10" localSheetId="5">#REF!</definedName>
    <definedName name="S_10">#REF!</definedName>
    <definedName name="S_11" localSheetId="5">#REF!</definedName>
    <definedName name="S_11">#REF!</definedName>
    <definedName name="S_12" localSheetId="5">#REF!</definedName>
    <definedName name="S_12">#REF!</definedName>
    <definedName name="S_13" localSheetId="5">#REF!</definedName>
    <definedName name="S_13">#REF!</definedName>
    <definedName name="S_14" localSheetId="5">#REF!</definedName>
    <definedName name="S_14">#REF!</definedName>
    <definedName name="S_15" localSheetId="5">#REF!</definedName>
    <definedName name="S_15">#REF!</definedName>
    <definedName name="S_16" localSheetId="5">#REF!</definedName>
    <definedName name="S_16">#REF!</definedName>
    <definedName name="S_17" localSheetId="5">#REF!</definedName>
    <definedName name="S_17">#REF!</definedName>
    <definedName name="S_18" localSheetId="5">#REF!</definedName>
    <definedName name="S_18">#REF!</definedName>
    <definedName name="S_19" localSheetId="5">#REF!</definedName>
    <definedName name="S_19">#REF!</definedName>
    <definedName name="S_2" localSheetId="5">#REF!</definedName>
    <definedName name="S_2">#REF!</definedName>
    <definedName name="S_20" localSheetId="5">#REF!</definedName>
    <definedName name="S_20">#REF!</definedName>
    <definedName name="S_21" localSheetId="5">#REF!</definedName>
    <definedName name="S_21">#REF!</definedName>
    <definedName name="S_22" localSheetId="5">#REF!</definedName>
    <definedName name="S_22">#REF!</definedName>
    <definedName name="S_23" localSheetId="5">#REF!</definedName>
    <definedName name="S_23">#REF!</definedName>
    <definedName name="S_24" localSheetId="5">#REF!</definedName>
    <definedName name="S_24">#REF!</definedName>
    <definedName name="S_25" localSheetId="5">#REF!</definedName>
    <definedName name="S_25">#REF!</definedName>
    <definedName name="S_26" localSheetId="5">#REF!</definedName>
    <definedName name="S_26">#REF!</definedName>
    <definedName name="S_27" localSheetId="5">#REF!</definedName>
    <definedName name="S_27">#REF!</definedName>
    <definedName name="S_28" localSheetId="5">#REF!</definedName>
    <definedName name="S_28">#REF!</definedName>
    <definedName name="S_29" localSheetId="5">#REF!</definedName>
    <definedName name="S_29">#REF!</definedName>
    <definedName name="S_3" localSheetId="5">#REF!</definedName>
    <definedName name="S_3">#REF!</definedName>
    <definedName name="S_30" localSheetId="5">#REF!</definedName>
    <definedName name="S_30">#REF!</definedName>
    <definedName name="S_4" localSheetId="5">#REF!</definedName>
    <definedName name="S_4">#REF!</definedName>
    <definedName name="S_5" localSheetId="5">#REF!</definedName>
    <definedName name="S_5">#REF!</definedName>
    <definedName name="S_6" localSheetId="5">#REF!</definedName>
    <definedName name="S_6">#REF!</definedName>
    <definedName name="S_7" localSheetId="5">#REF!</definedName>
    <definedName name="S_7">#REF!</definedName>
    <definedName name="S_8" localSheetId="5">#REF!</definedName>
    <definedName name="S_8">#REF!</definedName>
    <definedName name="S_9" localSheetId="5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 localSheetId="5">'[39]04REL'!#REF!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[80]Net!#REF!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4">#REF!</definedName>
    <definedName name="sdsdsdsd" localSheetId="5">#REF!</definedName>
    <definedName name="sdsdsdsd" localSheetId="3">#REF!</definedName>
    <definedName name="sdsdsdsd">#REF!</definedName>
    <definedName name="sdsfszsfzs" localSheetId="4">#REF!,#REF!</definedName>
    <definedName name="sdsfszsfzs" localSheetId="5">#REF!,#REF!</definedName>
    <definedName name="sdsfszsfzs" localSheetId="3">#REF!,#REF!</definedName>
    <definedName name="sdsfszsfzs">#REF!,#REF!</definedName>
    <definedName name="SE_NAME">""</definedName>
    <definedName name="SECOAL" localSheetId="4">#REF!</definedName>
    <definedName name="SECOAL" localSheetId="5">#REF!</definedName>
    <definedName name="SECOAL" localSheetId="3">#REF!</definedName>
    <definedName name="SECOAL">#REF!</definedName>
    <definedName name="SECTOR_LIST">[71]SECTOR!$A$2:$A$65536</definedName>
    <definedName name="SELECT" localSheetId="4">#REF!</definedName>
    <definedName name="SELECT" localSheetId="5">#REF!</definedName>
    <definedName name="SELECT" localSheetId="3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4">#REF!</definedName>
    <definedName name="SEOREP" localSheetId="5">#REF!</definedName>
    <definedName name="SEOREP" localSheetId="3">#REF!</definedName>
    <definedName name="SEOREP">#REF!</definedName>
    <definedName name="SEREPORT" localSheetId="4">#REF!</definedName>
    <definedName name="SEREPORT" localSheetId="5">#REF!</definedName>
    <definedName name="SEREPORT" localSheetId="3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[81]SUMMERY!$P$1</definedName>
    <definedName name="shshshsh" localSheetId="4">#REF!,#REF!</definedName>
    <definedName name="shshshsh" localSheetId="5">#REF!,#REF!</definedName>
    <definedName name="shshshsh" localSheetId="3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4">[11]Input!#REF!</definedName>
    <definedName name="SL" localSheetId="5">[11]Input!#REF!</definedName>
    <definedName name="SL" localSheetId="3">[11]Input!#REF!</definedName>
    <definedName name="SL">[11]Input!#REF!</definedName>
    <definedName name="SL_Base" localSheetId="4">#REF!</definedName>
    <definedName name="SL_Base" localSheetId="5">#REF!</definedName>
    <definedName name="SL_Base" localSheetId="3">#REF!</definedName>
    <definedName name="SL_Base">#REF!</definedName>
    <definedName name="SL_SEN" localSheetId="4">#REF!</definedName>
    <definedName name="SL_SEN" localSheetId="5">#REF!</definedName>
    <definedName name="SL_SEN" localSheetId="3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4">#REF!</definedName>
    <definedName name="SPV_DSCR" localSheetId="5">#REF!</definedName>
    <definedName name="SPV_DSCR" localSheetId="3">#REF!</definedName>
    <definedName name="SPV_DSCR">#REF!</definedName>
    <definedName name="SPV_Loan" localSheetId="5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4">#REF!</definedName>
    <definedName name="Stock" localSheetId="5">#REF!</definedName>
    <definedName name="Stock" localSheetId="3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[82]Assumptions!#REF!</definedName>
    <definedName name="STTC.STTPaid">'[6]80_'!$G$63</definedName>
    <definedName name="STTC.TaxPaySTTAvgRate">'[6]80_'!$G$62</definedName>
    <definedName name="sub_total" localSheetId="4">#REF!</definedName>
    <definedName name="sub_total" localSheetId="5">#REF!</definedName>
    <definedName name="sub_total" localSheetId="3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[83]BSPL!$A$655:$D$692</definedName>
    <definedName name="t" localSheetId="4">#REF!</definedName>
    <definedName name="t" localSheetId="5">#REF!</definedName>
    <definedName name="t" localSheetId="3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4">#REF!</definedName>
    <definedName name="Target" localSheetId="5">#REF!</definedName>
    <definedName name="Target" localSheetId="3">#REF!</definedName>
    <definedName name="Target">#REF!</definedName>
    <definedName name="Tariff">[23]Assumptions!$H$8</definedName>
    <definedName name="tariff_var_mod">[23]Assumptions!$L$37</definedName>
    <definedName name="TAX_DIFF" localSheetId="4">#REF!</definedName>
    <definedName name="TAX_DIFF" localSheetId="5">#REF!</definedName>
    <definedName name="TAX_DIFF" localSheetId="3">#REF!</definedName>
    <definedName name="TAX_DIFF">#REF!</definedName>
    <definedName name="TAX_PAS" localSheetId="4">#REF!</definedName>
    <definedName name="TAX_PAS" localSheetId="5">#REF!</definedName>
    <definedName name="TAX_PAS" localSheetId="3">#REF!</definedName>
    <definedName name="TAX_PAS">#REF!</definedName>
    <definedName name="Tax_Rate">'[84]TJC - Total'!$N$172</definedName>
    <definedName name="taxes">[85]wwww!$C$59:$C$62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4">#REF!</definedName>
    <definedName name="Taxrate12" localSheetId="5">#REF!</definedName>
    <definedName name="Taxrate12" localSheetId="3">#REF!</definedName>
    <definedName name="Taxrate12">#REF!</definedName>
    <definedName name="TCS.AmtTCSClaimedThisYear">[6]DDT_TDS_TCS!$F$1540:$F$1542</definedName>
    <definedName name="TDS">'[85]Consolidated-31-03-00'!#REF!</definedName>
    <definedName name="TDS2.ClaimOutOfTotTDSOnAmtPaid">[6]DDT_TDS_TCS!$H$21:$H$1533</definedName>
    <definedName name="TDSCR_FCSPV" localSheetId="4">#REF!</definedName>
    <definedName name="TDSCR_FCSPV" localSheetId="5">#REF!</definedName>
    <definedName name="TDSCR_FCSPV" localSheetId="3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4">#REF!</definedName>
    <definedName name="Tgt" localSheetId="5">#REF!</definedName>
    <definedName name="Tgt" localSheetId="3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4">#REF!</definedName>
    <definedName name="title" localSheetId="5">#REF!</definedName>
    <definedName name="title" localSheetId="3">#REF!</definedName>
    <definedName name="title">#REF!</definedName>
    <definedName name="Tolerance">0.0025</definedName>
    <definedName name="total_A" localSheetId="4">#REF!</definedName>
    <definedName name="total_A" localSheetId="5">#REF!</definedName>
    <definedName name="total_A" localSheetId="3">#REF!</definedName>
    <definedName name="total_A">#REF!</definedName>
    <definedName name="total_B" localSheetId="4">#REF!</definedName>
    <definedName name="total_B" localSheetId="5">#REF!</definedName>
    <definedName name="total_B" localSheetId="3">#REF!</definedName>
    <definedName name="total_B">#REF!</definedName>
    <definedName name="total_budget" localSheetId="4">#REF!</definedName>
    <definedName name="total_budget" localSheetId="5">#REF!</definedName>
    <definedName name="total_budget" localSheetId="3">#REF!</definedName>
    <definedName name="total_budget">#REF!</definedName>
    <definedName name="total_C" localSheetId="5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4">[11]Assumptions!#REF!</definedName>
    <definedName name="TPS" localSheetId="5">[11]Assumptions!#REF!</definedName>
    <definedName name="TPS" localSheetId="3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4">#REF!</definedName>
    <definedName name="Transportation_Base" localSheetId="5">#REF!</definedName>
    <definedName name="Transportation_Base" localSheetId="3">#REF!</definedName>
    <definedName name="Transportation_Base">#REF!</definedName>
    <definedName name="Transportation_SEN" localSheetId="4">#REF!</definedName>
    <definedName name="Transportation_SEN" localSheetId="5">#REF!</definedName>
    <definedName name="Transportation_SEN" localSheetId="3">#REF!</definedName>
    <definedName name="Transportation_SEN">#REF!</definedName>
    <definedName name="TRAVEL">#REF!</definedName>
    <definedName name="tripping" localSheetId="4">#REF!</definedName>
    <definedName name="tripping" localSheetId="5">#REF!</definedName>
    <definedName name="tripping" localSheetId="3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[86]Input!$D$385</definedName>
    <definedName name="uNIT1" localSheetId="4">#REF!</definedName>
    <definedName name="uNIT1" localSheetId="5">#REF!</definedName>
    <definedName name="uNIT1" localSheetId="3">#REF!</definedName>
    <definedName name="uNIT1">#REF!</definedName>
    <definedName name="uNIT2" localSheetId="4">#REF!</definedName>
    <definedName name="uNIT2" localSheetId="5">#REF!</definedName>
    <definedName name="uNIT2" localSheetId="3">#REF!</definedName>
    <definedName name="uNIT2">#REF!</definedName>
    <definedName name="uNIT3" localSheetId="4">#REF!</definedName>
    <definedName name="uNIT3" localSheetId="5">#REF!</definedName>
    <definedName name="uNIT3" localSheetId="3">#REF!</definedName>
    <definedName name="uNIT3">#REF!</definedName>
    <definedName name="units">[66]Company!$J$16</definedName>
    <definedName name="usa2data">#REF!</definedName>
    <definedName name="UScompanies">#REF!</definedName>
    <definedName name="USD" localSheetId="5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'[87]Determination of Threshold'!$B$3,'[87]Determination of Threshold'!$B$4,'[87]Determination of Threshold'!$B$15</definedName>
    <definedName name="Values_Entered">IF(Loan_Amount*Interest_Rate*Loan_Years*Loan_Start&gt;0,1,0)</definedName>
    <definedName name="ValuesBSA">[88]BS!$B$2:$O$3,[88]BS!$B$7:$O$13,[88]BS!$C$16:$O$17,[88]BS!$B$20:$O$20,[88]BS!$B$35:$O$37,[88]BS!$B$55:$O$55</definedName>
    <definedName name="ValuesBSL">#REF!,[87]BS!$C$24:$O$28,#REF!,#REF!,[87]BS!$B$42:$O$44</definedName>
    <definedName name="ValuesChecks">'[88]Checks &amp; Inputs'!$C$16:$O$17,'[88]Checks &amp; Inputs'!$B$2</definedName>
    <definedName name="ValuesIS">[87]IS!$B$2:$N$4,[87]IS!$B$7:$N$54,[87]IS!$B$60:$N$61,[87]IS!#REF!,[87]IS!$B$75:$N$75,[87]IS!#REF!,[87]IS!#REF!</definedName>
    <definedName name="VAR_1" localSheetId="4">#REF!</definedName>
    <definedName name="VAR_1" localSheetId="5">#REF!</definedName>
    <definedName name="VAR_1" localSheetId="3">#REF!</definedName>
    <definedName name="VAR_1">#REF!</definedName>
    <definedName name="VAR_10" localSheetId="4">#REF!</definedName>
    <definedName name="VAR_10" localSheetId="5">#REF!</definedName>
    <definedName name="VAR_10" localSheetId="3">#REF!</definedName>
    <definedName name="VAR_10">#REF!</definedName>
    <definedName name="VAR_11" localSheetId="4">#REF!</definedName>
    <definedName name="VAR_11" localSheetId="5">#REF!</definedName>
    <definedName name="VAR_11" localSheetId="3">#REF!</definedName>
    <definedName name="VAR_11">#REF!</definedName>
    <definedName name="VAR_12" localSheetId="5">#REF!</definedName>
    <definedName name="VAR_12">#REF!</definedName>
    <definedName name="VAR_13" localSheetId="5">#REF!</definedName>
    <definedName name="VAR_13">#REF!</definedName>
    <definedName name="VAR_14" localSheetId="5">#REF!</definedName>
    <definedName name="VAR_14">#REF!</definedName>
    <definedName name="VAR_15" localSheetId="5">#REF!</definedName>
    <definedName name="VAR_15">#REF!</definedName>
    <definedName name="VAR_16" localSheetId="5">#REF!</definedName>
    <definedName name="VAR_16">#REF!</definedName>
    <definedName name="VAR_17" localSheetId="5">#REF!</definedName>
    <definedName name="VAR_17">#REF!</definedName>
    <definedName name="VAR_18" localSheetId="5">#REF!</definedName>
    <definedName name="VAR_18">#REF!</definedName>
    <definedName name="VAR_19" localSheetId="5">#REF!</definedName>
    <definedName name="VAR_19">#REF!</definedName>
    <definedName name="VAR_2" localSheetId="5">#REF!</definedName>
    <definedName name="VAR_2">#REF!</definedName>
    <definedName name="VAR_20" localSheetId="5">#REF!</definedName>
    <definedName name="VAR_20">#REF!</definedName>
    <definedName name="VAR_21" localSheetId="5">#REF!</definedName>
    <definedName name="VAR_21">#REF!</definedName>
    <definedName name="VAR_22" localSheetId="5">#REF!</definedName>
    <definedName name="VAR_22">#REF!</definedName>
    <definedName name="VAR_23" localSheetId="5">#REF!</definedName>
    <definedName name="VAR_23">#REF!</definedName>
    <definedName name="VAR_24" localSheetId="5">#REF!</definedName>
    <definedName name="VAR_24">#REF!</definedName>
    <definedName name="VAR_25" localSheetId="5">#REF!</definedName>
    <definedName name="VAR_25">#REF!</definedName>
    <definedName name="VAR_26" localSheetId="5">#REF!</definedName>
    <definedName name="VAR_26">#REF!</definedName>
    <definedName name="VAR_27" localSheetId="5">#REF!</definedName>
    <definedName name="VAR_27">#REF!</definedName>
    <definedName name="VAR_28" localSheetId="5">#REF!</definedName>
    <definedName name="VAR_28">#REF!</definedName>
    <definedName name="VAR_29" localSheetId="5">#REF!</definedName>
    <definedName name="VAR_29">#REF!</definedName>
    <definedName name="VAR_3" localSheetId="5">#REF!</definedName>
    <definedName name="VAR_3">#REF!</definedName>
    <definedName name="VAR_30" localSheetId="5">#REF!</definedName>
    <definedName name="VAR_30">#REF!</definedName>
    <definedName name="VAR_4" localSheetId="5">#REF!</definedName>
    <definedName name="VAR_4">#REF!</definedName>
    <definedName name="VAR_5" localSheetId="5">#REF!</definedName>
    <definedName name="VAR_5">#REF!</definedName>
    <definedName name="VAR_6" localSheetId="5">#REF!</definedName>
    <definedName name="VAR_6">#REF!</definedName>
    <definedName name="VAR_7" localSheetId="5">#REF!</definedName>
    <definedName name="VAR_7">#REF!</definedName>
    <definedName name="VAR_8" localSheetId="5">#REF!</definedName>
    <definedName name="VAR_8">#REF!</definedName>
    <definedName name="VAR_9" localSheetId="5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[89]wwww!$C$59:$C$62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4">#REF!</definedName>
    <definedName name="W" localSheetId="5">#REF!</definedName>
    <definedName name="W" localSheetId="3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4">#REF!</definedName>
    <definedName name="WEEK_1A" localSheetId="5">#REF!</definedName>
    <definedName name="WEEK_1A" localSheetId="3">#REF!</definedName>
    <definedName name="WEEK_1A">#REF!</definedName>
    <definedName name="WEEK_1B" localSheetId="4">#REF!</definedName>
    <definedName name="WEEK_1B" localSheetId="5">#REF!</definedName>
    <definedName name="WEEK_1B" localSheetId="3">#REF!</definedName>
    <definedName name="WEEK_1B">#REF!</definedName>
    <definedName name="WEEK_2A" localSheetId="5">#REF!</definedName>
    <definedName name="WEEK_2A">#REF!</definedName>
    <definedName name="WEEK_2B" localSheetId="5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4">#REF!</definedName>
    <definedName name="X1_" localSheetId="5">#REF!</definedName>
    <definedName name="X1_" localSheetId="3">#REF!</definedName>
    <definedName name="X1_">#REF!</definedName>
    <definedName name="X11__?___QUIT_" localSheetId="4">#REF!</definedName>
    <definedName name="X11__?___QUIT_" localSheetId="5">#REF!</definedName>
    <definedName name="X11__?___QUIT_" localSheetId="3">#REF!</definedName>
    <definedName name="X11__?___QUIT_">#REF!</definedName>
    <definedName name="xc">[90]Company!$J$16</definedName>
    <definedName name="xcxcxcc" localSheetId="4">#REF!</definedName>
    <definedName name="xcxcxcc" localSheetId="5">#REF!</definedName>
    <definedName name="xcxcxcc" localSheetId="3">#REF!</definedName>
    <definedName name="xcxcxcc">#REF!</definedName>
    <definedName name="xcxvxv" localSheetId="4">'[39]04REL'!#REF!</definedName>
    <definedName name="xcxvxv" localSheetId="5">'[39]04REL'!#REF!</definedName>
    <definedName name="xcxvxv" localSheetId="3">'[39]04REL'!#REF!</definedName>
    <definedName name="xcxvxv">'[39]04REL'!#REF!</definedName>
    <definedName name="xczczczc" localSheetId="4">#REF!</definedName>
    <definedName name="xczczczc" localSheetId="5">#REF!</definedName>
    <definedName name="xczczczc" localSheetId="3">#REF!</definedName>
    <definedName name="xczczczc">#REF!</definedName>
    <definedName name="xczxzxz" localSheetId="4">#REF!,#REF!</definedName>
    <definedName name="xczxzxz" localSheetId="5">#REF!,#REF!</definedName>
    <definedName name="xczxzxz" localSheetId="3">#REF!,#REF!</definedName>
    <definedName name="xczxzxz">#REF!,#REF!</definedName>
    <definedName name="xfzdsfzsf" localSheetId="4">#REF!</definedName>
    <definedName name="xfzdsfzsf" localSheetId="5">#REF!</definedName>
    <definedName name="xfzdsfzsf" localSheetId="3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'[90]cost of sales'!#REF!</definedName>
    <definedName name="XRefCopy21" hidden="1">'[90]cost of sales'!#REF!</definedName>
    <definedName name="XRefCopy22" hidden="1">'[90]cost of sales'!#REF!</definedName>
    <definedName name="XRefCopy23" hidden="1">'[90]cost of sales'!#REF!</definedName>
    <definedName name="XRefCopy24" hidden="1">'[90]cost of sales'!#REF!</definedName>
    <definedName name="XRefCopy24Row" hidden="1">[91]XREF!#REF!</definedName>
    <definedName name="XRefCopy25" hidden="1">'[90]cost of sales'!#REF!</definedName>
    <definedName name="XRefCopy26" hidden="1">'[90]cost of sales'!#REF!</definedName>
    <definedName name="XRefCopy2Row" hidden="1">[92]XREF!#REF!</definedName>
    <definedName name="XRefCopy3" hidden="1">#REF!</definedName>
    <definedName name="XRefCopy3Row" hidden="1">[92]XREF!#REF!</definedName>
    <definedName name="XRefCopy4" hidden="1">#REF!</definedName>
    <definedName name="XRefCopy4Row" hidden="1">#REF!</definedName>
    <definedName name="XRefCopy5" hidden="1">#REF!</definedName>
    <definedName name="XRefCopy59" hidden="1">'[90]cost of sales'!#REF!</definedName>
    <definedName name="XRefCopy5Row" hidden="1">#REF!</definedName>
    <definedName name="XRefCopy6" hidden="1">#REF!</definedName>
    <definedName name="XRefCopy62" hidden="1">'[90]cost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[92]XREF!#REF!</definedName>
    <definedName name="XRefPaste2" hidden="1">#REF!</definedName>
    <definedName name="XRefPaste2Row" hidden="1">[92]XREF!#REF!</definedName>
    <definedName name="XRefPaste3" hidden="1">#REF!</definedName>
    <definedName name="XRefPaste31Row" hidden="1">#REF!</definedName>
    <definedName name="XRefPaste3Row" hidden="1">[92]XREF!#REF!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4" hidden="1">[93]CE!#REF!</definedName>
    <definedName name="xxxx" localSheetId="5" hidden="1">[93]CE!#REF!</definedName>
    <definedName name="xxxx" localSheetId="3" hidden="1">[93]CE!#REF!</definedName>
    <definedName name="xxxx" hidden="1">[93]CE!#REF!</definedName>
    <definedName name="xzxzxcxc" localSheetId="4">#REF!</definedName>
    <definedName name="xzxzxcxc" localSheetId="5">#REF!</definedName>
    <definedName name="xzxzxcxc" localSheetId="3">#REF!</definedName>
    <definedName name="xzxzxcxc">#REF!</definedName>
    <definedName name="year" localSheetId="4">#REF!</definedName>
    <definedName name="year" localSheetId="5">#REF!</definedName>
    <definedName name="year" localSheetId="3">#REF!</definedName>
    <definedName name="year">#REF!</definedName>
    <definedName name="Year1" localSheetId="4">#REF!</definedName>
    <definedName name="Year1" localSheetId="5">#REF!</definedName>
    <definedName name="Year1" localSheetId="3">#REF!</definedName>
    <definedName name="Year1">#REF!</definedName>
    <definedName name="year2011" localSheetId="5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4">#REF!</definedName>
    <definedName name="ygshjshua" localSheetId="5">#REF!</definedName>
    <definedName name="ygshjshua" localSheetId="3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4">#REF!</definedName>
    <definedName name="zbhh" localSheetId="5">#REF!</definedName>
    <definedName name="zbhh">#REF!</definedName>
    <definedName name="zzxxx" localSheetId="4">#REF!,#REF!</definedName>
    <definedName name="zzxxx" localSheetId="5">#REF!,#REF!</definedName>
    <definedName name="zzxxx" localSheetId="3">#REF!,#REF!</definedName>
    <definedName name="zzxxx">#REF!,#REF!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8" l="1"/>
  <c r="B50" i="8" s="1"/>
  <c r="D45" i="8"/>
  <c r="S28" i="1"/>
  <c r="F14" i="10" l="1"/>
  <c r="F11" i="10"/>
  <c r="F8" i="10"/>
  <c r="E6" i="10"/>
  <c r="E7" i="10" s="1"/>
  <c r="D6" i="10"/>
  <c r="D9" i="10" s="1"/>
  <c r="C6" i="10"/>
  <c r="C7" i="10" s="1"/>
  <c r="F5" i="10"/>
  <c r="F4" i="10"/>
  <c r="E9" i="10" l="1"/>
  <c r="E10" i="10" s="1"/>
  <c r="F6" i="10"/>
  <c r="F9" i="10" s="1"/>
  <c r="D7" i="10"/>
  <c r="D10" i="10"/>
  <c r="D12" i="10"/>
  <c r="D15" i="10" s="1"/>
  <c r="C9" i="10"/>
  <c r="E12" i="10"/>
  <c r="E15" i="10" s="1"/>
  <c r="F7" i="10" l="1"/>
  <c r="F12" i="10"/>
  <c r="F15" i="10" s="1"/>
  <c r="F10" i="10"/>
  <c r="D16" i="10"/>
  <c r="D13" i="10"/>
  <c r="E16" i="10"/>
  <c r="E13" i="10"/>
  <c r="C12" i="10"/>
  <c r="C15" i="10" s="1"/>
  <c r="C10" i="10"/>
  <c r="C13" i="10" l="1"/>
  <c r="C16" i="10"/>
  <c r="F13" i="10"/>
  <c r="F16" i="10"/>
  <c r="C32" i="5" l="1"/>
  <c r="B32" i="8" s="1"/>
  <c r="I11" i="8" l="1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H11" i="8"/>
  <c r="C56" i="1"/>
  <c r="M25" i="7" s="1"/>
  <c r="G16" i="8"/>
  <c r="G11" i="8"/>
  <c r="L86" i="7"/>
  <c r="L76" i="7"/>
  <c r="X32" i="7" l="1"/>
  <c r="Y32" i="7"/>
  <c r="Z32" i="7"/>
  <c r="AA32" i="7"/>
  <c r="AB32" i="7"/>
  <c r="AC32" i="7"/>
  <c r="AD32" i="7"/>
  <c r="AE32" i="7"/>
  <c r="M2" i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D70" i="3" l="1"/>
  <c r="B66" i="3"/>
  <c r="D67" i="3"/>
  <c r="E55" i="3"/>
  <c r="D71" i="3"/>
  <c r="C65" i="1"/>
  <c r="C30" i="5" l="1"/>
  <c r="E35" i="1"/>
  <c r="C10" i="5" s="1"/>
  <c r="C12" i="5" l="1"/>
  <c r="B42" i="8"/>
  <c r="E20" i="6"/>
  <c r="E21" i="6"/>
  <c r="E19" i="6"/>
  <c r="E4" i="6"/>
  <c r="C19" i="6"/>
  <c r="C21" i="6" s="1"/>
  <c r="D26" i="6" l="1"/>
  <c r="H26" i="6"/>
  <c r="E26" i="6"/>
  <c r="F26" i="6"/>
  <c r="B26" i="6"/>
  <c r="C26" i="6"/>
  <c r="G26" i="6"/>
  <c r="B25" i="6"/>
  <c r="B28" i="6" l="1"/>
  <c r="C25" i="6" s="1"/>
  <c r="I3" i="5"/>
  <c r="K3" i="5" s="1"/>
  <c r="C60" i="1"/>
  <c r="B44" i="1"/>
  <c r="B45" i="1" s="1"/>
  <c r="M43" i="1"/>
  <c r="L43" i="1"/>
  <c r="J43" i="1"/>
  <c r="K43" i="1"/>
  <c r="C43" i="1"/>
  <c r="C28" i="6" l="1"/>
  <c r="D25" i="6" s="1"/>
  <c r="Z73" i="3"/>
  <c r="Z18" i="8" s="1"/>
  <c r="H53" i="7"/>
  <c r="G53" i="7"/>
  <c r="F53" i="7"/>
  <c r="N25" i="7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I6" i="7"/>
  <c r="H6" i="7"/>
  <c r="G6" i="7"/>
  <c r="F6" i="7"/>
  <c r="AE6" i="7"/>
  <c r="AD6" i="7"/>
  <c r="AC6" i="7"/>
  <c r="Y73" i="3"/>
  <c r="Y18" i="8" s="1"/>
  <c r="X73" i="3"/>
  <c r="X18" i="8" s="1"/>
  <c r="W73" i="3"/>
  <c r="W18" i="8" s="1"/>
  <c r="D4" i="6"/>
  <c r="C4" i="6"/>
  <c r="J28" i="1"/>
  <c r="C53" i="1"/>
  <c r="M24" i="7" s="1"/>
  <c r="C36" i="1"/>
  <c r="AE28" i="1"/>
  <c r="AE13" i="7" s="1"/>
  <c r="U28" i="1"/>
  <c r="T28" i="1"/>
  <c r="F4" i="1"/>
  <c r="B33" i="8" l="1"/>
  <c r="C37" i="1"/>
  <c r="D19" i="6" s="1"/>
  <c r="D21" i="6" s="1"/>
  <c r="F3" i="1"/>
  <c r="F3" i="7" s="1"/>
  <c r="N24" i="7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D28" i="6"/>
  <c r="E25" i="6" s="1"/>
  <c r="I91" i="7"/>
  <c r="F4" i="7"/>
  <c r="L25" i="1"/>
  <c r="M25" i="1" s="1"/>
  <c r="B27" i="6" l="1"/>
  <c r="B30" i="6" s="1"/>
  <c r="C27" i="6"/>
  <c r="C30" i="6" s="1"/>
  <c r="D27" i="6"/>
  <c r="D30" i="6" s="1"/>
  <c r="E28" i="6"/>
  <c r="F25" i="6" s="1"/>
  <c r="E27" i="6"/>
  <c r="E30" i="6" s="1"/>
  <c r="F27" i="6" l="1"/>
  <c r="F30" i="6" s="1"/>
  <c r="F28" i="6"/>
  <c r="G25" i="6" s="1"/>
  <c r="G27" i="6" l="1"/>
  <c r="G30" i="6" s="1"/>
  <c r="G28" i="6"/>
  <c r="H25" i="6" s="1"/>
  <c r="H28" i="6" l="1"/>
  <c r="H27" i="6"/>
  <c r="H30" i="6" s="1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C61" i="1"/>
  <c r="F55" i="3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AD28" i="1"/>
  <c r="AD13" i="7" s="1"/>
  <c r="AC28" i="1"/>
  <c r="AC13" i="7" s="1"/>
  <c r="X55" i="3" l="1"/>
  <c r="W61" i="3"/>
  <c r="AB28" i="1"/>
  <c r="AB13" i="7" s="1"/>
  <c r="AA28" i="1"/>
  <c r="AA13" i="7" s="1"/>
  <c r="Z28" i="1"/>
  <c r="Z13" i="7" s="1"/>
  <c r="Y28" i="1"/>
  <c r="Y13" i="7" s="1"/>
  <c r="X28" i="1"/>
  <c r="X13" i="7" s="1"/>
  <c r="W28" i="1"/>
  <c r="W13" i="7" s="1"/>
  <c r="V28" i="1"/>
  <c r="V13" i="7" s="1"/>
  <c r="U13" i="7"/>
  <c r="T13" i="7"/>
  <c r="S13" i="7"/>
  <c r="R28" i="1"/>
  <c r="R13" i="7" s="1"/>
  <c r="Q28" i="1"/>
  <c r="Q13" i="7" s="1"/>
  <c r="P28" i="1"/>
  <c r="P13" i="7" s="1"/>
  <c r="O28" i="1"/>
  <c r="O13" i="7" s="1"/>
  <c r="N28" i="1"/>
  <c r="N13" i="7" s="1"/>
  <c r="M28" i="1"/>
  <c r="M13" i="7" s="1"/>
  <c r="L28" i="1"/>
  <c r="K28" i="1"/>
  <c r="Y55" i="3" l="1"/>
  <c r="X61" i="3"/>
  <c r="F1" i="1"/>
  <c r="Z55" i="3" l="1"/>
  <c r="Y61" i="3"/>
  <c r="G1" i="1"/>
  <c r="G1" i="7" s="1"/>
  <c r="F1" i="7"/>
  <c r="AC26" i="7"/>
  <c r="AC85" i="7"/>
  <c r="Z59" i="3" l="1"/>
  <c r="Z60" i="3" s="1"/>
  <c r="Z61" i="3" s="1"/>
  <c r="AD26" i="7"/>
  <c r="AD85" i="7"/>
  <c r="D42" i="8"/>
  <c r="A42" i="8"/>
  <c r="A41" i="8"/>
  <c r="I53" i="7"/>
  <c r="H66" i="7"/>
  <c r="H65" i="7"/>
  <c r="H64" i="7"/>
  <c r="G54" i="7"/>
  <c r="F54" i="7"/>
  <c r="E54" i="7"/>
  <c r="D54" i="7"/>
  <c r="C22" i="5"/>
  <c r="D51" i="7"/>
  <c r="D52" i="7" s="1"/>
  <c r="I45" i="7"/>
  <c r="A10" i="7"/>
  <c r="A4" i="7"/>
  <c r="A3" i="7"/>
  <c r="A2" i="7"/>
  <c r="A1" i="7"/>
  <c r="B43" i="8" l="1"/>
  <c r="C42" i="8" s="1"/>
  <c r="D55" i="7"/>
  <c r="E51" i="7" s="1"/>
  <c r="E52" i="7" s="1"/>
  <c r="M85" i="7" l="1"/>
  <c r="C41" i="8"/>
  <c r="E55" i="7"/>
  <c r="F51" i="7" s="1"/>
  <c r="F52" i="7" s="1"/>
  <c r="N85" i="7" l="1"/>
  <c r="F55" i="7"/>
  <c r="G51" i="7" s="1"/>
  <c r="G52" i="7" s="1"/>
  <c r="O85" i="7" l="1"/>
  <c r="G55" i="7"/>
  <c r="H51" i="7" s="1"/>
  <c r="H52" i="7" s="1"/>
  <c r="P85" i="7" l="1"/>
  <c r="Q85" i="7" l="1"/>
  <c r="R85" i="7" l="1"/>
  <c r="S85" i="7" l="1"/>
  <c r="T85" i="7" l="1"/>
  <c r="U85" i="7" l="1"/>
  <c r="V85" i="7" l="1"/>
  <c r="W85" i="7" l="1"/>
  <c r="X85" i="7" l="1"/>
  <c r="Y85" i="7" l="1"/>
  <c r="Z85" i="7" l="1"/>
  <c r="AA85" i="7" l="1"/>
  <c r="AB85" i="7" l="1"/>
  <c r="C47" i="1" l="1"/>
  <c r="C9" i="1"/>
  <c r="C11" i="1"/>
  <c r="C13" i="1" s="1"/>
  <c r="C14" i="1" s="1"/>
  <c r="C10" i="1" l="1"/>
  <c r="C15" i="1" s="1"/>
  <c r="F6" i="6"/>
  <c r="E5" i="6"/>
  <c r="D5" i="6"/>
  <c r="G4" i="1" l="1"/>
  <c r="G4" i="7" l="1"/>
  <c r="G3" i="1"/>
  <c r="G3" i="7" s="1"/>
  <c r="B6" i="6" l="1"/>
  <c r="C6" i="6"/>
  <c r="D6" i="6" s="1"/>
  <c r="B11" i="6" l="1"/>
  <c r="B10" i="6"/>
  <c r="H11" i="6"/>
  <c r="E11" i="6"/>
  <c r="D11" i="6"/>
  <c r="G11" i="6"/>
  <c r="C11" i="6"/>
  <c r="F11" i="6"/>
  <c r="C21" i="5"/>
  <c r="J6" i="5"/>
  <c r="D6" i="5"/>
  <c r="B13" i="6" l="1"/>
  <c r="C10" i="6" s="1"/>
  <c r="B12" i="6"/>
  <c r="B15" i="6" s="1"/>
  <c r="C13" i="6" l="1"/>
  <c r="E64" i="3"/>
  <c r="E67" i="3" l="1"/>
  <c r="E69" i="3" s="1"/>
  <c r="E70" i="3" s="1"/>
  <c r="F64" i="3"/>
  <c r="G64" i="3" s="1"/>
  <c r="D10" i="6"/>
  <c r="C12" i="6"/>
  <c r="H67" i="3" l="1"/>
  <c r="H69" i="3" s="1"/>
  <c r="G70" i="3"/>
  <c r="C15" i="6"/>
  <c r="M32" i="7" s="1"/>
  <c r="H64" i="3"/>
  <c r="D13" i="6"/>
  <c r="D12" i="6"/>
  <c r="D15" i="6" s="1"/>
  <c r="N32" i="7" s="1"/>
  <c r="I64" i="3" l="1"/>
  <c r="H70" i="3"/>
  <c r="I67" i="3"/>
  <c r="I69" i="3" s="1"/>
  <c r="E10" i="6"/>
  <c r="J64" i="3" l="1"/>
  <c r="J67" i="3"/>
  <c r="J69" i="3" s="1"/>
  <c r="I70" i="3"/>
  <c r="E13" i="6"/>
  <c r="E12" i="6"/>
  <c r="E15" i="6" s="1"/>
  <c r="O32" i="7" s="1"/>
  <c r="K64" i="3" l="1"/>
  <c r="K67" i="3"/>
  <c r="K69" i="3" s="1"/>
  <c r="J70" i="3"/>
  <c r="M15" i="6"/>
  <c r="W32" i="7" s="1"/>
  <c r="F10" i="6"/>
  <c r="L64" i="3" l="1"/>
  <c r="K70" i="3"/>
  <c r="L67" i="3"/>
  <c r="L69" i="3" s="1"/>
  <c r="F13" i="6"/>
  <c r="F12" i="6"/>
  <c r="F15" i="6" s="1"/>
  <c r="P32" i="7" s="1"/>
  <c r="M64" i="3" l="1"/>
  <c r="L70" i="3"/>
  <c r="M67" i="3"/>
  <c r="M69" i="3" s="1"/>
  <c r="G10" i="6"/>
  <c r="N64" i="3" l="1"/>
  <c r="N67" i="3"/>
  <c r="N69" i="3" s="1"/>
  <c r="M70" i="3"/>
  <c r="G12" i="6"/>
  <c r="G15" i="6" s="1"/>
  <c r="Q32" i="7" s="1"/>
  <c r="G13" i="6"/>
  <c r="I43" i="1"/>
  <c r="H43" i="1"/>
  <c r="G43" i="1"/>
  <c r="F43" i="1"/>
  <c r="E43" i="1"/>
  <c r="D43" i="1"/>
  <c r="C62" i="1"/>
  <c r="AE21" i="7" s="1"/>
  <c r="E61" i="3"/>
  <c r="A50" i="3"/>
  <c r="H1" i="1"/>
  <c r="H1" i="7" s="1"/>
  <c r="D61" i="3"/>
  <c r="I38" i="3"/>
  <c r="I42" i="3" s="1"/>
  <c r="I37" i="3"/>
  <c r="I41" i="3" s="1"/>
  <c r="I36" i="3"/>
  <c r="I40" i="3" s="1"/>
  <c r="I33" i="3"/>
  <c r="I45" i="3" s="1"/>
  <c r="I32" i="3"/>
  <c r="I44" i="3" s="1"/>
  <c r="I29" i="3"/>
  <c r="O28" i="3"/>
  <c r="O27" i="3"/>
  <c r="O25" i="3"/>
  <c r="O24" i="3"/>
  <c r="N23" i="3"/>
  <c r="N26" i="3" s="1"/>
  <c r="N29" i="3" s="1"/>
  <c r="M23" i="3"/>
  <c r="M26" i="3" s="1"/>
  <c r="M29" i="3" s="1"/>
  <c r="L23" i="3"/>
  <c r="L26" i="3" s="1"/>
  <c r="L29" i="3" s="1"/>
  <c r="K23" i="3"/>
  <c r="K26" i="3" s="1"/>
  <c r="K29" i="3" s="1"/>
  <c r="J23" i="3"/>
  <c r="J26" i="3" s="1"/>
  <c r="J29" i="3" s="1"/>
  <c r="H23" i="3"/>
  <c r="H26" i="3" s="1"/>
  <c r="H29" i="3" s="1"/>
  <c r="G23" i="3"/>
  <c r="G26" i="3" s="1"/>
  <c r="G29" i="3" s="1"/>
  <c r="F23" i="3"/>
  <c r="F26" i="3" s="1"/>
  <c r="O22" i="3"/>
  <c r="O21" i="3"/>
  <c r="O20" i="3"/>
  <c r="I17" i="3"/>
  <c r="I34" i="3" s="1"/>
  <c r="I46" i="3" s="1"/>
  <c r="O16" i="3"/>
  <c r="O14" i="3"/>
  <c r="O12" i="3"/>
  <c r="O10" i="3"/>
  <c r="N9" i="3"/>
  <c r="N36" i="3" s="1"/>
  <c r="N40" i="3" s="1"/>
  <c r="M9" i="3"/>
  <c r="M36" i="3" s="1"/>
  <c r="M40" i="3" s="1"/>
  <c r="L9" i="3"/>
  <c r="L37" i="3" s="1"/>
  <c r="L41" i="3" s="1"/>
  <c r="K9" i="3"/>
  <c r="K36" i="3" s="1"/>
  <c r="K40" i="3" s="1"/>
  <c r="J9" i="3"/>
  <c r="J36" i="3" s="1"/>
  <c r="J40" i="3" s="1"/>
  <c r="H9" i="3"/>
  <c r="H37" i="3" s="1"/>
  <c r="H41" i="3" s="1"/>
  <c r="G9" i="3"/>
  <c r="G36" i="3" s="1"/>
  <c r="G40" i="3" s="1"/>
  <c r="F9" i="3"/>
  <c r="F13" i="3" s="1"/>
  <c r="D9" i="3"/>
  <c r="D13" i="3" s="1"/>
  <c r="O8" i="3"/>
  <c r="O7" i="3"/>
  <c r="O6" i="3"/>
  <c r="O5" i="3"/>
  <c r="O64" i="3" l="1"/>
  <c r="O67" i="3"/>
  <c r="O69" i="3" s="1"/>
  <c r="N70" i="3"/>
  <c r="I1" i="1"/>
  <c r="H54" i="7"/>
  <c r="H55" i="7" s="1"/>
  <c r="I51" i="7" s="1"/>
  <c r="I52" i="7" s="1"/>
  <c r="I46" i="7" s="1"/>
  <c r="I47" i="7" s="1"/>
  <c r="H10" i="6"/>
  <c r="F74" i="3"/>
  <c r="U74" i="3"/>
  <c r="M74" i="3"/>
  <c r="P74" i="3"/>
  <c r="G74" i="3"/>
  <c r="G73" i="3"/>
  <c r="G18" i="8" s="1"/>
  <c r="E73" i="3"/>
  <c r="E18" i="8" s="1"/>
  <c r="V73" i="3"/>
  <c r="V18" i="8" s="1"/>
  <c r="F73" i="3"/>
  <c r="F18" i="8" s="1"/>
  <c r="U73" i="3"/>
  <c r="U18" i="8" s="1"/>
  <c r="M73" i="3"/>
  <c r="M18" i="8" s="1"/>
  <c r="P73" i="3"/>
  <c r="P18" i="8" s="1"/>
  <c r="L73" i="3"/>
  <c r="L18" i="8" s="1"/>
  <c r="I73" i="3"/>
  <c r="I18" i="8" s="1"/>
  <c r="F67" i="3"/>
  <c r="F69" i="3" s="1"/>
  <c r="O9" i="3"/>
  <c r="O37" i="3" s="1"/>
  <c r="O41" i="3" s="1"/>
  <c r="F61" i="3"/>
  <c r="G61" i="3"/>
  <c r="D38" i="3"/>
  <c r="D42" i="3" s="1"/>
  <c r="D33" i="3"/>
  <c r="D17" i="3"/>
  <c r="F17" i="3"/>
  <c r="F38" i="3"/>
  <c r="F42" i="3" s="1"/>
  <c r="F33" i="3"/>
  <c r="F45" i="3" s="1"/>
  <c r="O26" i="3"/>
  <c r="F29" i="3"/>
  <c r="O29" i="3" s="1"/>
  <c r="G13" i="3"/>
  <c r="L13" i="3"/>
  <c r="O23" i="3"/>
  <c r="D32" i="3"/>
  <c r="M32" i="3"/>
  <c r="M44" i="3" s="1"/>
  <c r="H36" i="3"/>
  <c r="H40" i="3" s="1"/>
  <c r="L36" i="3"/>
  <c r="L40" i="3" s="1"/>
  <c r="D37" i="3"/>
  <c r="D41" i="3" s="1"/>
  <c r="M37" i="3"/>
  <c r="M41" i="3" s="1"/>
  <c r="H13" i="3"/>
  <c r="M13" i="3"/>
  <c r="F32" i="3"/>
  <c r="F44" i="3" s="1"/>
  <c r="J32" i="3"/>
  <c r="J44" i="3" s="1"/>
  <c r="N32" i="3"/>
  <c r="N44" i="3" s="1"/>
  <c r="D36" i="3"/>
  <c r="D40" i="3" s="1"/>
  <c r="F37" i="3"/>
  <c r="F41" i="3" s="1"/>
  <c r="J37" i="3"/>
  <c r="J41" i="3" s="1"/>
  <c r="N37" i="3"/>
  <c r="N41" i="3" s="1"/>
  <c r="J13" i="3"/>
  <c r="N13" i="3"/>
  <c r="G32" i="3"/>
  <c r="G44" i="3" s="1"/>
  <c r="K32" i="3"/>
  <c r="K44" i="3" s="1"/>
  <c r="F36" i="3"/>
  <c r="F40" i="3" s="1"/>
  <c r="G37" i="3"/>
  <c r="G41" i="3" s="1"/>
  <c r="K37" i="3"/>
  <c r="K41" i="3" s="1"/>
  <c r="K13" i="3"/>
  <c r="H32" i="3"/>
  <c r="H44" i="3" s="1"/>
  <c r="L32" i="3"/>
  <c r="L44" i="3" s="1"/>
  <c r="D75" i="3"/>
  <c r="D74" i="3"/>
  <c r="D73" i="3"/>
  <c r="P64" i="3" l="1"/>
  <c r="O70" i="3"/>
  <c r="P67" i="3"/>
  <c r="P69" i="3" s="1"/>
  <c r="I1" i="7"/>
  <c r="I54" i="7" s="1"/>
  <c r="I55" i="7" s="1"/>
  <c r="J51" i="7" s="1"/>
  <c r="D50" i="3"/>
  <c r="E74" i="3"/>
  <c r="J1" i="1"/>
  <c r="K1" i="1" s="1"/>
  <c r="F70" i="3"/>
  <c r="F71" i="3" s="1"/>
  <c r="I68" i="7"/>
  <c r="I48" i="7"/>
  <c r="H12" i="6"/>
  <c r="H15" i="6" s="1"/>
  <c r="R32" i="7" s="1"/>
  <c r="L2" i="7"/>
  <c r="E75" i="3"/>
  <c r="G75" i="3"/>
  <c r="F75" i="3"/>
  <c r="E71" i="3"/>
  <c r="O13" i="3"/>
  <c r="O38" i="3" s="1"/>
  <c r="O42" i="3" s="1"/>
  <c r="O36" i="3"/>
  <c r="O40" i="3" s="1"/>
  <c r="H73" i="3"/>
  <c r="H18" i="8" s="1"/>
  <c r="J17" i="3"/>
  <c r="J34" i="3" s="1"/>
  <c r="J46" i="3" s="1"/>
  <c r="J38" i="3"/>
  <c r="J42" i="3" s="1"/>
  <c r="J33" i="3"/>
  <c r="J45" i="3" s="1"/>
  <c r="H61" i="3"/>
  <c r="K38" i="3"/>
  <c r="K42" i="3" s="1"/>
  <c r="K33" i="3"/>
  <c r="K45" i="3" s="1"/>
  <c r="K17" i="3"/>
  <c r="K34" i="3" s="1"/>
  <c r="K46" i="3" s="1"/>
  <c r="M38" i="3"/>
  <c r="M42" i="3" s="1"/>
  <c r="M33" i="3"/>
  <c r="M45" i="3" s="1"/>
  <c r="M17" i="3"/>
  <c r="M34" i="3" s="1"/>
  <c r="M46" i="3" s="1"/>
  <c r="H75" i="3"/>
  <c r="M29" i="7" s="1"/>
  <c r="L38" i="3"/>
  <c r="L42" i="3" s="1"/>
  <c r="L33" i="3"/>
  <c r="L45" i="3" s="1"/>
  <c r="L17" i="3"/>
  <c r="L34" i="3" s="1"/>
  <c r="L46" i="3" s="1"/>
  <c r="F34" i="3"/>
  <c r="F46" i="3" s="1"/>
  <c r="H38" i="3"/>
  <c r="H42" i="3" s="1"/>
  <c r="H33" i="3"/>
  <c r="H45" i="3" s="1"/>
  <c r="H17" i="3"/>
  <c r="H34" i="3" s="1"/>
  <c r="H46" i="3" s="1"/>
  <c r="G38" i="3"/>
  <c r="G42" i="3" s="1"/>
  <c r="G33" i="3"/>
  <c r="G45" i="3" s="1"/>
  <c r="G17" i="3"/>
  <c r="G34" i="3" s="1"/>
  <c r="G46" i="3" s="1"/>
  <c r="D34" i="3"/>
  <c r="G71" i="3"/>
  <c r="N38" i="3"/>
  <c r="N42" i="3" s="1"/>
  <c r="N17" i="3"/>
  <c r="N34" i="3" s="1"/>
  <c r="N46" i="3" s="1"/>
  <c r="N33" i="3"/>
  <c r="N45" i="3" s="1"/>
  <c r="D44" i="3"/>
  <c r="O32" i="3"/>
  <c r="O44" i="3" s="1"/>
  <c r="D45" i="3"/>
  <c r="Q64" i="3" l="1"/>
  <c r="P70" i="3"/>
  <c r="Q67" i="3"/>
  <c r="Q69" i="3" s="1"/>
  <c r="F50" i="3"/>
  <c r="F2" i="8"/>
  <c r="K1" i="7"/>
  <c r="K54" i="7" s="1"/>
  <c r="E50" i="3"/>
  <c r="E2" i="8"/>
  <c r="J1" i="7"/>
  <c r="J54" i="7" s="1"/>
  <c r="E14" i="8"/>
  <c r="G14" i="8"/>
  <c r="F14" i="8"/>
  <c r="H14" i="8"/>
  <c r="L1" i="1"/>
  <c r="M2" i="7"/>
  <c r="H71" i="3"/>
  <c r="O17" i="3"/>
  <c r="I61" i="3"/>
  <c r="D46" i="3"/>
  <c r="O34" i="3"/>
  <c r="O33" i="3"/>
  <c r="O45" i="3" s="1"/>
  <c r="R64" i="3" l="1"/>
  <c r="R67" i="3"/>
  <c r="R69" i="3" s="1"/>
  <c r="Q70" i="3"/>
  <c r="G50" i="3"/>
  <c r="G2" i="8"/>
  <c r="L1" i="7"/>
  <c r="I13" i="6"/>
  <c r="I12" i="6"/>
  <c r="I15" i="6" s="1"/>
  <c r="S32" i="7" s="1"/>
  <c r="M1" i="1"/>
  <c r="N2" i="7"/>
  <c r="I75" i="3"/>
  <c r="N29" i="7" s="1"/>
  <c r="H74" i="3"/>
  <c r="O46" i="3"/>
  <c r="J71" i="3"/>
  <c r="J61" i="3"/>
  <c r="I71" i="3"/>
  <c r="S64" i="3" l="1"/>
  <c r="S67" i="3"/>
  <c r="S69" i="3" s="1"/>
  <c r="R70" i="3"/>
  <c r="M1" i="7"/>
  <c r="H50" i="3"/>
  <c r="H2" i="8"/>
  <c r="J10" i="6"/>
  <c r="I14" i="8"/>
  <c r="N1" i="1"/>
  <c r="O2" i="7"/>
  <c r="I74" i="3"/>
  <c r="K71" i="3"/>
  <c r="K61" i="3"/>
  <c r="T64" i="3" l="1"/>
  <c r="S70" i="3"/>
  <c r="T67" i="3"/>
  <c r="T69" i="3" s="1"/>
  <c r="I50" i="3"/>
  <c r="I2" i="8"/>
  <c r="N1" i="7"/>
  <c r="J73" i="3"/>
  <c r="J18" i="8" s="1"/>
  <c r="J12" i="6"/>
  <c r="J15" i="6" s="1"/>
  <c r="T32" i="7" s="1"/>
  <c r="J13" i="6"/>
  <c r="P2" i="7"/>
  <c r="O1" i="1"/>
  <c r="K73" i="3"/>
  <c r="K18" i="8" s="1"/>
  <c r="L61" i="3"/>
  <c r="L71" i="3"/>
  <c r="U64" i="3" l="1"/>
  <c r="T70" i="3"/>
  <c r="U67" i="3"/>
  <c r="U69" i="3" s="1"/>
  <c r="J50" i="3"/>
  <c r="J2" i="8"/>
  <c r="O1" i="7"/>
  <c r="K10" i="6"/>
  <c r="P1" i="1"/>
  <c r="Q2" i="7"/>
  <c r="M71" i="3"/>
  <c r="M61" i="3"/>
  <c r="K74" i="3"/>
  <c r="V64" i="3" l="1"/>
  <c r="V67" i="3"/>
  <c r="V69" i="3" s="1"/>
  <c r="U70" i="3"/>
  <c r="K50" i="3"/>
  <c r="K2" i="8"/>
  <c r="P1" i="7"/>
  <c r="J75" i="3"/>
  <c r="O29" i="7" s="1"/>
  <c r="K13" i="6"/>
  <c r="K12" i="6"/>
  <c r="K15" i="6" s="1"/>
  <c r="U32" i="7" s="1"/>
  <c r="R2" i="7"/>
  <c r="Q1" i="1"/>
  <c r="L74" i="3"/>
  <c r="K75" i="3"/>
  <c r="P29" i="7" s="1"/>
  <c r="N71" i="3"/>
  <c r="N61" i="3"/>
  <c r="W64" i="3" l="1"/>
  <c r="W67" i="3"/>
  <c r="W75" i="3" s="1"/>
  <c r="V70" i="3"/>
  <c r="Q1" i="7"/>
  <c r="L2" i="8"/>
  <c r="L50" i="3"/>
  <c r="J74" i="3"/>
  <c r="J14" i="8"/>
  <c r="L10" i="6"/>
  <c r="K14" i="8"/>
  <c r="R1" i="1"/>
  <c r="S2" i="7"/>
  <c r="L75" i="3"/>
  <c r="Q29" i="7" s="1"/>
  <c r="O61" i="3"/>
  <c r="O71" i="3"/>
  <c r="AB29" i="7" l="1"/>
  <c r="W14" i="8"/>
  <c r="X64" i="3"/>
  <c r="X66" i="3" s="1"/>
  <c r="Y64" i="3" s="1"/>
  <c r="Y66" i="3" s="1"/>
  <c r="Z64" i="3" s="1"/>
  <c r="Z66" i="3" s="1"/>
  <c r="X67" i="3"/>
  <c r="X75" i="3" s="1"/>
  <c r="W69" i="3"/>
  <c r="W70" i="3" s="1"/>
  <c r="M50" i="3"/>
  <c r="M2" i="8"/>
  <c r="R1" i="7"/>
  <c r="L12" i="6"/>
  <c r="L13" i="6"/>
  <c r="L14" i="8"/>
  <c r="T2" i="7"/>
  <c r="S1" i="1"/>
  <c r="M75" i="3"/>
  <c r="R29" i="7" s="1"/>
  <c r="P71" i="3"/>
  <c r="P61" i="3"/>
  <c r="AC29" i="7" l="1"/>
  <c r="X14" i="8"/>
  <c r="N50" i="3"/>
  <c r="N2" i="8"/>
  <c r="S1" i="7"/>
  <c r="L15" i="6"/>
  <c r="V32" i="7" s="1"/>
  <c r="N73" i="3"/>
  <c r="N18" i="8" s="1"/>
  <c r="M14" i="8"/>
  <c r="T1" i="1"/>
  <c r="U2" i="7"/>
  <c r="N75" i="3"/>
  <c r="S29" i="7" s="1"/>
  <c r="N74" i="3"/>
  <c r="Q71" i="3"/>
  <c r="Q61" i="3"/>
  <c r="O50" i="3" l="1"/>
  <c r="O2" i="8"/>
  <c r="T1" i="7"/>
  <c r="O74" i="3"/>
  <c r="O73" i="3"/>
  <c r="O18" i="8" s="1"/>
  <c r="N14" i="8"/>
  <c r="V2" i="7"/>
  <c r="U1" i="1"/>
  <c r="R61" i="3"/>
  <c r="R71" i="3"/>
  <c r="U1" i="7" l="1"/>
  <c r="P2" i="8"/>
  <c r="P50" i="3"/>
  <c r="V1" i="1"/>
  <c r="W2" i="7"/>
  <c r="O75" i="3"/>
  <c r="T29" i="7" s="1"/>
  <c r="S71" i="3"/>
  <c r="S61" i="3"/>
  <c r="Q50" i="3" l="1"/>
  <c r="Q2" i="8"/>
  <c r="V1" i="7"/>
  <c r="O14" i="8"/>
  <c r="X2" i="7"/>
  <c r="W1" i="1"/>
  <c r="P75" i="3"/>
  <c r="U29" i="7" s="1"/>
  <c r="R73" i="3"/>
  <c r="R18" i="8" s="1"/>
  <c r="Q75" i="3"/>
  <c r="V29" i="7" s="1"/>
  <c r="Q73" i="3"/>
  <c r="Q18" i="8" s="1"/>
  <c r="T61" i="3"/>
  <c r="T71" i="3"/>
  <c r="R50" i="3" l="1"/>
  <c r="R2" i="8"/>
  <c r="W1" i="7"/>
  <c r="P14" i="8"/>
  <c r="Q14" i="8"/>
  <c r="X1" i="1"/>
  <c r="Y2" i="7"/>
  <c r="Q74" i="3"/>
  <c r="U61" i="3"/>
  <c r="S50" i="3" l="1"/>
  <c r="S2" i="8"/>
  <c r="X1" i="7"/>
  <c r="Z2" i="7"/>
  <c r="Y1" i="1"/>
  <c r="S74" i="3"/>
  <c r="S73" i="3"/>
  <c r="S18" i="8" s="1"/>
  <c r="V61" i="3"/>
  <c r="U71" i="3"/>
  <c r="R74" i="3"/>
  <c r="R75" i="3"/>
  <c r="W29" i="7" s="1"/>
  <c r="Y1" i="7" l="1"/>
  <c r="T50" i="3"/>
  <c r="T2" i="8"/>
  <c r="R14" i="8"/>
  <c r="Z1" i="1"/>
  <c r="AA2" i="7"/>
  <c r="S75" i="3"/>
  <c r="X29" i="7" s="1"/>
  <c r="U50" i="3" l="1"/>
  <c r="U2" i="8"/>
  <c r="Z1" i="7"/>
  <c r="V71" i="3"/>
  <c r="AB2" i="7"/>
  <c r="S14" i="8"/>
  <c r="AA1" i="1"/>
  <c r="V50" i="3" l="1"/>
  <c r="V2" i="8"/>
  <c r="AA1" i="7"/>
  <c r="AC2" i="7"/>
  <c r="W74" i="3"/>
  <c r="X68" i="3"/>
  <c r="X69" i="3" s="1"/>
  <c r="X70" i="3" s="1"/>
  <c r="T73" i="3"/>
  <c r="T18" i="8" s="1"/>
  <c r="T75" i="3"/>
  <c r="Y29" i="7" s="1"/>
  <c r="AB1" i="1"/>
  <c r="AE2" i="7" l="1"/>
  <c r="AD2" i="7"/>
  <c r="W50" i="3"/>
  <c r="W2" i="8"/>
  <c r="AB1" i="7"/>
  <c r="T14" i="8"/>
  <c r="AC1" i="1"/>
  <c r="U75" i="3"/>
  <c r="Z29" i="7" s="1"/>
  <c r="T74" i="3"/>
  <c r="AD1" i="1" l="1"/>
  <c r="AC1" i="7"/>
  <c r="X50" i="3"/>
  <c r="X2" i="8"/>
  <c r="W71" i="3"/>
  <c r="X74" i="3"/>
  <c r="U14" i="8"/>
  <c r="V75" i="3"/>
  <c r="AA29" i="7" s="1"/>
  <c r="AE1" i="1" l="1"/>
  <c r="Y50" i="3"/>
  <c r="Y2" i="8"/>
  <c r="AD1" i="7"/>
  <c r="V14" i="8"/>
  <c r="Z50" i="3" l="1"/>
  <c r="Z2" i="8"/>
  <c r="AE1" i="7"/>
  <c r="Y67" i="3"/>
  <c r="Y75" i="3" s="1"/>
  <c r="AD29" i="7" s="1"/>
  <c r="X71" i="3"/>
  <c r="V74" i="3"/>
  <c r="Y14" i="8" l="1"/>
  <c r="Y68" i="3"/>
  <c r="H4" i="1"/>
  <c r="I4" i="5"/>
  <c r="K4" i="5" s="1"/>
  <c r="L3" i="5" s="1"/>
  <c r="I5" i="5"/>
  <c r="K5" i="5" s="1"/>
  <c r="Y74" i="3" l="1"/>
  <c r="Y69" i="3"/>
  <c r="H3" i="1"/>
  <c r="H71" i="1" s="1"/>
  <c r="H4" i="7"/>
  <c r="I4" i="1"/>
  <c r="D53" i="3" s="1"/>
  <c r="I6" i="5"/>
  <c r="H76" i="1" l="1"/>
  <c r="H3" i="7"/>
  <c r="Y71" i="3"/>
  <c r="Y70" i="3"/>
  <c r="J4" i="1"/>
  <c r="I4" i="7"/>
  <c r="I3" i="1"/>
  <c r="I71" i="1" s="1"/>
  <c r="L4" i="5"/>
  <c r="N4" i="5" s="1"/>
  <c r="L5" i="5"/>
  <c r="N5" i="5" s="1"/>
  <c r="D51" i="3" l="1"/>
  <c r="I3" i="7"/>
  <c r="I76" i="1"/>
  <c r="J4" i="7"/>
  <c r="E3" i="8"/>
  <c r="E23" i="8" s="1"/>
  <c r="E53" i="3"/>
  <c r="Z67" i="3"/>
  <c r="Z68" i="3" s="1"/>
  <c r="Z74" i="3" s="1"/>
  <c r="K4" i="1"/>
  <c r="C25" i="1" s="1"/>
  <c r="J3" i="1"/>
  <c r="N3" i="5"/>
  <c r="O3" i="5"/>
  <c r="J76" i="1" l="1"/>
  <c r="J71" i="1"/>
  <c r="E1" i="8"/>
  <c r="J3" i="7"/>
  <c r="E51" i="3"/>
  <c r="L24" i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F3" i="8"/>
  <c r="F23" i="8" s="1"/>
  <c r="F53" i="3"/>
  <c r="Z75" i="3"/>
  <c r="Z69" i="3"/>
  <c r="K4" i="7"/>
  <c r="K3" i="1"/>
  <c r="L4" i="1"/>
  <c r="N6" i="5"/>
  <c r="K76" i="1" l="1"/>
  <c r="K71" i="1"/>
  <c r="Z14" i="8"/>
  <c r="AE29" i="7"/>
  <c r="F51" i="3"/>
  <c r="F1" i="8"/>
  <c r="K3" i="7"/>
  <c r="G3" i="8"/>
  <c r="G23" i="8" s="1"/>
  <c r="G53" i="3"/>
  <c r="Z71" i="3"/>
  <c r="Z70" i="3"/>
  <c r="L4" i="7"/>
  <c r="L3" i="1"/>
  <c r="M4" i="1"/>
  <c r="H5" i="5"/>
  <c r="H4" i="5"/>
  <c r="H3" i="5"/>
  <c r="L76" i="1" l="1"/>
  <c r="M76" i="1" s="1"/>
  <c r="L71" i="1"/>
  <c r="M71" i="1" s="1"/>
  <c r="B24" i="6"/>
  <c r="B9" i="6"/>
  <c r="H53" i="3"/>
  <c r="H3" i="8"/>
  <c r="H23" i="8" s="1"/>
  <c r="G51" i="3"/>
  <c r="G1" i="8"/>
  <c r="L3" i="7"/>
  <c r="M4" i="7"/>
  <c r="N4" i="1"/>
  <c r="M3" i="1"/>
  <c r="K6" i="5"/>
  <c r="C19" i="5" s="1"/>
  <c r="C24" i="5" s="1"/>
  <c r="H6" i="5"/>
  <c r="C24" i="6" l="1"/>
  <c r="C9" i="6"/>
  <c r="D41" i="8"/>
  <c r="D43" i="8" s="1"/>
  <c r="I3" i="8"/>
  <c r="I23" i="8" s="1"/>
  <c r="I53" i="3"/>
  <c r="H51" i="3"/>
  <c r="H1" i="8"/>
  <c r="M3" i="7"/>
  <c r="M86" i="7" s="1"/>
  <c r="M84" i="7"/>
  <c r="L84" i="7"/>
  <c r="N4" i="7"/>
  <c r="O4" i="1"/>
  <c r="N3" i="1"/>
  <c r="D24" i="6" l="1"/>
  <c r="D9" i="6"/>
  <c r="I1" i="8"/>
  <c r="N3" i="7"/>
  <c r="N86" i="7" s="1"/>
  <c r="I51" i="3"/>
  <c r="J3" i="8"/>
  <c r="J23" i="8" s="1"/>
  <c r="J53" i="3"/>
  <c r="M9" i="7"/>
  <c r="M10" i="7" s="1"/>
  <c r="M11" i="7" s="1"/>
  <c r="N84" i="7"/>
  <c r="O4" i="7"/>
  <c r="P4" i="1"/>
  <c r="O3" i="1"/>
  <c r="E24" i="6" l="1"/>
  <c r="E9" i="6"/>
  <c r="J51" i="3"/>
  <c r="O3" i="7"/>
  <c r="O86" i="7" s="1"/>
  <c r="J1" i="8"/>
  <c r="K3" i="8"/>
  <c r="K23" i="8" s="1"/>
  <c r="K53" i="3"/>
  <c r="F5" i="8"/>
  <c r="M17" i="7"/>
  <c r="M18" i="7"/>
  <c r="M87" i="7"/>
  <c r="D27" i="8"/>
  <c r="B51" i="8"/>
  <c r="D28" i="8" s="1"/>
  <c r="B49" i="8"/>
  <c r="D26" i="8" s="1"/>
  <c r="P4" i="7"/>
  <c r="P3" i="1"/>
  <c r="Q4" i="1"/>
  <c r="N9" i="7"/>
  <c r="N10" i="7" s="1"/>
  <c r="N11" i="7" s="1"/>
  <c r="F24" i="6" l="1"/>
  <c r="F9" i="6"/>
  <c r="E5" i="8"/>
  <c r="E15" i="8" s="1"/>
  <c r="L91" i="7"/>
  <c r="M74" i="7"/>
  <c r="E7" i="8"/>
  <c r="L53" i="3"/>
  <c r="L3" i="8"/>
  <c r="L23" i="8" s="1"/>
  <c r="K51" i="3"/>
  <c r="K1" i="8"/>
  <c r="P3" i="7"/>
  <c r="P86" i="7" s="1"/>
  <c r="F7" i="8"/>
  <c r="N17" i="7"/>
  <c r="N18" i="7"/>
  <c r="M19" i="7"/>
  <c r="M75" i="7" s="1"/>
  <c r="M76" i="7" s="1"/>
  <c r="N87" i="7"/>
  <c r="O84" i="7"/>
  <c r="O9" i="7"/>
  <c r="O10" i="7" s="1"/>
  <c r="O11" i="7" s="1"/>
  <c r="P84" i="7"/>
  <c r="Q4" i="7"/>
  <c r="R4" i="1"/>
  <c r="Q3" i="1"/>
  <c r="E6" i="8" l="1"/>
  <c r="G24" i="6"/>
  <c r="G9" i="6"/>
  <c r="E19" i="8"/>
  <c r="M91" i="7"/>
  <c r="M93" i="7" s="1"/>
  <c r="H16" i="8" s="1"/>
  <c r="N74" i="7"/>
  <c r="M77" i="7"/>
  <c r="L51" i="3"/>
  <c r="L1" i="8"/>
  <c r="Q3" i="7"/>
  <c r="Q86" i="7" s="1"/>
  <c r="E9" i="8"/>
  <c r="J52" i="7"/>
  <c r="E16" i="8"/>
  <c r="E17" i="8" s="1"/>
  <c r="F16" i="8"/>
  <c r="F17" i="8" s="1"/>
  <c r="M3" i="8"/>
  <c r="M23" i="8" s="1"/>
  <c r="M53" i="3"/>
  <c r="F6" i="8"/>
  <c r="G5" i="8"/>
  <c r="E8" i="8"/>
  <c r="F15" i="8"/>
  <c r="O17" i="7"/>
  <c r="O18" i="7"/>
  <c r="F19" i="8"/>
  <c r="M22" i="7"/>
  <c r="N19" i="7"/>
  <c r="N75" i="7" s="1"/>
  <c r="N76" i="7" s="1"/>
  <c r="O74" i="7" s="1"/>
  <c r="P9" i="7"/>
  <c r="P10" i="7" s="1"/>
  <c r="P11" i="7" s="1"/>
  <c r="Q84" i="7"/>
  <c r="R4" i="7"/>
  <c r="S4" i="1"/>
  <c r="R3" i="1"/>
  <c r="O87" i="7"/>
  <c r="G6" i="8" l="1"/>
  <c r="G17" i="8"/>
  <c r="G19" i="8"/>
  <c r="H24" i="6"/>
  <c r="H9" i="6"/>
  <c r="N77" i="7"/>
  <c r="N91" i="7"/>
  <c r="N93" i="7" s="1"/>
  <c r="I16" i="8" s="1"/>
  <c r="M1" i="8"/>
  <c r="R3" i="7"/>
  <c r="R86" i="7" s="1"/>
  <c r="M51" i="3"/>
  <c r="H5" i="8"/>
  <c r="H19" i="8" s="1"/>
  <c r="N3" i="8"/>
  <c r="N23" i="8" s="1"/>
  <c r="N53" i="3"/>
  <c r="F8" i="8"/>
  <c r="G7" i="8"/>
  <c r="J53" i="7"/>
  <c r="J45" i="7"/>
  <c r="P17" i="7"/>
  <c r="P18" i="7"/>
  <c r="E10" i="8"/>
  <c r="G15" i="8"/>
  <c r="N22" i="7"/>
  <c r="M26" i="7"/>
  <c r="M27" i="7" s="1"/>
  <c r="H7" i="8" s="1"/>
  <c r="O19" i="7"/>
  <c r="O75" i="7" s="1"/>
  <c r="O76" i="7" s="1"/>
  <c r="P87" i="7"/>
  <c r="S4" i="7"/>
  <c r="S3" i="1"/>
  <c r="T4" i="1"/>
  <c r="Q9" i="7"/>
  <c r="Q10" i="7" s="1"/>
  <c r="Q11" i="7" s="1"/>
  <c r="Q17" i="7" s="1"/>
  <c r="Q19" i="7" s="1"/>
  <c r="Q75" i="7" s="1"/>
  <c r="Q76" i="7" s="1"/>
  <c r="R84" i="7"/>
  <c r="I24" i="6" l="1"/>
  <c r="I9" i="6"/>
  <c r="G9" i="8"/>
  <c r="G12" i="8" s="1"/>
  <c r="P74" i="7"/>
  <c r="O91" i="7"/>
  <c r="O93" i="7" s="1"/>
  <c r="J16" i="8" s="1"/>
  <c r="O77" i="7"/>
  <c r="O3" i="8"/>
  <c r="O23" i="8" s="1"/>
  <c r="O53" i="3"/>
  <c r="N51" i="3"/>
  <c r="S3" i="7"/>
  <c r="S86" i="7" s="1"/>
  <c r="N1" i="8"/>
  <c r="H15" i="8"/>
  <c r="I5" i="8"/>
  <c r="J46" i="7"/>
  <c r="J47" i="7" s="1"/>
  <c r="J68" i="7" s="1"/>
  <c r="J55" i="7"/>
  <c r="K51" i="7" s="1"/>
  <c r="K52" i="7" s="1"/>
  <c r="P19" i="7"/>
  <c r="P75" i="7" s="1"/>
  <c r="P76" i="7" s="1"/>
  <c r="Q74" i="7" s="1"/>
  <c r="K53" i="7"/>
  <c r="K45" i="7"/>
  <c r="F9" i="8"/>
  <c r="F10" i="8" s="1"/>
  <c r="H17" i="8"/>
  <c r="L45" i="7"/>
  <c r="H6" i="8"/>
  <c r="N26" i="7"/>
  <c r="N27" i="7" s="1"/>
  <c r="I7" i="8" s="1"/>
  <c r="Q22" i="7"/>
  <c r="L5" i="8" s="1"/>
  <c r="M28" i="7"/>
  <c r="G8" i="8"/>
  <c r="M30" i="7"/>
  <c r="H9" i="8" s="1"/>
  <c r="O22" i="7"/>
  <c r="T4" i="7"/>
  <c r="U4" i="1"/>
  <c r="T3" i="1"/>
  <c r="P77" i="7"/>
  <c r="R9" i="7"/>
  <c r="R10" i="7" s="1"/>
  <c r="R11" i="7" s="1"/>
  <c r="R17" i="7" s="1"/>
  <c r="R19" i="7" s="1"/>
  <c r="R75" i="7" s="1"/>
  <c r="R76" i="7" s="1"/>
  <c r="S84" i="7"/>
  <c r="Q87" i="7"/>
  <c r="H12" i="8" l="1"/>
  <c r="H20" i="8" s="1"/>
  <c r="P91" i="7"/>
  <c r="P93" i="7" s="1"/>
  <c r="K16" i="8" s="1"/>
  <c r="G20" i="8"/>
  <c r="G13" i="8"/>
  <c r="J24" i="6"/>
  <c r="J9" i="6"/>
  <c r="P53" i="3"/>
  <c r="P3" i="8"/>
  <c r="P23" i="8" s="1"/>
  <c r="O51" i="3"/>
  <c r="O1" i="8"/>
  <c r="T3" i="7"/>
  <c r="T86" i="7" s="1"/>
  <c r="I6" i="8"/>
  <c r="J5" i="8"/>
  <c r="J19" i="8" s="1"/>
  <c r="E11" i="8"/>
  <c r="P22" i="7"/>
  <c r="K5" i="8" s="1"/>
  <c r="P26" i="7"/>
  <c r="K46" i="7"/>
  <c r="K47" i="7" s="1"/>
  <c r="K68" i="7" s="1"/>
  <c r="K55" i="7"/>
  <c r="L53" i="7"/>
  <c r="I19" i="8"/>
  <c r="I17" i="8"/>
  <c r="I15" i="8"/>
  <c r="H8" i="8"/>
  <c r="N28" i="7"/>
  <c r="N30" i="7"/>
  <c r="I9" i="8" s="1"/>
  <c r="M33" i="7"/>
  <c r="M37" i="7" s="1"/>
  <c r="M31" i="7"/>
  <c r="G10" i="8"/>
  <c r="O26" i="7"/>
  <c r="O27" i="7" s="1"/>
  <c r="J7" i="8" s="1"/>
  <c r="R22" i="7"/>
  <c r="M5" i="8" s="1"/>
  <c r="J17" i="8"/>
  <c r="R74" i="7"/>
  <c r="Q91" i="7"/>
  <c r="Q93" i="7" s="1"/>
  <c r="L16" i="8" s="1"/>
  <c r="Q77" i="7"/>
  <c r="S9" i="7"/>
  <c r="S10" i="7" s="1"/>
  <c r="S11" i="7" s="1"/>
  <c r="S17" i="7" s="1"/>
  <c r="S19" i="7" s="1"/>
  <c r="S75" i="7" s="1"/>
  <c r="S76" i="7" s="1"/>
  <c r="T84" i="7"/>
  <c r="R87" i="7"/>
  <c r="Q26" i="7"/>
  <c r="Q27" i="7" s="1"/>
  <c r="L7" i="8" s="1"/>
  <c r="L54" i="7"/>
  <c r="U4" i="7"/>
  <c r="V4" i="1"/>
  <c r="U3" i="1"/>
  <c r="I12" i="8" l="1"/>
  <c r="I20" i="8" s="1"/>
  <c r="I21" i="8" s="1"/>
  <c r="K24" i="6"/>
  <c r="K9" i="6"/>
  <c r="L51" i="7"/>
  <c r="L52" i="7" s="1"/>
  <c r="L46" i="7" s="1"/>
  <c r="L47" i="7" s="1"/>
  <c r="L68" i="7" s="1"/>
  <c r="J15" i="8"/>
  <c r="J6" i="8"/>
  <c r="Q3" i="8"/>
  <c r="Q23" i="8" s="1"/>
  <c r="Q53" i="3"/>
  <c r="P51" i="3"/>
  <c r="P1" i="8"/>
  <c r="U3" i="7"/>
  <c r="U86" i="7" s="1"/>
  <c r="P27" i="7"/>
  <c r="K7" i="8" s="1"/>
  <c r="K8" i="8" s="1"/>
  <c r="H10" i="8"/>
  <c r="N33" i="7"/>
  <c r="N37" i="7" s="1"/>
  <c r="N31" i="7"/>
  <c r="S22" i="7"/>
  <c r="N5" i="8" s="1"/>
  <c r="O30" i="7"/>
  <c r="J9" i="8" s="1"/>
  <c r="O28" i="7"/>
  <c r="I8" i="8"/>
  <c r="M34" i="7"/>
  <c r="M45" i="7"/>
  <c r="M53" i="7"/>
  <c r="Q28" i="7"/>
  <c r="Q30" i="7"/>
  <c r="L9" i="8" s="1"/>
  <c r="S74" i="7"/>
  <c r="R91" i="7"/>
  <c r="R93" i="7" s="1"/>
  <c r="M16" i="8" s="1"/>
  <c r="R26" i="7"/>
  <c r="R27" i="7" s="1"/>
  <c r="M7" i="8" s="1"/>
  <c r="S87" i="7"/>
  <c r="K6" i="8"/>
  <c r="K19" i="8"/>
  <c r="K15" i="8"/>
  <c r="K17" i="8"/>
  <c r="V4" i="7"/>
  <c r="W4" i="1"/>
  <c r="V3" i="1"/>
  <c r="T9" i="7"/>
  <c r="T10" i="7" s="1"/>
  <c r="T11" i="7" s="1"/>
  <c r="T17" i="7" s="1"/>
  <c r="T19" i="7" s="1"/>
  <c r="T75" i="7" s="1"/>
  <c r="T76" i="7" s="1"/>
  <c r="U84" i="7"/>
  <c r="R77" i="7"/>
  <c r="L12" i="8" l="1"/>
  <c r="L20" i="8" s="1"/>
  <c r="J12" i="8"/>
  <c r="J20" i="8" s="1"/>
  <c r="L24" i="6"/>
  <c r="L9" i="6"/>
  <c r="L55" i="7"/>
  <c r="M51" i="7" s="1"/>
  <c r="M52" i="7" s="1"/>
  <c r="M46" i="7" s="1"/>
  <c r="M47" i="7" s="1"/>
  <c r="M68" i="7" s="1"/>
  <c r="Q1" i="8"/>
  <c r="V3" i="7"/>
  <c r="V86" i="7" s="1"/>
  <c r="Q51" i="3"/>
  <c r="R3" i="8"/>
  <c r="R23" i="8" s="1"/>
  <c r="R53" i="3"/>
  <c r="F11" i="8"/>
  <c r="F12" i="8" s="1"/>
  <c r="E12" i="8"/>
  <c r="E13" i="8" s="1"/>
  <c r="P30" i="7"/>
  <c r="K9" i="8" s="1"/>
  <c r="P28" i="7"/>
  <c r="J8" i="8"/>
  <c r="N34" i="7"/>
  <c r="N45" i="7"/>
  <c r="N53" i="7"/>
  <c r="T22" i="7"/>
  <c r="O5" i="8" s="1"/>
  <c r="O31" i="7"/>
  <c r="I10" i="8"/>
  <c r="O33" i="7"/>
  <c r="O37" i="7" s="1"/>
  <c r="T87" i="7"/>
  <c r="R28" i="7"/>
  <c r="L8" i="8"/>
  <c r="R30" i="7"/>
  <c r="M9" i="8" s="1"/>
  <c r="U9" i="7"/>
  <c r="U10" i="7" s="1"/>
  <c r="U11" i="7" s="1"/>
  <c r="U17" i="7" s="1"/>
  <c r="U19" i="7" s="1"/>
  <c r="U75" i="7" s="1"/>
  <c r="U76" i="7" s="1"/>
  <c r="V84" i="7"/>
  <c r="L6" i="8"/>
  <c r="L19" i="8"/>
  <c r="L15" i="8"/>
  <c r="W4" i="7"/>
  <c r="X4" i="1"/>
  <c r="W3" i="1"/>
  <c r="L17" i="8"/>
  <c r="Q33" i="7"/>
  <c r="Q37" i="7" s="1"/>
  <c r="Q31" i="7"/>
  <c r="T74" i="7"/>
  <c r="S91" i="7"/>
  <c r="S93" i="7" s="1"/>
  <c r="N16" i="8" s="1"/>
  <c r="S77" i="7"/>
  <c r="S26" i="7"/>
  <c r="S27" i="7" s="1"/>
  <c r="N7" i="8" s="1"/>
  <c r="M54" i="7"/>
  <c r="M12" i="8" l="1"/>
  <c r="M20" i="8" s="1"/>
  <c r="K12" i="8"/>
  <c r="K20" i="8" s="1"/>
  <c r="K10" i="8"/>
  <c r="M24" i="6"/>
  <c r="M9" i="6"/>
  <c r="M55" i="7"/>
  <c r="N51" i="7" s="1"/>
  <c r="N52" i="7" s="1"/>
  <c r="N46" i="7" s="1"/>
  <c r="N47" i="7" s="1"/>
  <c r="R51" i="3"/>
  <c r="W3" i="7"/>
  <c r="W86" i="7" s="1"/>
  <c r="R1" i="8"/>
  <c r="S3" i="8"/>
  <c r="S23" i="8" s="1"/>
  <c r="S53" i="3"/>
  <c r="F20" i="8"/>
  <c r="F13" i="8"/>
  <c r="E20" i="8"/>
  <c r="E27" i="8" s="1"/>
  <c r="P33" i="7"/>
  <c r="P37" i="7" s="1"/>
  <c r="P31" i="7"/>
  <c r="J10" i="8"/>
  <c r="T77" i="7"/>
  <c r="U22" i="7"/>
  <c r="P5" i="8" s="1"/>
  <c r="O34" i="7"/>
  <c r="O53" i="7"/>
  <c r="O45" i="7"/>
  <c r="U87" i="7"/>
  <c r="M17" i="8"/>
  <c r="S28" i="7"/>
  <c r="M8" i="8"/>
  <c r="S30" i="7"/>
  <c r="N9" i="8" s="1"/>
  <c r="Q53" i="7"/>
  <c r="Q45" i="7"/>
  <c r="Q34" i="7"/>
  <c r="T26" i="7"/>
  <c r="T27" i="7" s="1"/>
  <c r="O7" i="8" s="1"/>
  <c r="M6" i="8"/>
  <c r="M19" i="8"/>
  <c r="M15" i="8"/>
  <c r="V9" i="7"/>
  <c r="V10" i="7" s="1"/>
  <c r="V11" i="7" s="1"/>
  <c r="V17" i="7" s="1"/>
  <c r="V19" i="7" s="1"/>
  <c r="V75" i="7" s="1"/>
  <c r="V76" i="7" s="1"/>
  <c r="W84" i="7"/>
  <c r="R33" i="7"/>
  <c r="R37" i="7" s="1"/>
  <c r="L10" i="8"/>
  <c r="R31" i="7"/>
  <c r="X4" i="7"/>
  <c r="Y4" i="1"/>
  <c r="X3" i="1"/>
  <c r="U74" i="7"/>
  <c r="T91" i="7"/>
  <c r="T93" i="7" s="1"/>
  <c r="O16" i="8" s="1"/>
  <c r="N12" i="8" l="1"/>
  <c r="N20" i="8" s="1"/>
  <c r="N24" i="6"/>
  <c r="N9" i="6"/>
  <c r="F26" i="8"/>
  <c r="G21" i="8"/>
  <c r="F28" i="8"/>
  <c r="F27" i="8"/>
  <c r="S51" i="3"/>
  <c r="S1" i="8"/>
  <c r="X3" i="7"/>
  <c r="X86" i="7" s="1"/>
  <c r="T53" i="3"/>
  <c r="T3" i="8"/>
  <c r="T23" i="8" s="1"/>
  <c r="F21" i="8"/>
  <c r="E28" i="8"/>
  <c r="E26" i="8"/>
  <c r="E21" i="8"/>
  <c r="P53" i="7"/>
  <c r="P34" i="7"/>
  <c r="P45" i="7"/>
  <c r="V22" i="7"/>
  <c r="Q5" i="8" s="1"/>
  <c r="N17" i="8"/>
  <c r="M38" i="7"/>
  <c r="M39" i="7" s="1"/>
  <c r="U77" i="7"/>
  <c r="V87" i="7"/>
  <c r="N8" i="8"/>
  <c r="T28" i="7"/>
  <c r="T30" i="7"/>
  <c r="O9" i="8" s="1"/>
  <c r="W9" i="7"/>
  <c r="W10" i="7" s="1"/>
  <c r="W11" i="7" s="1"/>
  <c r="W17" i="7" s="1"/>
  <c r="W19" i="7" s="1"/>
  <c r="W75" i="7" s="1"/>
  <c r="W76" i="7" s="1"/>
  <c r="X84" i="7"/>
  <c r="N6" i="8"/>
  <c r="N19" i="8"/>
  <c r="N15" i="8"/>
  <c r="N68" i="7"/>
  <c r="R45" i="7"/>
  <c r="R34" i="7"/>
  <c r="R53" i="7"/>
  <c r="M10" i="8"/>
  <c r="S31" i="7"/>
  <c r="S33" i="7"/>
  <c r="S37" i="7" s="1"/>
  <c r="Y4" i="7"/>
  <c r="Z4" i="1"/>
  <c r="Y3" i="1"/>
  <c r="U26" i="7"/>
  <c r="U27" i="7" s="1"/>
  <c r="P7" i="8" s="1"/>
  <c r="V74" i="7"/>
  <c r="U91" i="7"/>
  <c r="U93" i="7" s="1"/>
  <c r="P16" i="8" s="1"/>
  <c r="N54" i="7"/>
  <c r="N55" i="7" s="1"/>
  <c r="O51" i="7" s="1"/>
  <c r="O12" i="8" l="1"/>
  <c r="O20" i="8" s="1"/>
  <c r="O24" i="6"/>
  <c r="O9" i="6"/>
  <c r="T51" i="3"/>
  <c r="T1" i="8"/>
  <c r="Y3" i="7"/>
  <c r="Y86" i="7" s="1"/>
  <c r="U3" i="8"/>
  <c r="U23" i="8" s="1"/>
  <c r="U53" i="3"/>
  <c r="W22" i="7"/>
  <c r="R5" i="8" s="1"/>
  <c r="W87" i="7"/>
  <c r="O17" i="8"/>
  <c r="O52" i="7"/>
  <c r="O46" i="7" s="1"/>
  <c r="O47" i="7" s="1"/>
  <c r="W74" i="7"/>
  <c r="V91" i="7"/>
  <c r="V93" i="7" s="1"/>
  <c r="Q16" i="8" s="1"/>
  <c r="V77" i="7"/>
  <c r="G26" i="8"/>
  <c r="G28" i="8"/>
  <c r="G27" i="8"/>
  <c r="S34" i="7"/>
  <c r="S53" i="7"/>
  <c r="S45" i="7"/>
  <c r="O6" i="8"/>
  <c r="O19" i="8"/>
  <c r="O15" i="8"/>
  <c r="X9" i="7"/>
  <c r="X10" i="7" s="1"/>
  <c r="X11" i="7" s="1"/>
  <c r="X17" i="7" s="1"/>
  <c r="X19" i="7" s="1"/>
  <c r="X75" i="7" s="1"/>
  <c r="X76" i="7" s="1"/>
  <c r="Y84" i="7"/>
  <c r="N10" i="8"/>
  <c r="T31" i="7"/>
  <c r="T33" i="7"/>
  <c r="T37" i="7" s="1"/>
  <c r="V26" i="7"/>
  <c r="V27" i="7" s="1"/>
  <c r="Q7" i="8" s="1"/>
  <c r="U28" i="7"/>
  <c r="O8" i="8"/>
  <c r="U30" i="7"/>
  <c r="P9" i="8" s="1"/>
  <c r="Z4" i="7"/>
  <c r="AA4" i="1"/>
  <c r="Z3" i="1"/>
  <c r="P12" i="8" l="1"/>
  <c r="P20" i="8" s="1"/>
  <c r="P24" i="6"/>
  <c r="P9" i="6"/>
  <c r="U1" i="8"/>
  <c r="Z3" i="7"/>
  <c r="Z86" i="7" s="1"/>
  <c r="U51" i="3"/>
  <c r="V3" i="8"/>
  <c r="V23" i="8" s="1"/>
  <c r="V53" i="3"/>
  <c r="X22" i="7"/>
  <c r="S5" i="8" s="1"/>
  <c r="O54" i="7"/>
  <c r="X87" i="7"/>
  <c r="P8" i="8"/>
  <c r="V28" i="7"/>
  <c r="V30" i="7"/>
  <c r="Q9" i="8" s="1"/>
  <c r="P17" i="8"/>
  <c r="X74" i="7"/>
  <c r="W91" i="7"/>
  <c r="W93" i="7" s="1"/>
  <c r="R16" i="8" s="1"/>
  <c r="AA4" i="7"/>
  <c r="AB4" i="1"/>
  <c r="AA3" i="1"/>
  <c r="N38" i="7"/>
  <c r="N39" i="7" s="1"/>
  <c r="W77" i="7"/>
  <c r="O10" i="8"/>
  <c r="U33" i="7"/>
  <c r="U37" i="7" s="1"/>
  <c r="U31" i="7"/>
  <c r="Y9" i="7"/>
  <c r="Y10" i="7" s="1"/>
  <c r="Y11" i="7" s="1"/>
  <c r="Y17" i="7" s="1"/>
  <c r="Y19" i="7" s="1"/>
  <c r="Y75" i="7" s="1"/>
  <c r="Y76" i="7" s="1"/>
  <c r="Z84" i="7"/>
  <c r="P6" i="8"/>
  <c r="P19" i="8"/>
  <c r="P15" i="8"/>
  <c r="T34" i="7"/>
  <c r="T45" i="7"/>
  <c r="T53" i="7"/>
  <c r="W26" i="7"/>
  <c r="W27" i="7" s="1"/>
  <c r="R7" i="8" s="1"/>
  <c r="O68" i="7"/>
  <c r="Q12" i="8" l="1"/>
  <c r="Q20" i="8" s="1"/>
  <c r="Q24" i="6"/>
  <c r="Q9" i="6"/>
  <c r="O55" i="7"/>
  <c r="P51" i="7" s="1"/>
  <c r="V51" i="3"/>
  <c r="B52" i="3" s="1"/>
  <c r="V1" i="8"/>
  <c r="AA3" i="7"/>
  <c r="AA86" i="7" s="1"/>
  <c r="W3" i="8"/>
  <c r="W23" i="8" s="1"/>
  <c r="W53" i="3"/>
  <c r="AC4" i="1"/>
  <c r="Y22" i="7"/>
  <c r="T5" i="8" s="1"/>
  <c r="Y87" i="7"/>
  <c r="Q8" i="8"/>
  <c r="W28" i="7"/>
  <c r="W30" i="7"/>
  <c r="R9" i="8" s="1"/>
  <c r="Y74" i="7"/>
  <c r="X91" i="7"/>
  <c r="X93" i="7" s="1"/>
  <c r="S16" i="8" s="1"/>
  <c r="Q17" i="8"/>
  <c r="Z9" i="7"/>
  <c r="Z10" i="7" s="1"/>
  <c r="Z11" i="7" s="1"/>
  <c r="Z17" i="7" s="1"/>
  <c r="Z19" i="7" s="1"/>
  <c r="Z75" i="7" s="1"/>
  <c r="Z76" i="7" s="1"/>
  <c r="AA84" i="7"/>
  <c r="X77" i="7"/>
  <c r="P10" i="8"/>
  <c r="V33" i="7"/>
  <c r="V37" i="7" s="1"/>
  <c r="V31" i="7"/>
  <c r="Q6" i="8"/>
  <c r="Q19" i="8"/>
  <c r="Q15" i="8"/>
  <c r="H13" i="8"/>
  <c r="H21" i="8"/>
  <c r="AB4" i="7"/>
  <c r="AB3" i="1"/>
  <c r="X26" i="7"/>
  <c r="X27" i="7" s="1"/>
  <c r="S7" i="8" s="1"/>
  <c r="U53" i="7"/>
  <c r="U34" i="7"/>
  <c r="U45" i="7"/>
  <c r="R12" i="8" l="1"/>
  <c r="R20" i="8" s="1"/>
  <c r="R24" i="6"/>
  <c r="R9" i="6"/>
  <c r="P52" i="7"/>
  <c r="P46" i="7" s="1"/>
  <c r="P47" i="7" s="1"/>
  <c r="P68" i="7" s="1"/>
  <c r="AC3" i="1"/>
  <c r="X53" i="3"/>
  <c r="AC4" i="7"/>
  <c r="X3" i="8"/>
  <c r="X23" i="8" s="1"/>
  <c r="W51" i="3"/>
  <c r="W1" i="8"/>
  <c r="AB3" i="7"/>
  <c r="AB86" i="7" s="1"/>
  <c r="O38" i="7"/>
  <c r="O39" i="7" s="1"/>
  <c r="AD4" i="1"/>
  <c r="Z22" i="7"/>
  <c r="U5" i="8" s="1"/>
  <c r="Z87" i="7"/>
  <c r="Y77" i="7"/>
  <c r="R19" i="8"/>
  <c r="R15" i="8"/>
  <c r="H28" i="8"/>
  <c r="H26" i="8"/>
  <c r="H27" i="8"/>
  <c r="AA9" i="7"/>
  <c r="AA10" i="7" s="1"/>
  <c r="AA11" i="7" s="1"/>
  <c r="AA17" i="7" s="1"/>
  <c r="AA19" i="7" s="1"/>
  <c r="AA75" i="7" s="1"/>
  <c r="AA76" i="7" s="1"/>
  <c r="AB84" i="7"/>
  <c r="R6" i="8"/>
  <c r="Q10" i="8"/>
  <c r="W33" i="7"/>
  <c r="W37" i="7" s="1"/>
  <c r="W31" i="7"/>
  <c r="X28" i="7"/>
  <c r="R8" i="8"/>
  <c r="X30" i="7"/>
  <c r="S9" i="8" s="1"/>
  <c r="V53" i="7"/>
  <c r="V45" i="7"/>
  <c r="V34" i="7"/>
  <c r="Z74" i="7"/>
  <c r="Y91" i="7"/>
  <c r="Y93" i="7" s="1"/>
  <c r="T16" i="8" s="1"/>
  <c r="Y26" i="7"/>
  <c r="Y27" i="7" s="1"/>
  <c r="T7" i="8" s="1"/>
  <c r="R17" i="8"/>
  <c r="S12" i="8" l="1"/>
  <c r="S20" i="8" s="1"/>
  <c r="S24" i="6"/>
  <c r="S9" i="6"/>
  <c r="P54" i="7"/>
  <c r="P55" i="7" s="1"/>
  <c r="AD4" i="7"/>
  <c r="Y3" i="8"/>
  <c r="Y23" i="8" s="1"/>
  <c r="Y53" i="3"/>
  <c r="X51" i="3"/>
  <c r="X1" i="8"/>
  <c r="AC3" i="7"/>
  <c r="AC86" i="7" s="1"/>
  <c r="J13" i="8"/>
  <c r="AD3" i="1"/>
  <c r="AE4" i="1"/>
  <c r="AE3" i="1"/>
  <c r="AA22" i="7"/>
  <c r="V5" i="8" s="1"/>
  <c r="AA87" i="7"/>
  <c r="I13" i="8"/>
  <c r="P38" i="7"/>
  <c r="P39" i="7" s="1"/>
  <c r="S8" i="8"/>
  <c r="Y28" i="7"/>
  <c r="Y30" i="7"/>
  <c r="T9" i="8" s="1"/>
  <c r="W53" i="7"/>
  <c r="W34" i="7"/>
  <c r="W45" i="7"/>
  <c r="I26" i="8"/>
  <c r="I28" i="8"/>
  <c r="I27" i="8"/>
  <c r="AA74" i="7"/>
  <c r="Z91" i="7"/>
  <c r="Z93" i="7" s="1"/>
  <c r="U16" i="8" s="1"/>
  <c r="S6" i="8"/>
  <c r="S19" i="8"/>
  <c r="S15" i="8"/>
  <c r="S17" i="8"/>
  <c r="AB9" i="7"/>
  <c r="AB10" i="7" s="1"/>
  <c r="AB11" i="7" s="1"/>
  <c r="AB17" i="7" s="1"/>
  <c r="AB19" i="7" s="1"/>
  <c r="AB75" i="7" s="1"/>
  <c r="AB76" i="7" s="1"/>
  <c r="AC84" i="7"/>
  <c r="Z26" i="7"/>
  <c r="Z27" i="7" s="1"/>
  <c r="U7" i="8" s="1"/>
  <c r="Z77" i="7"/>
  <c r="R10" i="8"/>
  <c r="X31" i="7"/>
  <c r="X33" i="7"/>
  <c r="X37" i="7" s="1"/>
  <c r="T12" i="8" l="1"/>
  <c r="T20" i="8" s="1"/>
  <c r="T24" i="6"/>
  <c r="T9" i="6"/>
  <c r="Q51" i="7"/>
  <c r="J21" i="8"/>
  <c r="Z51" i="3"/>
  <c r="AE3" i="7"/>
  <c r="Z1" i="8"/>
  <c r="AE4" i="7"/>
  <c r="Z3" i="8"/>
  <c r="Z23" i="8" s="1"/>
  <c r="Z53" i="3"/>
  <c r="AC9" i="7"/>
  <c r="AC10" i="7" s="1"/>
  <c r="AC11" i="7" s="1"/>
  <c r="AC17" i="7" s="1"/>
  <c r="AD84" i="7"/>
  <c r="Y1" i="8"/>
  <c r="AD3" i="7"/>
  <c r="AD86" i="7" s="1"/>
  <c r="Y51" i="3"/>
  <c r="AC87" i="7"/>
  <c r="K13" i="8"/>
  <c r="AB22" i="7"/>
  <c r="W5" i="8" s="1"/>
  <c r="T17" i="8"/>
  <c r="Z28" i="7"/>
  <c r="T8" i="8"/>
  <c r="Z30" i="7"/>
  <c r="U9" i="8" s="1"/>
  <c r="AA26" i="7"/>
  <c r="AA27" i="7" s="1"/>
  <c r="V7" i="8" s="1"/>
  <c r="S10" i="8"/>
  <c r="Y31" i="7"/>
  <c r="Y33" i="7"/>
  <c r="Y37" i="7" s="1"/>
  <c r="X34" i="7"/>
  <c r="X53" i="7"/>
  <c r="X45" i="7"/>
  <c r="AB74" i="7"/>
  <c r="AA91" i="7"/>
  <c r="AA93" i="7" s="1"/>
  <c r="V16" i="8" s="1"/>
  <c r="AA77" i="7"/>
  <c r="T6" i="8"/>
  <c r="T15" i="8"/>
  <c r="T19" i="8"/>
  <c r="AB87" i="7"/>
  <c r="U12" i="8" l="1"/>
  <c r="U20" i="8" s="1"/>
  <c r="Q52" i="7"/>
  <c r="Q46" i="7" s="1"/>
  <c r="Q47" i="7" s="1"/>
  <c r="J28" i="8"/>
  <c r="J27" i="8"/>
  <c r="K26" i="8"/>
  <c r="J26" i="8"/>
  <c r="W6" i="8"/>
  <c r="W15" i="8"/>
  <c r="W19" i="8"/>
  <c r="AC19" i="7"/>
  <c r="AD9" i="7"/>
  <c r="AD10" i="7" s="1"/>
  <c r="AD11" i="7" s="1"/>
  <c r="AD17" i="7" s="1"/>
  <c r="AE84" i="7"/>
  <c r="AE9" i="7"/>
  <c r="AE24" i="7"/>
  <c r="AE25" i="7"/>
  <c r="AB91" i="7"/>
  <c r="AB93" i="7" s="1"/>
  <c r="W16" i="8" s="1"/>
  <c r="W17" i="8" s="1"/>
  <c r="AC74" i="7"/>
  <c r="U17" i="8"/>
  <c r="AB26" i="7"/>
  <c r="AB27" i="7" s="1"/>
  <c r="W7" i="8" s="1"/>
  <c r="W8" i="8" s="1"/>
  <c r="T10" i="8"/>
  <c r="Z33" i="7"/>
  <c r="Z37" i="7" s="1"/>
  <c r="Z31" i="7"/>
  <c r="Y34" i="7"/>
  <c r="Y45" i="7"/>
  <c r="Y53" i="7"/>
  <c r="U6" i="8"/>
  <c r="U19" i="8"/>
  <c r="U15" i="8"/>
  <c r="AB77" i="7"/>
  <c r="U8" i="8"/>
  <c r="AA28" i="7"/>
  <c r="AA30" i="7"/>
  <c r="V9" i="8" s="1"/>
  <c r="V12" i="8" l="1"/>
  <c r="V20" i="8" s="1"/>
  <c r="Q54" i="7"/>
  <c r="Q55" i="7" s="1"/>
  <c r="R51" i="7" s="1"/>
  <c r="Q68" i="7"/>
  <c r="AC22" i="7"/>
  <c r="X5" i="8" s="1"/>
  <c r="AC75" i="7"/>
  <c r="AD87" i="7"/>
  <c r="K21" i="8"/>
  <c r="K27" i="8"/>
  <c r="K28" i="8"/>
  <c r="AE10" i="7"/>
  <c r="AE11" i="7" s="1"/>
  <c r="AE17" i="7" s="1"/>
  <c r="AD19" i="7"/>
  <c r="AE85" i="7"/>
  <c r="AE86" i="7" s="1"/>
  <c r="AE26" i="7"/>
  <c r="V8" i="8"/>
  <c r="AB28" i="7"/>
  <c r="AB30" i="7"/>
  <c r="W9" i="8" s="1"/>
  <c r="V6" i="8"/>
  <c r="V15" i="8"/>
  <c r="V19" i="8"/>
  <c r="Z34" i="7"/>
  <c r="Z53" i="7"/>
  <c r="Z45" i="7"/>
  <c r="U10" i="8"/>
  <c r="AA33" i="7"/>
  <c r="AA37" i="7" s="1"/>
  <c r="AA31" i="7"/>
  <c r="V17" i="8"/>
  <c r="AC27" i="7" l="1"/>
  <c r="AC28" i="7" s="1"/>
  <c r="W12" i="8"/>
  <c r="W20" i="8" s="1"/>
  <c r="AC76" i="7"/>
  <c r="AC91" i="7" s="1"/>
  <c r="AC93" i="7" s="1"/>
  <c r="X16" i="8" s="1"/>
  <c r="X17" i="8" s="1"/>
  <c r="Q38" i="7"/>
  <c r="Q39" i="7" s="1"/>
  <c r="L13" i="8"/>
  <c r="R52" i="7"/>
  <c r="R46" i="7" s="1"/>
  <c r="R47" i="7" s="1"/>
  <c r="AD22" i="7"/>
  <c r="Y5" i="8" s="1"/>
  <c r="AD75" i="7"/>
  <c r="AE19" i="7"/>
  <c r="X6" i="8"/>
  <c r="X15" i="8"/>
  <c r="X19" i="8"/>
  <c r="AE87" i="7"/>
  <c r="X7" i="8"/>
  <c r="X8" i="8" s="1"/>
  <c r="AA53" i="7"/>
  <c r="AA45" i="7"/>
  <c r="AA34" i="7"/>
  <c r="AB31" i="7"/>
  <c r="AB33" i="7"/>
  <c r="AB37" i="7" s="1"/>
  <c r="V10" i="8"/>
  <c r="AC30" i="7" l="1"/>
  <c r="X9" i="8" s="1"/>
  <c r="X12" i="8" s="1"/>
  <c r="X20" i="8" s="1"/>
  <c r="AD27" i="7"/>
  <c r="Y7" i="8" s="1"/>
  <c r="Y8" i="8" s="1"/>
  <c r="AC77" i="7"/>
  <c r="AD74" i="7"/>
  <c r="AD76" i="7"/>
  <c r="L26" i="8"/>
  <c r="R54" i="7"/>
  <c r="R55" i="7" s="1"/>
  <c r="S51" i="7" s="1"/>
  <c r="R68" i="7"/>
  <c r="AE22" i="7"/>
  <c r="AE27" i="7" s="1"/>
  <c r="AE75" i="7"/>
  <c r="AD30" i="7"/>
  <c r="Y9" i="8" s="1"/>
  <c r="Y12" i="8" s="1"/>
  <c r="Y6" i="8"/>
  <c r="Y15" i="8"/>
  <c r="Y19" i="8"/>
  <c r="W10" i="8"/>
  <c r="Z5" i="8"/>
  <c r="AB45" i="7"/>
  <c r="AB34" i="7"/>
  <c r="AB53" i="7"/>
  <c r="AD77" i="7" l="1"/>
  <c r="AD28" i="7"/>
  <c r="AC31" i="7"/>
  <c r="AC33" i="7"/>
  <c r="AC37" i="7" s="1"/>
  <c r="AE76" i="7"/>
  <c r="AE91" i="7" s="1"/>
  <c r="AE74" i="7"/>
  <c r="AD91" i="7"/>
  <c r="AD93" i="7" s="1"/>
  <c r="Y16" i="8" s="1"/>
  <c r="Y17" i="8" s="1"/>
  <c r="L27" i="8"/>
  <c r="L28" i="8"/>
  <c r="L21" i="8"/>
  <c r="R38" i="7"/>
  <c r="R39" i="7" s="1"/>
  <c r="S52" i="7"/>
  <c r="S46" i="7" s="1"/>
  <c r="S47" i="7" s="1"/>
  <c r="Z6" i="8"/>
  <c r="Z19" i="8"/>
  <c r="Z15" i="8"/>
  <c r="X10" i="8"/>
  <c r="AD31" i="7"/>
  <c r="AD33" i="7"/>
  <c r="AD37" i="7" s="1"/>
  <c r="Z7" i="8"/>
  <c r="Z8" i="8" s="1"/>
  <c r="AE28" i="7"/>
  <c r="AE30" i="7"/>
  <c r="Z9" i="8" s="1"/>
  <c r="Z12" i="8" s="1"/>
  <c r="AE77" i="7" l="1"/>
  <c r="AC45" i="7"/>
  <c r="AC53" i="7"/>
  <c r="AC34" i="7"/>
  <c r="AE93" i="7"/>
  <c r="Z16" i="8" s="1"/>
  <c r="Z17" i="8" s="1"/>
  <c r="Z10" i="8"/>
  <c r="Y20" i="8"/>
  <c r="M13" i="8"/>
  <c r="S54" i="7"/>
  <c r="S55" i="7" s="1"/>
  <c r="T51" i="7" s="1"/>
  <c r="S68" i="7"/>
  <c r="AD53" i="7"/>
  <c r="AD45" i="7"/>
  <c r="AD34" i="7"/>
  <c r="AE31" i="7"/>
  <c r="AE33" i="7"/>
  <c r="AE37" i="7" s="1"/>
  <c r="Y10" i="8"/>
  <c r="Z20" i="8" l="1"/>
  <c r="T52" i="7"/>
  <c r="T46" i="7" s="1"/>
  <c r="T47" i="7" s="1"/>
  <c r="M26" i="8"/>
  <c r="M27" i="8"/>
  <c r="M28" i="8"/>
  <c r="M21" i="8"/>
  <c r="S38" i="7"/>
  <c r="S39" i="7" s="1"/>
  <c r="AE45" i="7"/>
  <c r="AE34" i="7"/>
  <c r="AE53" i="7"/>
  <c r="N13" i="8" l="1"/>
  <c r="T54" i="7"/>
  <c r="T55" i="7" s="1"/>
  <c r="U51" i="7" s="1"/>
  <c r="T68" i="7"/>
  <c r="T38" i="7" l="1"/>
  <c r="T39" i="7" s="1"/>
  <c r="U52" i="7"/>
  <c r="U46" i="7" s="1"/>
  <c r="U47" i="7" s="1"/>
  <c r="N27" i="8"/>
  <c r="N28" i="8"/>
  <c r="N21" i="8"/>
  <c r="N26" i="8"/>
  <c r="U54" i="7" l="1"/>
  <c r="U55" i="7" s="1"/>
  <c r="V51" i="7" s="1"/>
  <c r="U68" i="7"/>
  <c r="O13" i="8"/>
  <c r="O26" i="8" l="1"/>
  <c r="O27" i="8"/>
  <c r="O28" i="8"/>
  <c r="O21" i="8"/>
  <c r="U38" i="7"/>
  <c r="U39" i="7" s="1"/>
  <c r="V52" i="7"/>
  <c r="V46" i="7" s="1"/>
  <c r="V47" i="7" s="1"/>
  <c r="V54" i="7" l="1"/>
  <c r="V55" i="7" s="1"/>
  <c r="W51" i="7" s="1"/>
  <c r="V68" i="7"/>
  <c r="P13" i="8"/>
  <c r="P27" i="8" l="1"/>
  <c r="P26" i="8"/>
  <c r="P28" i="8"/>
  <c r="P21" i="8"/>
  <c r="V38" i="7"/>
  <c r="V39" i="7" s="1"/>
  <c r="W52" i="7"/>
  <c r="W46" i="7" s="1"/>
  <c r="W47" i="7" s="1"/>
  <c r="W68" i="7" s="1"/>
  <c r="W54" i="7" l="1"/>
  <c r="W55" i="7" s="1"/>
  <c r="X51" i="7" s="1"/>
  <c r="W38" i="7"/>
  <c r="W39" i="7" s="1"/>
  <c r="Q13" i="8"/>
  <c r="Q28" i="8" l="1"/>
  <c r="Q27" i="8"/>
  <c r="Q26" i="8"/>
  <c r="Q21" i="8"/>
  <c r="R13" i="8"/>
  <c r="X52" i="7"/>
  <c r="X46" i="7" s="1"/>
  <c r="X47" i="7" s="1"/>
  <c r="X68" i="7" s="1"/>
  <c r="X54" i="7" l="1"/>
  <c r="X55" i="7" s="1"/>
  <c r="Y51" i="7" s="1"/>
  <c r="X38" i="7"/>
  <c r="X39" i="7" s="1"/>
  <c r="R28" i="8"/>
  <c r="R21" i="8"/>
  <c r="R27" i="8"/>
  <c r="R26" i="8"/>
  <c r="Y52" i="7" l="1"/>
  <c r="Y46" i="7" s="1"/>
  <c r="Y47" i="7" s="1"/>
  <c r="Y68" i="7" s="1"/>
  <c r="S13" i="8"/>
  <c r="S27" i="8" l="1"/>
  <c r="S21" i="8"/>
  <c r="S26" i="8"/>
  <c r="S28" i="8"/>
  <c r="Y54" i="7"/>
  <c r="Y55" i="7" s="1"/>
  <c r="Z51" i="7" s="1"/>
  <c r="Y38" i="7"/>
  <c r="Y39" i="7" s="1"/>
  <c r="T13" i="8" l="1"/>
  <c r="Z52" i="7"/>
  <c r="Z46" i="7" s="1"/>
  <c r="Z47" i="7" s="1"/>
  <c r="Z68" i="7" s="1"/>
  <c r="Z54" i="7" l="1"/>
  <c r="Z55" i="7" s="1"/>
  <c r="AA51" i="7" s="1"/>
  <c r="Z38" i="7"/>
  <c r="Z39" i="7" s="1"/>
  <c r="T26" i="8"/>
  <c r="T27" i="8"/>
  <c r="T28" i="8"/>
  <c r="T21" i="8"/>
  <c r="AA52" i="7" l="1"/>
  <c r="AA46" i="7" s="1"/>
  <c r="AA47" i="7" s="1"/>
  <c r="AA68" i="7" s="1"/>
  <c r="U13" i="8"/>
  <c r="AA38" i="7" l="1"/>
  <c r="AA39" i="7" s="1"/>
  <c r="U28" i="8"/>
  <c r="U26" i="8"/>
  <c r="U21" i="8"/>
  <c r="U27" i="8"/>
  <c r="AA54" i="7"/>
  <c r="AA55" i="7" s="1"/>
  <c r="AB51" i="7" s="1"/>
  <c r="AB52" i="7" l="1"/>
  <c r="AB46" i="7" s="1"/>
  <c r="AB47" i="7" s="1"/>
  <c r="AB68" i="7" s="1"/>
  <c r="V13" i="8"/>
  <c r="AB38" i="7" l="1"/>
  <c r="AB39" i="7" s="1"/>
  <c r="V27" i="8"/>
  <c r="V28" i="8"/>
  <c r="V21" i="8"/>
  <c r="V26" i="8"/>
  <c r="AB54" i="7"/>
  <c r="AB55" i="7" s="1"/>
  <c r="AC51" i="7" s="1"/>
  <c r="W13" i="8" l="1"/>
  <c r="AC52" i="7"/>
  <c r="AC46" i="7" s="1"/>
  <c r="AC47" i="7" s="1"/>
  <c r="AC68" i="7" s="1"/>
  <c r="AC54" i="7" l="1"/>
  <c r="AC55" i="7" s="1"/>
  <c r="AD51" i="7" s="1"/>
  <c r="AD52" i="7" s="1"/>
  <c r="AD46" i="7" s="1"/>
  <c r="AD47" i="7" s="1"/>
  <c r="AD68" i="7" s="1"/>
  <c r="AC38" i="7"/>
  <c r="AC39" i="7" s="1"/>
  <c r="W21" i="8"/>
  <c r="W28" i="8"/>
  <c r="W27" i="8"/>
  <c r="W26" i="8"/>
  <c r="AD38" i="7" l="1"/>
  <c r="AD39" i="7" s="1"/>
  <c r="X13" i="8"/>
  <c r="AD54" i="7"/>
  <c r="AD55" i="7" s="1"/>
  <c r="AE51" i="7" s="1"/>
  <c r="AE52" i="7" l="1"/>
  <c r="AE46" i="7" s="1"/>
  <c r="AE47" i="7" s="1"/>
  <c r="AE68" i="7" s="1"/>
  <c r="X27" i="8"/>
  <c r="X26" i="8"/>
  <c r="X21" i="8"/>
  <c r="X28" i="8"/>
  <c r="Y13" i="8"/>
  <c r="AE38" i="7" l="1"/>
  <c r="AE39" i="7" s="1"/>
  <c r="Y28" i="8"/>
  <c r="Y26" i="8"/>
  <c r="Y27" i="8"/>
  <c r="Y21" i="8"/>
  <c r="AE54" i="7"/>
  <c r="AE55" i="7" s="1"/>
  <c r="Z13" i="8" l="1"/>
  <c r="Z28" i="8" l="1"/>
  <c r="C51" i="8" s="1"/>
  <c r="Z27" i="8"/>
  <c r="Z26" i="8"/>
  <c r="C49" i="8" s="1"/>
  <c r="Z21" i="8"/>
  <c r="C50" i="8" l="1"/>
  <c r="A54" i="8" s="1"/>
  <c r="A5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Vipin Dagar</author>
  </authors>
  <commentList>
    <comment ref="J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Vipin Dagur:</t>
        </r>
        <r>
          <rPr>
            <sz val="9"/>
            <color indexed="81"/>
            <rFont val="Tahoma"/>
            <family val="2"/>
          </rPr>
          <t xml:space="preserve">
Long Term Beta - Calculated on Mthly period calculated over 4 Yr, updated daily</t>
        </r>
      </text>
    </comment>
  </commentList>
</comments>
</file>

<file path=xl/sharedStrings.xml><?xml version="1.0" encoding="utf-8"?>
<sst xmlns="http://schemas.openxmlformats.org/spreadsheetml/2006/main" count="419" uniqueCount="264">
  <si>
    <t>No. of Days</t>
  </si>
  <si>
    <t>Year End</t>
  </si>
  <si>
    <t>Computers</t>
  </si>
  <si>
    <t>Previous Data</t>
  </si>
  <si>
    <t>Description of Asset</t>
  </si>
  <si>
    <t>Land-Freehold</t>
  </si>
  <si>
    <t>Buildings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</si>
  <si>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</si>
  <si>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</si>
  <si>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</si>
  <si>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</si>
  <si>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</si>
  <si>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</si>
  <si>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</si>
  <si>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</si>
  <si>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</si>
  <si>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</si>
  <si>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</si>
  <si>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</si>
  <si>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</si>
  <si>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</si>
  <si>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</si>
  <si>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</si>
  <si>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</si>
  <si>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</si>
  <si>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</si>
  <si>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</si>
  <si>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</si>
  <si>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</si>
  <si>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</si>
  <si>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</si>
  <si>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</si>
  <si>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</si>
  <si>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</si>
  <si>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</si>
  <si>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</si>
  <si>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</si>
  <si>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</si>
  <si>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</si>
  <si>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</si>
  <si>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</si>
  <si>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Freehold Land</t>
  </si>
  <si>
    <t>Gross Block</t>
  </si>
  <si>
    <t>Addition</t>
  </si>
  <si>
    <t>Deduction</t>
  </si>
  <si>
    <t>Asset Write off (Net block)</t>
  </si>
  <si>
    <t>Accumulated Depreciation</t>
  </si>
  <si>
    <t>Net Block</t>
  </si>
  <si>
    <t>Plant &amp; Machinery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</si>
  <si>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</si>
  <si>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</si>
  <si>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</si>
  <si>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</si>
  <si>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</si>
  <si>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</si>
  <si>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</si>
  <si>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Escalation Rate for Land price</t>
  </si>
  <si>
    <t>%</t>
  </si>
  <si>
    <t>Cost of Land</t>
  </si>
  <si>
    <t>INR Crore</t>
  </si>
  <si>
    <t>Sale Price of Land</t>
  </si>
  <si>
    <t>Profit on Sale of land</t>
  </si>
  <si>
    <t>WPI Calculations</t>
  </si>
  <si>
    <t>COMM_NAME</t>
  </si>
  <si>
    <t>INDEX2011-2012 (Base Case)</t>
  </si>
  <si>
    <t>All commodities</t>
  </si>
  <si>
    <t>Compounded WPI from 2012-13 to 2018-19 is 2.61%</t>
  </si>
  <si>
    <t>Expected WPI</t>
  </si>
  <si>
    <t>Escalation Rate for Capital Assets</t>
  </si>
  <si>
    <t>S. No.</t>
  </si>
  <si>
    <t>Company</t>
  </si>
  <si>
    <t>Tax Rate</t>
  </si>
  <si>
    <t>Total Asset</t>
  </si>
  <si>
    <t>Equity</t>
  </si>
  <si>
    <t>Comparable Weightage</t>
  </si>
  <si>
    <t>D/E</t>
  </si>
  <si>
    <t>Levered Beta</t>
  </si>
  <si>
    <t>Unlevered Beta</t>
  </si>
  <si>
    <t>Weighted Average</t>
  </si>
  <si>
    <t>Calculation of Company Beta</t>
  </si>
  <si>
    <t>Unlevered Beta of Comparable Companies</t>
  </si>
  <si>
    <t>Company Debt/ Equity Ratio</t>
  </si>
  <si>
    <t>Company Tax Rate</t>
  </si>
  <si>
    <t>Company Beta</t>
  </si>
  <si>
    <t>Calculation of Cost of Equity According to CAPM</t>
  </si>
  <si>
    <t>Risk Free Rate</t>
  </si>
  <si>
    <t>Equity Risk Premium</t>
  </si>
  <si>
    <t>Cost of Equity</t>
  </si>
  <si>
    <t>Indowind Energy Ltd.</t>
  </si>
  <si>
    <t>Wind Energy Producer Comparable Companies</t>
  </si>
  <si>
    <t>Inox Wind Ltd.</t>
  </si>
  <si>
    <t>Orient Green Power Company Limited</t>
  </si>
  <si>
    <t>Debt</t>
  </si>
  <si>
    <t>Phoolwadi Data as on 31.03.2019</t>
  </si>
  <si>
    <t>Debt/ Equity Ratio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</si>
  <si>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</si>
  <si>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</si>
  <si>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</si>
  <si>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</si>
  <si>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</si>
  <si>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</si>
  <si>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</si>
  <si>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</si>
  <si>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</si>
  <si>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</si>
  <si>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</si>
  <si>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Debt Related Asumptions</t>
  </si>
  <si>
    <t>Total Interest payment</t>
  </si>
  <si>
    <t>₹/ Kwh</t>
  </si>
  <si>
    <t>Auxiliary Consumption</t>
  </si>
  <si>
    <t>Cumulative Growth Rate</t>
  </si>
  <si>
    <t>Tariff Escalation Rate for PPA</t>
  </si>
  <si>
    <t>Life of Plant</t>
  </si>
  <si>
    <t>Years</t>
  </si>
  <si>
    <t>End of Plant Life</t>
  </si>
  <si>
    <t>Start of Long Term PPA</t>
  </si>
  <si>
    <t>PPA Life</t>
  </si>
  <si>
    <t>End of Long Term PPA</t>
  </si>
  <si>
    <t>Short Term PPA Start Date</t>
  </si>
  <si>
    <t>End of Short Term PPA</t>
  </si>
  <si>
    <t>FY Ending Plant Life</t>
  </si>
  <si>
    <t>Escalation Rate</t>
  </si>
  <si>
    <t>₹ in Cr.s</t>
  </si>
  <si>
    <t>Not Considered</t>
  </si>
  <si>
    <t>Tax Rates</t>
  </si>
  <si>
    <t>After 31-03-2022 as per Normal Rate</t>
  </si>
  <si>
    <t>Cost of Debt</t>
  </si>
  <si>
    <t>Expenses</t>
  </si>
  <si>
    <t>Important Dates</t>
  </si>
  <si>
    <t>Plant Capacity</t>
  </si>
  <si>
    <t>MW</t>
  </si>
  <si>
    <t>Working Capital Cycle</t>
  </si>
  <si>
    <t>Trade Receivables</t>
  </si>
  <si>
    <t>Operating Income</t>
  </si>
  <si>
    <t>Trade Payables</t>
  </si>
  <si>
    <t>O&amp;M Expenses</t>
  </si>
  <si>
    <t>D_S_O</t>
  </si>
  <si>
    <t>D_P_O</t>
  </si>
  <si>
    <t>Days</t>
  </si>
  <si>
    <t>Other Income</t>
  </si>
  <si>
    <t>Power Generation</t>
  </si>
  <si>
    <t>Gross Generation</t>
  </si>
  <si>
    <t>Net Generation</t>
  </si>
  <si>
    <t>Tariff Rate</t>
  </si>
  <si>
    <t>Profit &amp; Loss</t>
  </si>
  <si>
    <t>PLF %</t>
  </si>
  <si>
    <t>PLF's Range</t>
  </si>
  <si>
    <t>PLF of FY 21 due to low demand for COVID-19</t>
  </si>
  <si>
    <t>Profit on Sale of Land</t>
  </si>
  <si>
    <t>Total Income</t>
  </si>
  <si>
    <t>Expenses:</t>
  </si>
  <si>
    <t>Operation and Maintenance Expenses</t>
  </si>
  <si>
    <t>Other Costs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</si>
  <si>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</si>
  <si>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</si>
  <si>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</si>
  <si>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</si>
  <si>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</si>
  <si>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</si>
  <si>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</si>
  <si>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</si>
  <si>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Carry Forward Losses</t>
  </si>
  <si>
    <t>Carry Forward Losses (CFL)</t>
  </si>
  <si>
    <t>Taxable Income Pre CFL</t>
  </si>
  <si>
    <t>CFL Used</t>
  </si>
  <si>
    <t>Taxable Income Post CFL</t>
  </si>
  <si>
    <t>Carry Forward Loss Balance</t>
  </si>
  <si>
    <t>Opening CFL Balance</t>
  </si>
  <si>
    <t>Less: Losses Used</t>
  </si>
  <si>
    <t>Plus: Losses Added</t>
  </si>
  <si>
    <t>Less: Losses Expired</t>
  </si>
  <si>
    <t>Closing CFL Balance</t>
  </si>
  <si>
    <t>Tax rate Calculation</t>
  </si>
  <si>
    <t>Tax rate:</t>
  </si>
  <si>
    <t>Education Cess</t>
  </si>
  <si>
    <t>Surcharge</t>
  </si>
  <si>
    <t>Applicable Tax Rate</t>
  </si>
  <si>
    <t>Tax Expenses</t>
  </si>
  <si>
    <t>C. Tax</t>
  </si>
  <si>
    <t>PAT</t>
  </si>
  <si>
    <t>PAT %</t>
  </si>
  <si>
    <t>Normal Tax</t>
  </si>
  <si>
    <t xml:space="preserve">Operating Summary </t>
  </si>
  <si>
    <t>Proj</t>
  </si>
  <si>
    <t>Total Revenue</t>
  </si>
  <si>
    <t>% Growth</t>
  </si>
  <si>
    <t>EBITDA</t>
  </si>
  <si>
    <t>% Sales</t>
  </si>
  <si>
    <t>Less: Taxes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</si>
  <si>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</si>
  <si>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</si>
  <si>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</si>
  <si>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</si>
  <si>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</si>
  <si>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</si>
  <si>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</si>
  <si>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</si>
  <si>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PV of Cash Flows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</si>
  <si>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</si>
  <si>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</si>
  <si>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</si>
  <si>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</si>
  <si>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</si>
  <si>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</si>
  <si>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</si>
  <si>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</si>
  <si>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</si>
  <si>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</si>
  <si>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</si>
  <si>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</si>
  <si>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</si>
  <si>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</si>
  <si>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</si>
  <si>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</si>
  <si>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</si>
  <si>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</si>
  <si>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</si>
  <si>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Raw Material paid cost</t>
  </si>
  <si>
    <t>Working Capital</t>
  </si>
  <si>
    <t>Change in Working Capital</t>
  </si>
  <si>
    <t>VALUE OF EQUITY</t>
  </si>
  <si>
    <t>Estimated Tariff for future Years</t>
  </si>
  <si>
    <t>O&amp;M Cost as per MERC Order</t>
  </si>
  <si>
    <t>O&amp;M Cost per MW</t>
  </si>
  <si>
    <t>Interest</t>
  </si>
  <si>
    <t>O/S Amount</t>
  </si>
  <si>
    <t>For Term Loan</t>
  </si>
  <si>
    <t>Long-term Debt</t>
  </si>
  <si>
    <t>Interest Due</t>
  </si>
  <si>
    <t>From Sale of Power</t>
  </si>
  <si>
    <t>Revenue from Operation:</t>
  </si>
  <si>
    <t>Other Income:</t>
  </si>
  <si>
    <t>Other Expenses as a % of Operating Income</t>
  </si>
  <si>
    <t>Incentive Receivables</t>
  </si>
  <si>
    <t>Plant COD Achieving Date as per PPA</t>
  </si>
  <si>
    <t>Generation Based Incentive based on Net Generation upto 31.03.2026</t>
  </si>
  <si>
    <t>Redeemable Preference Shares</t>
  </si>
  <si>
    <t>Effective Interest Rate</t>
  </si>
  <si>
    <t>Total O&amp;M Cost as per MERC</t>
  </si>
  <si>
    <t>Average Other Expenses</t>
  </si>
  <si>
    <t>From GBI Incentive</t>
  </si>
  <si>
    <t>Capital Creditors</t>
  </si>
  <si>
    <t>Unbilled Revenue</t>
  </si>
  <si>
    <t>Cash &amp; Cash Equivalents</t>
  </si>
  <si>
    <t>page 17</t>
  </si>
  <si>
    <t>page 16</t>
  </si>
  <si>
    <t>page 20</t>
  </si>
  <si>
    <t>page no. 28</t>
  </si>
  <si>
    <t xml:space="preserve">term loan </t>
  </si>
  <si>
    <t>Long-term Debt(term loan)</t>
  </si>
  <si>
    <t xml:space="preserve">ICD with interest </t>
  </si>
  <si>
    <t>Revenue from Operations FY2022</t>
  </si>
  <si>
    <t>Rm</t>
  </si>
  <si>
    <t>-</t>
  </si>
  <si>
    <t>https://kunaldesai.blog/nifty-returns/</t>
  </si>
  <si>
    <t>Expected Market Return (Rm) Nifty Fifty 20-year return 2022</t>
  </si>
  <si>
    <t>(₹ in Crores)</t>
  </si>
  <si>
    <t>Total Expense</t>
  </si>
  <si>
    <t>Depreciation and amortization expense</t>
  </si>
  <si>
    <t>Finance costs</t>
  </si>
  <si>
    <t>Tax expense</t>
  </si>
  <si>
    <t>Wind Power tariff Rate upto 31-10-2028 as per PPA</t>
  </si>
  <si>
    <t>Wind Power tariff Rate after 31-10-2028</t>
  </si>
  <si>
    <t>Company Risk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</si>
</sst>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_(* #,##0.00_);_(* \(#,##0.00\);_(* &quot;-&quot;_);_(@_)"/>
    <numFmt numFmtId="167" formatCode="0.000000%"/>
    <numFmt numFmtId="168" formatCode="0.0%"/>
    <numFmt numFmtId="169" formatCode="0.0"/>
    <numFmt numFmtId="170" formatCode="0.00000"/>
    <numFmt numFmtId="171" formatCode="0.0000"/>
    <numFmt numFmtId="172" formatCode="_(* #,##0.000000000_);_(* \(#,##0.000000000\);_(* &quot;-&quot;??_);_(@_)"/>
    <numFmt numFmtId="173" formatCode="&quot;Less than &quot;0"/>
    <numFmt numFmtId="174" formatCode="&quot;Less than 1 and more than &quot;0"/>
    <numFmt numFmtId="175" formatCode="&quot;More than &quot;0"/>
    <numFmt numFmtId="176" formatCode="_(* #,##0.0_);_(* \(#,##0.0\);_(* &quot;-&quot;??_);_(@_)"/>
    <numFmt numFmtId="177" formatCode="mmm\ yyyy"/>
    <numFmt numFmtId="178" formatCode="[$-409]mmm\-yy;@"/>
    <numFmt numFmtId="179" formatCode="[$-409]d\-mmm\-yy;@"/>
    <numFmt numFmtId="180" formatCode="&quot;₹&quot;\ 0.00&quot; Crores&quot;"/>
    <numFmt numFmtId="181" formatCode="0.000%"/>
    <numFmt numFmtId="182" formatCode="0.00000%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333333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52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6" fillId="0" borderId="0" xfId="0" applyFont="1"/>
    <xf numFmtId="0" fontId="7" fillId="3" borderId="0" xfId="0" applyFont="1" applyFill="1"/>
    <xf numFmtId="0" fontId="8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165" fontId="9" fillId="0" borderId="0" xfId="2" applyFont="1"/>
    <xf numFmtId="0" fontId="6" fillId="0" borderId="1" xfId="0" applyFont="1" applyBorder="1" applyAlignment="1">
      <alignment horizontal="right"/>
    </xf>
    <xf numFmtId="10" fontId="6" fillId="0" borderId="0" xfId="1" applyNumberFormat="1" applyFont="1"/>
    <xf numFmtId="2" fontId="6" fillId="0" borderId="0" xfId="0" applyNumberFormat="1" applyFont="1"/>
    <xf numFmtId="0" fontId="8" fillId="0" borderId="0" xfId="0" applyFont="1"/>
    <xf numFmtId="10" fontId="6" fillId="0" borderId="5" xfId="1" applyNumberFormat="1" applyFont="1" applyBorder="1"/>
    <xf numFmtId="10" fontId="6" fillId="0" borderId="0" xfId="0" applyNumberFormat="1" applyFont="1"/>
    <xf numFmtId="167" fontId="6" fillId="0" borderId="0" xfId="0" applyNumberFormat="1" applyFont="1"/>
    <xf numFmtId="0" fontId="10" fillId="0" borderId="0" xfId="0" applyFont="1"/>
    <xf numFmtId="15" fontId="7" fillId="2" borderId="1" xfId="0" applyNumberFormat="1" applyFont="1" applyFill="1" applyBorder="1"/>
    <xf numFmtId="2" fontId="8" fillId="0" borderId="0" xfId="0" applyNumberFormat="1" applyFont="1"/>
    <xf numFmtId="2" fontId="6" fillId="0" borderId="5" xfId="0" applyNumberFormat="1" applyFont="1" applyBorder="1"/>
    <xf numFmtId="2" fontId="8" fillId="4" borderId="6" xfId="2" applyNumberFormat="1" applyFont="1" applyFill="1" applyBorder="1"/>
    <xf numFmtId="0" fontId="7" fillId="2" borderId="0" xfId="0" applyFont="1" applyFill="1"/>
    <xf numFmtId="0" fontId="8" fillId="4" borderId="1" xfId="0" applyFont="1" applyFill="1" applyBorder="1"/>
    <xf numFmtId="0" fontId="6" fillId="5" borderId="0" xfId="0" applyFont="1" applyFill="1"/>
    <xf numFmtId="0" fontId="0" fillId="5" borderId="0" xfId="0" applyFill="1"/>
    <xf numFmtId="0" fontId="6" fillId="5" borderId="1" xfId="0" applyFont="1" applyFill="1" applyBorder="1"/>
    <xf numFmtId="4" fontId="6" fillId="5" borderId="1" xfId="0" applyNumberFormat="1" applyFont="1" applyFill="1" applyBorder="1"/>
    <xf numFmtId="165" fontId="9" fillId="5" borderId="0" xfId="2" applyFont="1" applyFill="1"/>
    <xf numFmtId="10" fontId="6" fillId="5" borderId="0" xfId="1" applyNumberFormat="1" applyFont="1" applyFill="1"/>
    <xf numFmtId="2" fontId="6" fillId="5" borderId="0" xfId="0" applyNumberFormat="1" applyFont="1" applyFill="1"/>
    <xf numFmtId="2" fontId="8" fillId="5" borderId="0" xfId="0" applyNumberFormat="1" applyFont="1" applyFill="1"/>
    <xf numFmtId="2" fontId="6" fillId="5" borderId="5" xfId="0" applyNumberFormat="1" applyFont="1" applyFill="1" applyBorder="1"/>
    <xf numFmtId="2" fontId="8" fillId="5" borderId="6" xfId="2" applyNumberFormat="1" applyFont="1" applyFill="1" applyBorder="1"/>
    <xf numFmtId="10" fontId="6" fillId="5" borderId="5" xfId="1" applyNumberFormat="1" applyFont="1" applyFill="1" applyBorder="1"/>
    <xf numFmtId="166" fontId="6" fillId="5" borderId="1" xfId="0" applyNumberFormat="1" applyFont="1" applyFill="1" applyBorder="1"/>
    <xf numFmtId="15" fontId="11" fillId="5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168" fontId="8" fillId="4" borderId="1" xfId="0" applyNumberFormat="1" applyFont="1" applyFill="1" applyBorder="1"/>
    <xf numFmtId="2" fontId="8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3" fillId="0" borderId="1" xfId="0" applyFont="1" applyBorder="1"/>
    <xf numFmtId="49" fontId="11" fillId="4" borderId="1" xfId="3" applyNumberFormat="1" applyFont="1" applyFill="1" applyBorder="1"/>
    <xf numFmtId="169" fontId="11" fillId="4" borderId="1" xfId="3" applyNumberFormat="1" applyFont="1" applyFill="1" applyBorder="1"/>
    <xf numFmtId="49" fontId="9" fillId="0" borderId="1" xfId="3" applyNumberFormat="1" applyFont="1" applyBorder="1"/>
    <xf numFmtId="170" fontId="9" fillId="0" borderId="1" xfId="3" applyNumberFormat="1" applyFont="1" applyBorder="1"/>
    <xf numFmtId="169" fontId="9" fillId="0" borderId="1" xfId="3" applyNumberFormat="1" applyFont="1" applyBorder="1"/>
    <xf numFmtId="10" fontId="6" fillId="0" borderId="1" xfId="4" applyNumberFormat="1" applyFont="1" applyBorder="1"/>
    <xf numFmtId="0" fontId="6" fillId="4" borderId="1" xfId="0" applyFont="1" applyFill="1" applyBorder="1"/>
    <xf numFmtId="10" fontId="6" fillId="4" borderId="1" xfId="4" applyNumberFormat="1" applyFont="1" applyFill="1" applyBorder="1" applyAlignment="1"/>
    <xf numFmtId="170" fontId="9" fillId="4" borderId="1" xfId="3" applyNumberFormat="1" applyFont="1" applyFill="1" applyBorder="1"/>
    <xf numFmtId="169" fontId="9" fillId="4" borderId="1" xfId="3" applyNumberFormat="1" applyFont="1" applyFill="1" applyBorder="1"/>
    <xf numFmtId="0" fontId="6" fillId="0" borderId="1" xfId="0" applyFont="1" applyBorder="1" applyAlignment="1">
      <alignment horizontal="center" vertical="center"/>
    </xf>
    <xf numFmtId="171" fontId="6" fillId="4" borderId="1" xfId="0" applyNumberFormat="1" applyFont="1" applyFill="1" applyBorder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vertical="center"/>
    </xf>
    <xf numFmtId="165" fontId="13" fillId="0" borderId="1" xfId="6" applyFont="1" applyBorder="1" applyAlignment="1">
      <alignment vertical="center"/>
    </xf>
    <xf numFmtId="10" fontId="13" fillId="0" borderId="1" xfId="6" applyNumberFormat="1" applyFont="1" applyBorder="1" applyAlignment="1">
      <alignment vertical="center"/>
    </xf>
    <xf numFmtId="17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5" fillId="0" borderId="1" xfId="0" applyFont="1" applyBorder="1"/>
    <xf numFmtId="0" fontId="16" fillId="4" borderId="1" xfId="0" applyFont="1" applyFill="1" applyBorder="1"/>
    <xf numFmtId="10" fontId="16" fillId="4" borderId="1" xfId="0" applyNumberFormat="1" applyFont="1" applyFill="1" applyBorder="1"/>
    <xf numFmtId="165" fontId="16" fillId="4" borderId="1" xfId="0" applyNumberFormat="1" applyFont="1" applyFill="1" applyBorder="1"/>
    <xf numFmtId="165" fontId="13" fillId="0" borderId="0" xfId="0" applyNumberFormat="1" applyFont="1"/>
    <xf numFmtId="10" fontId="13" fillId="0" borderId="0" xfId="0" applyNumberFormat="1" applyFont="1"/>
    <xf numFmtId="0" fontId="17" fillId="4" borderId="0" xfId="0" applyFont="1" applyFill="1"/>
    <xf numFmtId="0" fontId="18" fillId="0" borderId="0" xfId="0" applyFont="1"/>
    <xf numFmtId="165" fontId="0" fillId="0" borderId="0" xfId="0" applyNumberFormat="1"/>
    <xf numFmtId="43" fontId="0" fillId="0" borderId="0" xfId="5" applyFont="1"/>
    <xf numFmtId="10" fontId="0" fillId="0" borderId="0" xfId="0" applyNumberFormat="1"/>
    <xf numFmtId="171" fontId="18" fillId="0" borderId="0" xfId="0" applyNumberFormat="1" applyFont="1"/>
    <xf numFmtId="0" fontId="20" fillId="2" borderId="0" xfId="0" applyFont="1" applyFill="1"/>
    <xf numFmtId="10" fontId="20" fillId="2" borderId="0" xfId="0" applyNumberFormat="1" applyFont="1" applyFill="1"/>
    <xf numFmtId="2" fontId="13" fillId="0" borderId="1" xfId="6" applyNumberFormat="1" applyFont="1" applyBorder="1" applyAlignment="1">
      <alignment vertical="center"/>
    </xf>
    <xf numFmtId="2" fontId="16" fillId="4" borderId="1" xfId="0" applyNumberFormat="1" applyFont="1" applyFill="1" applyBorder="1"/>
    <xf numFmtId="0" fontId="15" fillId="0" borderId="0" xfId="0" applyFont="1"/>
    <xf numFmtId="4" fontId="15" fillId="0" borderId="1" xfId="0" applyNumberFormat="1" applyFont="1" applyBorder="1"/>
    <xf numFmtId="9" fontId="13" fillId="0" borderId="0" xfId="0" applyNumberFormat="1" applyFon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7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/>
    <xf numFmtId="0" fontId="0" fillId="0" borderId="4" xfId="0" applyBorder="1" applyAlignment="1">
      <alignment horizontal="center"/>
    </xf>
    <xf numFmtId="10" fontId="0" fillId="0" borderId="4" xfId="0" applyNumberFormat="1" applyBorder="1"/>
    <xf numFmtId="10" fontId="8" fillId="4" borderId="1" xfId="0" applyNumberFormat="1" applyFont="1" applyFill="1" applyBorder="1"/>
    <xf numFmtId="0" fontId="13" fillId="0" borderId="1" xfId="0" applyFont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43" fontId="13" fillId="0" borderId="0" xfId="0" applyNumberFormat="1" applyFont="1"/>
    <xf numFmtId="9" fontId="0" fillId="0" borderId="0" xfId="1" applyFont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168" fontId="0" fillId="0" borderId="1" xfId="0" applyNumberFormat="1" applyBorder="1"/>
    <xf numFmtId="0" fontId="3" fillId="0" borderId="0" xfId="0" applyFont="1"/>
    <xf numFmtId="164" fontId="1" fillId="0" borderId="1" xfId="0" applyNumberFormat="1" applyFont="1" applyBorder="1"/>
    <xf numFmtId="14" fontId="0" fillId="0" borderId="0" xfId="0" applyNumberFormat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166" fontId="9" fillId="0" borderId="1" xfId="0" applyNumberFormat="1" applyFont="1" applyBorder="1" applyAlignment="1">
      <alignment vertical="center"/>
    </xf>
    <xf numFmtId="9" fontId="6" fillId="0" borderId="1" xfId="0" applyNumberFormat="1" applyFont="1" applyBorder="1"/>
    <xf numFmtId="173" fontId="6" fillId="0" borderId="1" xfId="0" applyNumberFormat="1" applyFont="1" applyBorder="1"/>
    <xf numFmtId="9" fontId="6" fillId="0" borderId="0" xfId="0" applyNumberFormat="1" applyFont="1"/>
    <xf numFmtId="10" fontId="6" fillId="0" borderId="1" xfId="1" applyNumberFormat="1" applyFont="1" applyBorder="1"/>
    <xf numFmtId="174" fontId="6" fillId="0" borderId="1" xfId="0" applyNumberFormat="1" applyFont="1" applyBorder="1"/>
    <xf numFmtId="175" fontId="6" fillId="0" borderId="1" xfId="0" applyNumberFormat="1" applyFont="1" applyBorder="1"/>
    <xf numFmtId="176" fontId="6" fillId="0" borderId="0" xfId="0" applyNumberFormat="1" applyFont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21" fillId="0" borderId="1" xfId="0" applyFont="1" applyBorder="1" applyAlignment="1">
      <alignment horizontal="right"/>
    </xf>
    <xf numFmtId="10" fontId="21" fillId="0" borderId="1" xfId="0" applyNumberFormat="1" applyFont="1" applyBorder="1"/>
    <xf numFmtId="43" fontId="3" fillId="4" borderId="1" xfId="0" applyNumberFormat="1" applyFont="1" applyFill="1" applyBorder="1"/>
    <xf numFmtId="4" fontId="8" fillId="0" borderId="1" xfId="0" applyNumberFormat="1" applyFont="1" applyBorder="1"/>
    <xf numFmtId="9" fontId="10" fillId="0" borderId="1" xfId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left"/>
    </xf>
    <xf numFmtId="15" fontId="8" fillId="4" borderId="1" xfId="0" applyNumberFormat="1" applyFont="1" applyFill="1" applyBorder="1" applyAlignment="1">
      <alignment horizontal="center" vertical="center" wrapText="1"/>
    </xf>
    <xf numFmtId="15" fontId="8" fillId="4" borderId="8" xfId="0" applyNumberFormat="1" applyFont="1" applyFill="1" applyBorder="1" applyAlignment="1">
      <alignment vertical="center"/>
    </xf>
    <xf numFmtId="15" fontId="8" fillId="4" borderId="6" xfId="0" applyNumberFormat="1" applyFont="1" applyFill="1" applyBorder="1" applyAlignment="1">
      <alignment vertical="center" wrapText="1"/>
    </xf>
    <xf numFmtId="15" fontId="8" fillId="4" borderId="7" xfId="0" applyNumberFormat="1" applyFont="1" applyFill="1" applyBorder="1" applyAlignment="1">
      <alignment vertical="center" wrapText="1"/>
    </xf>
    <xf numFmtId="10" fontId="6" fillId="0" borderId="1" xfId="0" applyNumberFormat="1" applyFont="1" applyBorder="1"/>
    <xf numFmtId="179" fontId="8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65" fontId="6" fillId="0" borderId="0" xfId="0" applyNumberFormat="1" applyFont="1"/>
    <xf numFmtId="9" fontId="11" fillId="0" borderId="1" xfId="0" applyNumberFormat="1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5" fontId="8" fillId="0" borderId="1" xfId="2" applyFont="1" applyBorder="1"/>
    <xf numFmtId="10" fontId="8" fillId="0" borderId="1" xfId="1" applyNumberFormat="1" applyFont="1" applyBorder="1"/>
    <xf numFmtId="10" fontId="8" fillId="0" borderId="1" xfId="0" applyNumberFormat="1" applyFont="1" applyBorder="1"/>
    <xf numFmtId="165" fontId="8" fillId="4" borderId="1" xfId="2" applyFont="1" applyFill="1" applyBorder="1"/>
    <xf numFmtId="9" fontId="8" fillId="4" borderId="1" xfId="1" applyFont="1" applyFill="1" applyBorder="1"/>
    <xf numFmtId="10" fontId="8" fillId="4" borderId="1" xfId="1" applyNumberFormat="1" applyFont="1" applyFill="1" applyBorder="1"/>
    <xf numFmtId="178" fontId="7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165" fontId="6" fillId="0" borderId="1" xfId="2" applyFont="1" applyBorder="1"/>
    <xf numFmtId="180" fontId="8" fillId="0" borderId="1" xfId="0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9" fillId="0" borderId="1" xfId="0" applyFont="1" applyBorder="1"/>
    <xf numFmtId="176" fontId="6" fillId="0" borderId="1" xfId="0" applyNumberFormat="1" applyFont="1" applyBorder="1"/>
    <xf numFmtId="0" fontId="1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76" fontId="8" fillId="4" borderId="1" xfId="0" applyNumberFormat="1" applyFont="1" applyFill="1" applyBorder="1"/>
    <xf numFmtId="4" fontId="8" fillId="4" borderId="1" xfId="0" applyNumberFormat="1" applyFont="1" applyFill="1" applyBorder="1"/>
    <xf numFmtId="9" fontId="10" fillId="0" borderId="0" xfId="1" applyFont="1" applyFill="1" applyBorder="1" applyAlignment="1">
      <alignment horizontal="right"/>
    </xf>
    <xf numFmtId="178" fontId="7" fillId="2" borderId="1" xfId="0" applyNumberFormat="1" applyFont="1" applyFill="1" applyBorder="1" applyAlignment="1">
      <alignment horizontal="center"/>
    </xf>
    <xf numFmtId="0" fontId="19" fillId="4" borderId="0" xfId="0" applyFont="1" applyFill="1"/>
    <xf numFmtId="0" fontId="1" fillId="2" borderId="0" xfId="0" applyFont="1" applyFill="1" applyAlignment="1">
      <alignment horizontal="center"/>
    </xf>
    <xf numFmtId="2" fontId="13" fillId="0" borderId="1" xfId="0" applyNumberFormat="1" applyFont="1" applyBorder="1"/>
    <xf numFmtId="0" fontId="0" fillId="0" borderId="1" xfId="0" applyBorder="1" applyAlignment="1">
      <alignment horizontal="left"/>
    </xf>
    <xf numFmtId="2" fontId="0" fillId="0" borderId="9" xfId="0" applyNumberFormat="1" applyBorder="1"/>
    <xf numFmtId="2" fontId="0" fillId="0" borderId="4" xfId="0" applyNumberFormat="1" applyBorder="1"/>
    <xf numFmtId="2" fontId="3" fillId="0" borderId="4" xfId="0" applyNumberFormat="1" applyFont="1" applyBorder="1"/>
    <xf numFmtId="0" fontId="6" fillId="4" borderId="1" xfId="0" applyFont="1" applyFill="1" applyBorder="1" applyAlignment="1">
      <alignment horizontal="center"/>
    </xf>
    <xf numFmtId="2" fontId="3" fillId="7" borderId="1" xfId="0" applyNumberFormat="1" applyFont="1" applyFill="1" applyBorder="1"/>
    <xf numFmtId="10" fontId="0" fillId="0" borderId="0" xfId="1" applyNumberFormat="1" applyFont="1"/>
    <xf numFmtId="181" fontId="0" fillId="0" borderId="0" xfId="0" applyNumberFormat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2" fontId="0" fillId="8" borderId="0" xfId="0" applyNumberFormat="1" applyFill="1"/>
    <xf numFmtId="2" fontId="13" fillId="0" borderId="0" xfId="0" applyNumberFormat="1" applyFont="1"/>
    <xf numFmtId="2" fontId="15" fillId="0" borderId="1" xfId="0" applyNumberFormat="1" applyFont="1" applyBorder="1"/>
    <xf numFmtId="9" fontId="0" fillId="0" borderId="0" xfId="0" applyNumberFormat="1"/>
    <xf numFmtId="182" fontId="0" fillId="0" borderId="0" xfId="0" applyNumberFormat="1"/>
    <xf numFmtId="171" fontId="6" fillId="5" borderId="1" xfId="0" applyNumberFormat="1" applyFont="1" applyFill="1" applyBorder="1"/>
    <xf numFmtId="0" fontId="0" fillId="5" borderId="1" xfId="0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/>
    <xf numFmtId="2" fontId="3" fillId="5" borderId="1" xfId="0" applyNumberFormat="1" applyFont="1" applyFill="1" applyBorder="1"/>
    <xf numFmtId="2" fontId="0" fillId="5" borderId="1" xfId="0" applyNumberFormat="1" applyFill="1" applyBorder="1"/>
    <xf numFmtId="2" fontId="0" fillId="5" borderId="9" xfId="0" applyNumberFormat="1" applyFill="1" applyBorder="1"/>
    <xf numFmtId="2" fontId="0" fillId="5" borderId="4" xfId="0" applyNumberFormat="1" applyFill="1" applyBorder="1"/>
    <xf numFmtId="43" fontId="0" fillId="5" borderId="1" xfId="5" applyFont="1" applyFill="1" applyBorder="1"/>
    <xf numFmtId="2" fontId="3" fillId="5" borderId="4" xfId="0" applyNumberFormat="1" applyFont="1" applyFill="1" applyBorder="1"/>
    <xf numFmtId="10" fontId="21" fillId="5" borderId="1" xfId="0" applyNumberFormat="1" applyFont="1" applyFill="1" applyBorder="1"/>
    <xf numFmtId="43" fontId="3" fillId="5" borderId="1" xfId="0" applyNumberFormat="1" applyFont="1" applyFill="1" applyBorder="1"/>
    <xf numFmtId="2" fontId="6" fillId="5" borderId="1" xfId="0" applyNumberFormat="1" applyFont="1" applyFill="1" applyBorder="1"/>
    <xf numFmtId="0" fontId="9" fillId="5" borderId="0" xfId="0" applyFont="1" applyFill="1" applyAlignment="1">
      <alignment vertical="center"/>
    </xf>
    <xf numFmtId="166" fontId="9" fillId="5" borderId="1" xfId="0" applyNumberFormat="1" applyFont="1" applyFill="1" applyBorder="1" applyAlignment="1">
      <alignment vertical="center"/>
    </xf>
    <xf numFmtId="166" fontId="9" fillId="5" borderId="0" xfId="0" applyNumberFormat="1" applyFont="1" applyFill="1" applyAlignment="1">
      <alignment vertical="center"/>
    </xf>
    <xf numFmtId="10" fontId="6" fillId="5" borderId="1" xfId="1" applyNumberFormat="1" applyFont="1" applyFill="1" applyBorder="1"/>
    <xf numFmtId="176" fontId="6" fillId="5" borderId="0" xfId="0" applyNumberFormat="1" applyFont="1" applyFill="1"/>
    <xf numFmtId="176" fontId="6" fillId="5" borderId="1" xfId="0" applyNumberFormat="1" applyFont="1" applyFill="1" applyBorder="1"/>
    <xf numFmtId="176" fontId="8" fillId="5" borderId="1" xfId="0" applyNumberFormat="1" applyFont="1" applyFill="1" applyBorder="1"/>
    <xf numFmtId="2" fontId="8" fillId="5" borderId="1" xfId="0" applyNumberFormat="1" applyFont="1" applyFill="1" applyBorder="1"/>
    <xf numFmtId="10" fontId="0" fillId="5" borderId="1" xfId="0" applyNumberFormat="1" applyFill="1" applyBorder="1"/>
    <xf numFmtId="0" fontId="23" fillId="0" borderId="0" xfId="7" applyAlignment="1">
      <alignment vertical="center"/>
    </xf>
    <xf numFmtId="0" fontId="24" fillId="0" borderId="1" xfId="0" applyFont="1" applyBorder="1" applyAlignment="1">
      <alignment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10" fontId="21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Border="1"/>
    <xf numFmtId="10" fontId="8" fillId="0" borderId="1" xfId="4" applyNumberFormat="1" applyFont="1" applyFill="1" applyBorder="1" applyAlignment="1"/>
    <xf numFmtId="168" fontId="21" fillId="0" borderId="1" xfId="1" applyNumberFormat="1" applyFont="1" applyFill="1" applyBorder="1" applyAlignment="1">
      <alignment horizontal="right"/>
    </xf>
    <xf numFmtId="9" fontId="21" fillId="0" borderId="1" xfId="1" applyFont="1" applyFill="1" applyBorder="1" applyAlignment="1">
      <alignment horizontal="right"/>
    </xf>
    <xf numFmtId="2" fontId="25" fillId="0" borderId="1" xfId="1" applyNumberFormat="1" applyFont="1" applyBorder="1"/>
    <xf numFmtId="4" fontId="3" fillId="0" borderId="1" xfId="0" applyNumberFormat="1" applyFont="1" applyBorder="1"/>
    <xf numFmtId="4" fontId="3" fillId="4" borderId="1" xfId="0" applyNumberFormat="1" applyFont="1" applyFill="1" applyBorder="1"/>
    <xf numFmtId="0" fontId="8" fillId="4" borderId="0" xfId="0" applyFont="1" applyFill="1"/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0" borderId="8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</cellXfs>
  <cellStyles count="8">
    <cellStyle name="Comma" xfId="5" builtinId="3"/>
    <cellStyle name="Comma 2" xfId="2" xr:uid="{00000000-0005-0000-0000-000001000000}"/>
    <cellStyle name="Comma 3 76" xfId="6" xr:uid="{00000000-0005-0000-0000-000002000000}"/>
    <cellStyle name="Hyperlink" xfId="7" builtinId="8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07" Type="http://schemas.openxmlformats.org/officeDocument/2006/relationships/calcChain" Target="calcChain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102" Type="http://schemas.openxmlformats.org/officeDocument/2006/relationships/externalLink" Target="externalLinks/externalLink9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externalLink" Target="externalLinks/externalLink96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6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Vipin%20Dagar/Enterprise%20Valuation/Ratan%20India/RKA%20Model%20and%20Report/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ind-pc\Milind\June%202002\Mar%202002\Ma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%202021-22\Working\Gaurav\nilgiri%20historical%20balance%20sheet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Mayank%20Sharma/Enterprise%20Valuation/MUM-183%20CGPCPL/RKA%20Model%20&amp;%20Report/Financial%20Model%20CGPCPL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 tax"/>
      <sheetName val="Result"/>
      <sheetName val="P &amp; L (with)"/>
      <sheetName val="Rec-pay"/>
      <sheetName val="Rent"/>
      <sheetName val="Dep co"/>
      <sheetName val="BP&amp;L"/>
      <sheetName val="Dep 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ilgiri RKA P&amp;L Historical"/>
      <sheetName val="Sheet2"/>
      <sheetName val="Sheet3"/>
    </sheetNames>
    <sheetDataSet>
      <sheetData sheetId="0">
        <row r="7">
          <cell r="G7">
            <v>974.14</v>
          </cell>
        </row>
        <row r="10">
          <cell r="G10">
            <v>95.58</v>
          </cell>
        </row>
        <row r="11">
          <cell r="G11">
            <v>635.39</v>
          </cell>
        </row>
        <row r="12">
          <cell r="G12">
            <v>247.67</v>
          </cell>
        </row>
        <row r="13">
          <cell r="G13">
            <v>7.12</v>
          </cell>
        </row>
        <row r="23">
          <cell r="G23">
            <v>23.07</v>
          </cell>
        </row>
      </sheetData>
      <sheetData sheetId="1"/>
      <sheetData sheetId="2"/>
      <sheetData sheetId="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1">
          <cell r="J1">
            <v>6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I87">
            <v>0.29120000000000001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3">
          <cell r="M3">
            <v>44651</v>
          </cell>
        </row>
        <row r="75">
          <cell r="C75" t="str">
            <v>INR Crore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unaldesai.blog/nifty-returns/" TargetMode="Externa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"/>
  <sheetViews>
    <sheetView topLeftCell="C64" workbookViewId="0">
      <selection activeCell="C24" sqref="C24"/>
    </sheetView>
  </sheetViews>
  <sheetFormatPr defaultColWidth="13.28515625" defaultRowHeight="15" x14ac:dyDescent="0.25"/>
  <cols>
    <col min="1" max="1" width="63.5703125" customWidth="1"/>
    <col min="2" max="2" width="23.85546875" bestFit="1" customWidth="1"/>
    <col min="3" max="4" width="13.7109375" bestFit="1" customWidth="1"/>
    <col min="5" max="5" width="7.28515625" customWidth="1"/>
    <col min="6" max="30" width="14.7109375" bestFit="1" customWidth="1"/>
  </cols>
  <sheetData>
    <row r="1" spans="1:39" x14ac:dyDescent="0.25">
      <c r="A1" s="49" t="s">
        <v>52</v>
      </c>
      <c r="B1" s="2"/>
      <c r="C1" s="2"/>
      <c r="D1" s="2"/>
      <c r="E1" s="2"/>
      <c r="F1" s="3">
        <f>E1+1</f>
        <v>1</v>
      </c>
      <c r="G1" s="3">
        <f>F1+1</f>
        <v>2</v>
      </c>
      <c r="H1" s="3">
        <f>G1+1</f>
        <v>3</v>
      </c>
      <c r="I1" s="3">
        <f t="shared" ref="I1:AB2" si="0">H1+1</f>
        <v>4</v>
      </c>
      <c r="J1" s="3">
        <f t="shared" si="0"/>
        <v>5</v>
      </c>
      <c r="K1" s="3">
        <f t="shared" si="0"/>
        <v>6</v>
      </c>
      <c r="L1" s="3">
        <f t="shared" si="0"/>
        <v>7</v>
      </c>
      <c r="M1" s="3">
        <f t="shared" si="0"/>
        <v>8</v>
      </c>
      <c r="N1" s="3">
        <f t="shared" si="0"/>
        <v>9</v>
      </c>
      <c r="O1" s="3">
        <f t="shared" si="0"/>
        <v>10</v>
      </c>
      <c r="P1" s="3">
        <f t="shared" si="0"/>
        <v>11</v>
      </c>
      <c r="Q1" s="3">
        <f t="shared" si="0"/>
        <v>12</v>
      </c>
      <c r="R1" s="3">
        <f t="shared" si="0"/>
        <v>13</v>
      </c>
      <c r="S1" s="3">
        <f t="shared" si="0"/>
        <v>14</v>
      </c>
      <c r="T1" s="3">
        <f t="shared" si="0"/>
        <v>15</v>
      </c>
      <c r="U1" s="3">
        <f t="shared" si="0"/>
        <v>16</v>
      </c>
      <c r="V1" s="3">
        <f t="shared" si="0"/>
        <v>17</v>
      </c>
      <c r="W1" s="3">
        <f t="shared" si="0"/>
        <v>18</v>
      </c>
      <c r="X1" s="3">
        <f t="shared" si="0"/>
        <v>19</v>
      </c>
      <c r="Y1" s="3">
        <f t="shared" si="0"/>
        <v>20</v>
      </c>
      <c r="Z1" s="3">
        <f t="shared" si="0"/>
        <v>21</v>
      </c>
      <c r="AA1" s="3">
        <f t="shared" si="0"/>
        <v>22</v>
      </c>
      <c r="AB1" s="3">
        <f t="shared" si="0"/>
        <v>23</v>
      </c>
      <c r="AC1" s="3">
        <f t="shared" ref="AC1:AC2" si="1">AB1+1</f>
        <v>24</v>
      </c>
      <c r="AD1" s="3">
        <f t="shared" ref="AD1:AE2" si="2">AC1+1</f>
        <v>25</v>
      </c>
      <c r="AE1" s="3">
        <f t="shared" si="2"/>
        <v>26</v>
      </c>
    </row>
    <row r="2" spans="1:39" x14ac:dyDescent="0.25">
      <c r="A2" s="49" t="s">
        <v>53</v>
      </c>
      <c r="B2" s="2"/>
      <c r="C2" s="2"/>
      <c r="D2" s="2"/>
      <c r="E2" s="2"/>
      <c r="F2" s="2"/>
      <c r="G2" s="2"/>
      <c r="H2" s="3"/>
      <c r="I2" s="3"/>
      <c r="J2" s="3"/>
      <c r="K2" s="3"/>
      <c r="L2" s="3">
        <v>0</v>
      </c>
      <c r="M2" s="3">
        <f>L2+1</f>
        <v>1</v>
      </c>
      <c r="N2" s="3">
        <f t="shared" si="0"/>
        <v>2</v>
      </c>
      <c r="O2" s="3">
        <f t="shared" si="0"/>
        <v>3</v>
      </c>
      <c r="P2" s="3">
        <f t="shared" si="0"/>
        <v>4</v>
      </c>
      <c r="Q2" s="3">
        <f t="shared" si="0"/>
        <v>5</v>
      </c>
      <c r="R2" s="3">
        <f t="shared" si="0"/>
        <v>6</v>
      </c>
      <c r="S2" s="3">
        <f t="shared" si="0"/>
        <v>7</v>
      </c>
      <c r="T2" s="3">
        <f t="shared" si="0"/>
        <v>8</v>
      </c>
      <c r="U2" s="3">
        <f t="shared" si="0"/>
        <v>9</v>
      </c>
      <c r="V2" s="3">
        <f t="shared" si="0"/>
        <v>10</v>
      </c>
      <c r="W2" s="3">
        <f t="shared" si="0"/>
        <v>11</v>
      </c>
      <c r="X2" s="3">
        <f t="shared" si="0"/>
        <v>12</v>
      </c>
      <c r="Y2" s="3">
        <f t="shared" si="0"/>
        <v>13</v>
      </c>
      <c r="Z2" s="3">
        <f t="shared" si="0"/>
        <v>14</v>
      </c>
      <c r="AA2" s="3">
        <f t="shared" si="0"/>
        <v>15</v>
      </c>
      <c r="AB2" s="3">
        <f t="shared" si="0"/>
        <v>16</v>
      </c>
      <c r="AC2" s="3">
        <f t="shared" si="1"/>
        <v>17</v>
      </c>
      <c r="AD2" s="3">
        <f t="shared" si="2"/>
        <v>18</v>
      </c>
      <c r="AE2" s="3">
        <f t="shared" si="2"/>
        <v>19</v>
      </c>
    </row>
    <row r="3" spans="1:39" x14ac:dyDescent="0.25">
      <c r="A3" s="49" t="s">
        <v>0</v>
      </c>
      <c r="B3" s="2"/>
      <c r="C3" s="2"/>
      <c r="D3" s="2"/>
      <c r="E3" s="2"/>
      <c r="F3" s="3">
        <f>F4-C7</f>
        <v>152</v>
      </c>
      <c r="G3" s="3">
        <f t="shared" ref="G3:J3" si="3">G4-F4</f>
        <v>365</v>
      </c>
      <c r="H3" s="3">
        <f t="shared" si="3"/>
        <v>365</v>
      </c>
      <c r="I3" s="3">
        <f t="shared" si="3"/>
        <v>365</v>
      </c>
      <c r="J3" s="3">
        <f t="shared" si="3"/>
        <v>366</v>
      </c>
      <c r="K3" s="3">
        <f>K4-J4</f>
        <v>365</v>
      </c>
      <c r="L3" s="3">
        <f t="shared" ref="L3:W3" si="4">L4-K4</f>
        <v>365</v>
      </c>
      <c r="M3" s="3">
        <f t="shared" si="4"/>
        <v>365</v>
      </c>
      <c r="N3" s="3">
        <f t="shared" si="4"/>
        <v>366</v>
      </c>
      <c r="O3" s="3">
        <f t="shared" si="4"/>
        <v>365</v>
      </c>
      <c r="P3" s="3">
        <f t="shared" si="4"/>
        <v>365</v>
      </c>
      <c r="Q3" s="3">
        <f t="shared" si="4"/>
        <v>365</v>
      </c>
      <c r="R3" s="3">
        <f t="shared" si="4"/>
        <v>366</v>
      </c>
      <c r="S3" s="3">
        <f t="shared" si="4"/>
        <v>365</v>
      </c>
      <c r="T3" s="3">
        <f t="shared" si="4"/>
        <v>365</v>
      </c>
      <c r="U3" s="3">
        <f t="shared" si="4"/>
        <v>365</v>
      </c>
      <c r="V3" s="3">
        <f t="shared" si="4"/>
        <v>366</v>
      </c>
      <c r="W3" s="3">
        <f t="shared" si="4"/>
        <v>365</v>
      </c>
      <c r="X3" s="3">
        <f t="shared" ref="X3" si="5">X4-W4</f>
        <v>365</v>
      </c>
      <c r="Y3" s="3">
        <f t="shared" ref="Y3" si="6">Y4-X4</f>
        <v>365</v>
      </c>
      <c r="Z3" s="3">
        <f t="shared" ref="Z3" si="7">Z4-Y4</f>
        <v>366</v>
      </c>
      <c r="AA3" s="3">
        <f t="shared" ref="AA3" si="8">AA4-Z4</f>
        <v>365</v>
      </c>
      <c r="AB3" s="3">
        <f t="shared" ref="AB3" si="9">AB4-AA4</f>
        <v>365</v>
      </c>
      <c r="AC3" s="3">
        <f t="shared" ref="AC3" si="10">AC4-AB4</f>
        <v>365</v>
      </c>
      <c r="AD3" s="3">
        <f t="shared" ref="AD3" si="11">AD4-AC4</f>
        <v>366</v>
      </c>
      <c r="AE3" s="3">
        <f>C9-AD4</f>
        <v>213</v>
      </c>
    </row>
    <row r="4" spans="1:39" x14ac:dyDescent="0.25">
      <c r="A4" s="49" t="s">
        <v>1</v>
      </c>
      <c r="B4" s="2"/>
      <c r="C4" s="2"/>
      <c r="D4" s="2"/>
      <c r="E4" s="2"/>
      <c r="F4" s="4">
        <f>DATE(IF(MONTH(C7)&lt;=3,YEAR(C7),YEAR(C7)+1),3,31)</f>
        <v>42460</v>
      </c>
      <c r="G4" s="4">
        <f t="shared" ref="G4" si="12">EDATE(F4,12)</f>
        <v>42825</v>
      </c>
      <c r="H4" s="4">
        <f>EDATE(G4,12)</f>
        <v>43190</v>
      </c>
      <c r="I4" s="4">
        <f t="shared" ref="I4:AB4" si="13">EDATE(H4,12)</f>
        <v>43555</v>
      </c>
      <c r="J4" s="4">
        <f t="shared" si="13"/>
        <v>43921</v>
      </c>
      <c r="K4" s="4">
        <f t="shared" si="13"/>
        <v>44286</v>
      </c>
      <c r="L4" s="4">
        <f t="shared" si="13"/>
        <v>44651</v>
      </c>
      <c r="M4" s="4">
        <f t="shared" si="13"/>
        <v>45016</v>
      </c>
      <c r="N4" s="4">
        <f t="shared" si="13"/>
        <v>45382</v>
      </c>
      <c r="O4" s="4">
        <f t="shared" si="13"/>
        <v>45747</v>
      </c>
      <c r="P4" s="4">
        <f t="shared" si="13"/>
        <v>46112</v>
      </c>
      <c r="Q4" s="4">
        <f t="shared" si="13"/>
        <v>46477</v>
      </c>
      <c r="R4" s="4">
        <f t="shared" si="13"/>
        <v>46843</v>
      </c>
      <c r="S4" s="4">
        <f t="shared" si="13"/>
        <v>47208</v>
      </c>
      <c r="T4" s="4">
        <f t="shared" si="13"/>
        <v>47573</v>
      </c>
      <c r="U4" s="4">
        <f t="shared" si="13"/>
        <v>47938</v>
      </c>
      <c r="V4" s="4">
        <f t="shared" si="13"/>
        <v>48304</v>
      </c>
      <c r="W4" s="4">
        <f t="shared" si="13"/>
        <v>48669</v>
      </c>
      <c r="X4" s="4">
        <f t="shared" si="13"/>
        <v>49034</v>
      </c>
      <c r="Y4" s="4">
        <f t="shared" si="13"/>
        <v>49399</v>
      </c>
      <c r="Z4" s="4">
        <f t="shared" si="13"/>
        <v>49765</v>
      </c>
      <c r="AA4" s="4">
        <f t="shared" si="13"/>
        <v>50130</v>
      </c>
      <c r="AB4" s="4">
        <f t="shared" si="13"/>
        <v>50495</v>
      </c>
      <c r="AC4" s="4">
        <f t="shared" ref="AC4" si="14">EDATE(AB4,12)</f>
        <v>50860</v>
      </c>
      <c r="AD4" s="4">
        <f t="shared" ref="AD4:AE4" si="15">EDATE(AC4,12)</f>
        <v>51226</v>
      </c>
      <c r="AE4" s="4">
        <f t="shared" si="15"/>
        <v>51591</v>
      </c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119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109" t="s">
        <v>128</v>
      </c>
    </row>
    <row r="7" spans="1:39" x14ac:dyDescent="0.25">
      <c r="A7" s="2" t="s">
        <v>234</v>
      </c>
      <c r="B7" s="2"/>
      <c r="C7" s="97">
        <v>42308</v>
      </c>
      <c r="D7" t="s">
        <v>244</v>
      </c>
    </row>
    <row r="8" spans="1:39" x14ac:dyDescent="0.25">
      <c r="A8" s="2" t="s">
        <v>112</v>
      </c>
      <c r="B8" s="3" t="s">
        <v>113</v>
      </c>
      <c r="C8" s="2">
        <v>25</v>
      </c>
    </row>
    <row r="9" spans="1:39" x14ac:dyDescent="0.25">
      <c r="A9" s="2" t="s">
        <v>114</v>
      </c>
      <c r="B9" s="2"/>
      <c r="C9" s="97">
        <f>EDATE(C7,(12*C8))-1</f>
        <v>51439</v>
      </c>
    </row>
    <row r="10" spans="1:39" x14ac:dyDescent="0.25">
      <c r="A10" s="2" t="s">
        <v>120</v>
      </c>
      <c r="B10" s="2"/>
      <c r="C10" s="97">
        <f>DATE(IF(MONTH(C9)&gt;3,YEAR(C9)+1,YEAR(C9)),3,31)</f>
        <v>51591</v>
      </c>
    </row>
    <row r="11" spans="1:39" x14ac:dyDescent="0.25">
      <c r="A11" s="2" t="s">
        <v>115</v>
      </c>
      <c r="B11" s="2"/>
      <c r="C11" s="97">
        <f>C7</f>
        <v>42308</v>
      </c>
    </row>
    <row r="12" spans="1:39" x14ac:dyDescent="0.25">
      <c r="A12" s="2" t="s">
        <v>116</v>
      </c>
      <c r="B12" s="3" t="s">
        <v>113</v>
      </c>
      <c r="C12" s="2">
        <v>13</v>
      </c>
      <c r="D12" t="s">
        <v>245</v>
      </c>
    </row>
    <row r="13" spans="1:39" x14ac:dyDescent="0.25">
      <c r="A13" s="2" t="s">
        <v>117</v>
      </c>
      <c r="B13" s="3"/>
      <c r="C13" s="97">
        <f>EDATE(C11,(12*C12))-1</f>
        <v>47056</v>
      </c>
    </row>
    <row r="14" spans="1:39" x14ac:dyDescent="0.25">
      <c r="A14" s="2" t="s">
        <v>118</v>
      </c>
      <c r="B14" s="3" t="s">
        <v>113</v>
      </c>
      <c r="C14" s="97">
        <f>EDATE(C13,0)+1</f>
        <v>47057</v>
      </c>
    </row>
    <row r="15" spans="1:39" x14ac:dyDescent="0.25">
      <c r="A15" s="2" t="s">
        <v>119</v>
      </c>
      <c r="B15" s="3"/>
      <c r="C15" s="97">
        <f>C10</f>
        <v>51591</v>
      </c>
    </row>
    <row r="16" spans="1:39" x14ac:dyDescent="0.25">
      <c r="B16" s="100"/>
      <c r="C16" s="121"/>
      <c r="G16" s="80"/>
    </row>
    <row r="17" spans="1:31" x14ac:dyDescent="0.25">
      <c r="B17" s="100"/>
      <c r="C17" s="121"/>
    </row>
    <row r="18" spans="1:31" x14ac:dyDescent="0.25">
      <c r="A18" s="2" t="s">
        <v>129</v>
      </c>
      <c r="B18" s="3" t="s">
        <v>130</v>
      </c>
      <c r="C18" s="2">
        <v>8</v>
      </c>
    </row>
    <row r="19" spans="1:31" x14ac:dyDescent="0.25">
      <c r="A19" s="2" t="s">
        <v>146</v>
      </c>
      <c r="B19" s="3" t="s">
        <v>57</v>
      </c>
      <c r="C19" s="101">
        <v>0.22</v>
      </c>
      <c r="D19" t="s">
        <v>246</v>
      </c>
    </row>
    <row r="20" spans="1:31" x14ac:dyDescent="0.25">
      <c r="A20" s="2" t="s">
        <v>147</v>
      </c>
      <c r="B20" s="3"/>
      <c r="C20" s="101">
        <v>0.15</v>
      </c>
    </row>
    <row r="21" spans="1:31" x14ac:dyDescent="0.25">
      <c r="A21" s="2" t="s">
        <v>109</v>
      </c>
      <c r="B21" s="3" t="s">
        <v>57</v>
      </c>
      <c r="C21" s="96">
        <v>5.0000000000000001E-4</v>
      </c>
    </row>
    <row r="23" spans="1:31" x14ac:dyDescent="0.25">
      <c r="A23" s="98" t="s">
        <v>111</v>
      </c>
    </row>
    <row r="24" spans="1:31" x14ac:dyDescent="0.25">
      <c r="A24" s="2" t="s">
        <v>261</v>
      </c>
      <c r="B24" s="99" t="s">
        <v>108</v>
      </c>
      <c r="C24" s="92">
        <v>5.7</v>
      </c>
      <c r="D24" s="2" t="s">
        <v>247</v>
      </c>
      <c r="E24" s="2"/>
      <c r="F24" s="2"/>
      <c r="G24" s="2"/>
      <c r="H24" s="2"/>
      <c r="I24" s="2"/>
      <c r="J24" s="2">
        <v>2.52</v>
      </c>
      <c r="K24" s="92">
        <v>2.59</v>
      </c>
      <c r="L24" s="92">
        <f>K24*(1+$C$25)</f>
        <v>2.2709308780190036</v>
      </c>
      <c r="M24" s="92">
        <f t="shared" ref="M24:AE24" si="16">L24*(1+$C$25)</f>
        <v>1.9911687462317231</v>
      </c>
      <c r="N24" s="92">
        <f t="shared" si="16"/>
        <v>1.7458712699474925</v>
      </c>
      <c r="O24" s="92">
        <f t="shared" si="16"/>
        <v>1.5307926548146766</v>
      </c>
      <c r="P24" s="92">
        <f t="shared" si="16"/>
        <v>1.3422101573989711</v>
      </c>
      <c r="Q24" s="92">
        <f t="shared" si="16"/>
        <v>1.1768596491228072</v>
      </c>
      <c r="R24" s="92">
        <f t="shared" si="16"/>
        <v>1.031879118257758</v>
      </c>
      <c r="S24" s="92">
        <f t="shared" si="16"/>
        <v>0.90475913205967795</v>
      </c>
      <c r="T24" s="92">
        <f t="shared" si="16"/>
        <v>0.7932994016077205</v>
      </c>
      <c r="U24" s="92">
        <f t="shared" si="16"/>
        <v>0.69557069753859879</v>
      </c>
      <c r="V24" s="92">
        <f t="shared" si="16"/>
        <v>0.60988145748479572</v>
      </c>
      <c r="W24" s="92">
        <f t="shared" si="16"/>
        <v>0.53474850723299494</v>
      </c>
      <c r="X24" s="92">
        <f t="shared" si="16"/>
        <v>0.46887138882238483</v>
      </c>
      <c r="Y24" s="92">
        <f t="shared" si="16"/>
        <v>0.4111098512341344</v>
      </c>
      <c r="Z24" s="92">
        <f t="shared" si="16"/>
        <v>0.36046411406385903</v>
      </c>
      <c r="AA24" s="92">
        <f t="shared" si="16"/>
        <v>0.31605756256578443</v>
      </c>
      <c r="AB24" s="92">
        <f t="shared" si="16"/>
        <v>0.27712157454133707</v>
      </c>
      <c r="AC24" s="92">
        <f t="shared" si="16"/>
        <v>0.24298221644446616</v>
      </c>
      <c r="AD24" s="92">
        <f t="shared" si="16"/>
        <v>0.2130485784298205</v>
      </c>
      <c r="AE24" s="92">
        <f t="shared" si="16"/>
        <v>0.18680254643796634</v>
      </c>
    </row>
    <row r="25" spans="1:31" x14ac:dyDescent="0.25">
      <c r="A25" s="2" t="s">
        <v>110</v>
      </c>
      <c r="B25" s="102" t="s">
        <v>57</v>
      </c>
      <c r="C25" s="103">
        <f>(K24/C24)^(1/COUNT(C4:K4))-1</f>
        <v>-0.12319271118957387</v>
      </c>
      <c r="L25">
        <f>K24*(1+$G$16)</f>
        <v>2.59</v>
      </c>
      <c r="M25">
        <f>L25*(1+$G$16)</f>
        <v>2.59</v>
      </c>
    </row>
    <row r="26" spans="1:31" x14ac:dyDescent="0.25">
      <c r="A26" s="2" t="s">
        <v>262</v>
      </c>
      <c r="B26" s="99" t="s">
        <v>108</v>
      </c>
      <c r="C26" s="2">
        <v>2.75</v>
      </c>
    </row>
    <row r="28" spans="1:31" x14ac:dyDescent="0.25">
      <c r="A28" s="2" t="s">
        <v>221</v>
      </c>
      <c r="B28" s="99" t="s">
        <v>108</v>
      </c>
      <c r="C28" s="2"/>
      <c r="D28" s="2"/>
      <c r="E28" s="2"/>
      <c r="F28" s="2"/>
      <c r="G28" s="2"/>
      <c r="H28" s="2"/>
      <c r="I28" s="2"/>
      <c r="J28" s="124">
        <f>$C$24</f>
        <v>5.7</v>
      </c>
      <c r="K28" s="124">
        <f>$C$24</f>
        <v>5.7</v>
      </c>
      <c r="L28" s="124">
        <f t="shared" ref="L28:R28" si="17">$C$24</f>
        <v>5.7</v>
      </c>
      <c r="M28" s="124">
        <f t="shared" si="17"/>
        <v>5.7</v>
      </c>
      <c r="N28" s="124">
        <f t="shared" si="17"/>
        <v>5.7</v>
      </c>
      <c r="O28" s="124">
        <f t="shared" si="17"/>
        <v>5.7</v>
      </c>
      <c r="P28" s="124">
        <f t="shared" si="17"/>
        <v>5.7</v>
      </c>
      <c r="Q28" s="124">
        <f t="shared" si="17"/>
        <v>5.7</v>
      </c>
      <c r="R28" s="124">
        <f t="shared" si="17"/>
        <v>5.7</v>
      </c>
      <c r="S28" s="124">
        <f>(C24*(7/12))+(C26*(5/12))</f>
        <v>4.4708333333333332</v>
      </c>
      <c r="T28" s="124">
        <f t="shared" ref="T28:U28" si="18">$C$26</f>
        <v>2.75</v>
      </c>
      <c r="U28" s="124">
        <f t="shared" si="18"/>
        <v>2.75</v>
      </c>
      <c r="V28" s="124">
        <f>$C$26</f>
        <v>2.75</v>
      </c>
      <c r="W28" s="124">
        <f t="shared" ref="W28:AE28" si="19">$C$26</f>
        <v>2.75</v>
      </c>
      <c r="X28" s="124">
        <f t="shared" si="19"/>
        <v>2.75</v>
      </c>
      <c r="Y28" s="124">
        <f t="shared" si="19"/>
        <v>2.75</v>
      </c>
      <c r="Z28" s="124">
        <f t="shared" si="19"/>
        <v>2.75</v>
      </c>
      <c r="AA28" s="124">
        <f t="shared" si="19"/>
        <v>2.75</v>
      </c>
      <c r="AB28" s="124">
        <f t="shared" si="19"/>
        <v>2.75</v>
      </c>
      <c r="AC28" s="124">
        <f t="shared" si="19"/>
        <v>2.75</v>
      </c>
      <c r="AD28" s="124">
        <f t="shared" si="19"/>
        <v>2.75</v>
      </c>
      <c r="AE28" s="124">
        <f t="shared" si="19"/>
        <v>2.75</v>
      </c>
    </row>
    <row r="30" spans="1:31" x14ac:dyDescent="0.25">
      <c r="A30" s="98" t="s">
        <v>235</v>
      </c>
      <c r="B30" s="99" t="s">
        <v>108</v>
      </c>
      <c r="C30" s="124">
        <v>0.5</v>
      </c>
    </row>
    <row r="32" spans="1:31" x14ac:dyDescent="0.25">
      <c r="A32" s="109" t="s">
        <v>139</v>
      </c>
      <c r="B32" s="2"/>
      <c r="C32" s="2" t="s">
        <v>123</v>
      </c>
    </row>
    <row r="34" spans="1:13" x14ac:dyDescent="0.25">
      <c r="A34" s="109" t="s">
        <v>106</v>
      </c>
      <c r="C34" s="187" t="s">
        <v>224</v>
      </c>
      <c r="D34" s="187" t="s">
        <v>225</v>
      </c>
    </row>
    <row r="35" spans="1:13" x14ac:dyDescent="0.25">
      <c r="A35" s="2" t="s">
        <v>236</v>
      </c>
      <c r="B35" s="3" t="s">
        <v>57</v>
      </c>
      <c r="C35" s="96">
        <v>0.12</v>
      </c>
      <c r="D35">
        <v>17.225999999999999</v>
      </c>
      <c r="E35" s="92">
        <f>D35+D38</f>
        <v>28.5336</v>
      </c>
    </row>
    <row r="36" spans="1:13" x14ac:dyDescent="0.25">
      <c r="A36" s="2" t="s">
        <v>237</v>
      </c>
      <c r="B36" s="3" t="s">
        <v>57</v>
      </c>
      <c r="C36" s="238">
        <f>C35</f>
        <v>0.12</v>
      </c>
    </row>
    <row r="37" spans="1:13" x14ac:dyDescent="0.25">
      <c r="A37" t="s">
        <v>248</v>
      </c>
      <c r="C37" s="238">
        <f>C36</f>
        <v>0.12</v>
      </c>
      <c r="D37" s="2">
        <v>25.207899999999999</v>
      </c>
      <c r="G37" s="112"/>
    </row>
    <row r="38" spans="1:13" x14ac:dyDescent="0.25">
      <c r="A38" s="2" t="s">
        <v>250</v>
      </c>
      <c r="B38" s="3" t="s">
        <v>57</v>
      </c>
      <c r="C38" s="96">
        <v>0.12</v>
      </c>
      <c r="D38" s="92">
        <v>11.307600000000001</v>
      </c>
    </row>
    <row r="40" spans="1:13" x14ac:dyDescent="0.25">
      <c r="A40" s="48" t="s">
        <v>62</v>
      </c>
    </row>
    <row r="41" spans="1:13" x14ac:dyDescent="0.25">
      <c r="A41" s="50" t="s">
        <v>63</v>
      </c>
      <c r="B41" s="51" t="s">
        <v>64</v>
      </c>
    </row>
    <row r="42" spans="1:13" x14ac:dyDescent="0.25">
      <c r="A42" s="52" t="s">
        <v>65</v>
      </c>
      <c r="B42" s="53">
        <v>100</v>
      </c>
      <c r="C42" s="54">
        <v>106.9</v>
      </c>
      <c r="D42" s="54">
        <v>112.5</v>
      </c>
      <c r="E42" s="54">
        <v>113.9</v>
      </c>
      <c r="F42" s="54">
        <v>109.7</v>
      </c>
      <c r="G42" s="54">
        <v>111.6</v>
      </c>
      <c r="H42" s="54">
        <v>114.9</v>
      </c>
      <c r="I42" s="54">
        <v>119.8</v>
      </c>
      <c r="J42" s="54">
        <v>121.8</v>
      </c>
      <c r="K42" s="54">
        <v>123.4</v>
      </c>
      <c r="L42" s="54">
        <v>139.4</v>
      </c>
      <c r="M42" s="54">
        <v>152.5</v>
      </c>
    </row>
    <row r="43" spans="1:13" x14ac:dyDescent="0.25">
      <c r="A43" s="52"/>
      <c r="B43" s="53"/>
      <c r="C43" s="55">
        <f>+C42/B42-1</f>
        <v>6.899999999999995E-2</v>
      </c>
      <c r="D43" s="55">
        <f t="shared" ref="D43:I43" si="20">+D42/C42-1</f>
        <v>5.2385406922357269E-2</v>
      </c>
      <c r="E43" s="55">
        <f>+E42/D42-1</f>
        <v>1.244444444444448E-2</v>
      </c>
      <c r="F43" s="55">
        <f t="shared" si="20"/>
        <v>-3.687445127304656E-2</v>
      </c>
      <c r="G43" s="55">
        <f t="shared" si="20"/>
        <v>1.7319963536918781E-2</v>
      </c>
      <c r="H43" s="55">
        <f t="shared" si="20"/>
        <v>2.9569892473118475E-2</v>
      </c>
      <c r="I43" s="55">
        <f t="shared" si="20"/>
        <v>4.2645778938207091E-2</v>
      </c>
      <c r="J43" s="55">
        <f t="shared" ref="J43" si="21">+J42/I42-1</f>
        <v>1.6694490818029983E-2</v>
      </c>
      <c r="K43" s="55">
        <f t="shared" ref="K43:L43" si="22">+K42/J42-1</f>
        <v>1.3136288998357948E-2</v>
      </c>
      <c r="L43" s="55">
        <f t="shared" si="22"/>
        <v>0.12965964343598047</v>
      </c>
      <c r="M43" s="55">
        <f t="shared" ref="M43" si="23">+M42/L42-1</f>
        <v>9.3974175035868024E-2</v>
      </c>
    </row>
    <row r="44" spans="1:13" x14ac:dyDescent="0.25">
      <c r="A44" s="56" t="s">
        <v>66</v>
      </c>
      <c r="B44" s="57">
        <f>(M42/B42)^(1/COUNT(C42:M42))-1</f>
        <v>3.9108493961018453E-2</v>
      </c>
      <c r="C44" s="58"/>
      <c r="D44" s="59"/>
      <c r="E44" s="59"/>
      <c r="F44" s="59"/>
      <c r="G44" s="59"/>
      <c r="H44" s="59"/>
      <c r="I44" s="59"/>
    </row>
    <row r="45" spans="1:13" x14ac:dyDescent="0.25">
      <c r="A45" s="29" t="s">
        <v>67</v>
      </c>
      <c r="B45" s="239">
        <f>B44</f>
        <v>3.9108493961018453E-2</v>
      </c>
      <c r="C45" s="58"/>
      <c r="D45" s="59"/>
      <c r="E45" s="59"/>
      <c r="F45" s="59"/>
      <c r="G45" s="59"/>
      <c r="H45" s="59"/>
      <c r="I45" s="59"/>
      <c r="K45" s="196"/>
    </row>
    <row r="46" spans="1:13" x14ac:dyDescent="0.25">
      <c r="J46" s="80"/>
    </row>
    <row r="47" spans="1:13" x14ac:dyDescent="0.25">
      <c r="A47" s="48" t="s">
        <v>68</v>
      </c>
      <c r="B47" s="60" t="s">
        <v>57</v>
      </c>
      <c r="C47" s="104">
        <f>B45</f>
        <v>3.9108493961018453E-2</v>
      </c>
      <c r="I47" s="195"/>
      <c r="K47" s="195"/>
    </row>
    <row r="48" spans="1:13" x14ac:dyDescent="0.25">
      <c r="B48" s="117"/>
    </row>
    <row r="49" spans="1:12" x14ac:dyDescent="0.25">
      <c r="A49" s="108" t="s">
        <v>127</v>
      </c>
      <c r="B49" s="117"/>
    </row>
    <row r="51" spans="1:12" x14ac:dyDescent="0.25">
      <c r="A51" s="110" t="s">
        <v>222</v>
      </c>
      <c r="B51" s="100"/>
    </row>
    <row r="52" spans="1:12" x14ac:dyDescent="0.25">
      <c r="A52" s="2" t="s">
        <v>223</v>
      </c>
      <c r="B52" s="3" t="s">
        <v>57</v>
      </c>
      <c r="C52" s="124">
        <v>7.7200000000000005E-2</v>
      </c>
    </row>
    <row r="53" spans="1:12" x14ac:dyDescent="0.25">
      <c r="A53" s="2" t="s">
        <v>238</v>
      </c>
      <c r="B53" s="3"/>
      <c r="C53" s="124">
        <f>C52*C18</f>
        <v>0.61760000000000004</v>
      </c>
    </row>
    <row r="54" spans="1:12" x14ac:dyDescent="0.25">
      <c r="A54" s="2" t="s">
        <v>121</v>
      </c>
      <c r="B54" s="3" t="s">
        <v>57</v>
      </c>
      <c r="C54" s="115">
        <v>0.05</v>
      </c>
    </row>
    <row r="55" spans="1:12" x14ac:dyDescent="0.25">
      <c r="B55" s="100"/>
      <c r="C55" s="116"/>
      <c r="I55">
        <v>2019</v>
      </c>
      <c r="J55">
        <v>2020</v>
      </c>
      <c r="K55">
        <v>2021</v>
      </c>
      <c r="L55">
        <v>2022</v>
      </c>
    </row>
    <row r="56" spans="1:12" x14ac:dyDescent="0.25">
      <c r="A56" s="2" t="s">
        <v>239</v>
      </c>
      <c r="B56" s="44" t="s">
        <v>59</v>
      </c>
      <c r="C56" s="92">
        <f>AVERAGE(J56:L56)</f>
        <v>0.38159999999999999</v>
      </c>
      <c r="I56">
        <v>7.2099999999999997E-2</v>
      </c>
      <c r="J56">
        <v>0.36080000000000001</v>
      </c>
      <c r="K56">
        <v>0.4728</v>
      </c>
      <c r="L56">
        <v>0.31119999999999998</v>
      </c>
    </row>
    <row r="57" spans="1:12" ht="27" customHeight="1" x14ac:dyDescent="0.25">
      <c r="A57" s="2" t="s">
        <v>232</v>
      </c>
      <c r="B57" s="3" t="s">
        <v>57</v>
      </c>
      <c r="C57" s="118">
        <v>0.05</v>
      </c>
    </row>
    <row r="59" spans="1:12" x14ac:dyDescent="0.25">
      <c r="A59" s="48" t="s">
        <v>56</v>
      </c>
      <c r="B59" s="44" t="s">
        <v>57</v>
      </c>
      <c r="C59" s="46">
        <v>0.03</v>
      </c>
    </row>
    <row r="60" spans="1:12" x14ac:dyDescent="0.25">
      <c r="A60" s="43" t="s">
        <v>58</v>
      </c>
      <c r="B60" s="44" t="s">
        <v>59</v>
      </c>
      <c r="C60" s="45">
        <f>'Depreciation Schedule'!D55/10^2</f>
        <v>2.6920999999999999</v>
      </c>
    </row>
    <row r="61" spans="1:12" x14ac:dyDescent="0.25">
      <c r="A61" s="43" t="s">
        <v>60</v>
      </c>
      <c r="B61" s="44" t="s">
        <v>59</v>
      </c>
      <c r="C61" s="47">
        <f>+C60*(1+C59)^(C8)</f>
        <v>5.6366595644221089</v>
      </c>
    </row>
    <row r="62" spans="1:12" x14ac:dyDescent="0.25">
      <c r="A62" s="43" t="s">
        <v>61</v>
      </c>
      <c r="B62" s="44" t="s">
        <v>59</v>
      </c>
      <c r="C62" s="47">
        <f>+C61-C60</f>
        <v>2.944559564422109</v>
      </c>
    </row>
    <row r="64" spans="1:12" x14ac:dyDescent="0.25">
      <c r="A64" s="113" t="s">
        <v>124</v>
      </c>
    </row>
    <row r="65" spans="1:13" x14ac:dyDescent="0.25">
      <c r="A65" s="43" t="s">
        <v>125</v>
      </c>
      <c r="B65" s="44" t="s">
        <v>57</v>
      </c>
      <c r="C65" s="96">
        <f>22%*(1+10%)*(1+4%)</f>
        <v>0.25168000000000001</v>
      </c>
    </row>
    <row r="67" spans="1:13" x14ac:dyDescent="0.25">
      <c r="A67" s="114" t="s">
        <v>131</v>
      </c>
    </row>
    <row r="68" spans="1:13" x14ac:dyDescent="0.25">
      <c r="J68">
        <v>20</v>
      </c>
      <c r="K68">
        <v>21</v>
      </c>
      <c r="L68">
        <v>22</v>
      </c>
    </row>
    <row r="69" spans="1:13" x14ac:dyDescent="0.25">
      <c r="A69" s="2" t="s">
        <v>132</v>
      </c>
      <c r="B69" s="2"/>
      <c r="C69" s="2"/>
      <c r="D69" s="2"/>
      <c r="E69" s="2"/>
      <c r="F69" s="2"/>
      <c r="G69" s="2"/>
      <c r="H69" s="197">
        <v>3.3210000000000002</v>
      </c>
      <c r="I69" s="197">
        <v>2.4327000000000001</v>
      </c>
      <c r="J69" s="197">
        <v>0.625</v>
      </c>
      <c r="K69" s="197">
        <v>4.5054999999999996</v>
      </c>
      <c r="L69" s="197">
        <v>6.3708</v>
      </c>
    </row>
    <row r="70" spans="1:13" x14ac:dyDescent="0.25">
      <c r="A70" s="2" t="s">
        <v>133</v>
      </c>
      <c r="B70" s="2"/>
      <c r="C70" s="2"/>
      <c r="D70" s="2"/>
      <c r="E70" s="2"/>
      <c r="F70" s="2"/>
      <c r="G70" s="2"/>
      <c r="H70" s="197">
        <v>3.5571000000000002</v>
      </c>
      <c r="I70" s="197">
        <v>9.7414000000000005</v>
      </c>
      <c r="J70" s="197">
        <v>8.8314000000000004</v>
      </c>
      <c r="K70" s="197">
        <v>6.1177000000000001</v>
      </c>
      <c r="L70" s="197">
        <v>6.2023999999999999</v>
      </c>
    </row>
    <row r="71" spans="1:13" x14ac:dyDescent="0.25">
      <c r="A71" s="2" t="s">
        <v>136</v>
      </c>
      <c r="B71" s="3" t="s">
        <v>138</v>
      </c>
      <c r="C71" s="2"/>
      <c r="D71" s="2"/>
      <c r="E71" s="2"/>
      <c r="F71" s="2"/>
      <c r="G71" s="92"/>
      <c r="H71" s="198">
        <f>(H69/H70)*H3</f>
        <v>340.77338281184109</v>
      </c>
      <c r="I71" s="198">
        <f t="shared" ref="I71:L71" si="24">(I69/I70)*I3</f>
        <v>91.150707290533191</v>
      </c>
      <c r="J71" s="198">
        <f t="shared" si="24"/>
        <v>25.901895509205787</v>
      </c>
      <c r="K71" s="198">
        <f t="shared" si="24"/>
        <v>268.81139970904093</v>
      </c>
      <c r="L71" s="198">
        <f t="shared" si="24"/>
        <v>374.91003482522893</v>
      </c>
      <c r="M71" s="200">
        <f>AVERAGE(I71:L71)</f>
        <v>190.19350933350222</v>
      </c>
    </row>
    <row r="72" spans="1:13" x14ac:dyDescent="0.25">
      <c r="H72" s="199"/>
      <c r="I72" s="199"/>
      <c r="J72" s="199"/>
      <c r="K72" s="199"/>
      <c r="L72" s="199"/>
    </row>
    <row r="73" spans="1:13" x14ac:dyDescent="0.25">
      <c r="H73" s="199"/>
      <c r="I73" s="199"/>
      <c r="J73" s="199"/>
      <c r="K73" s="199"/>
      <c r="L73" s="199"/>
    </row>
    <row r="74" spans="1:13" x14ac:dyDescent="0.25">
      <c r="A74" s="2" t="s">
        <v>134</v>
      </c>
      <c r="B74" s="2"/>
      <c r="C74" s="2"/>
      <c r="D74" s="2"/>
      <c r="E74" s="2"/>
      <c r="F74" s="2"/>
      <c r="G74" s="2"/>
      <c r="H74" s="197">
        <v>0.47789999999999999</v>
      </c>
      <c r="I74" s="197">
        <v>0.47399999999999998</v>
      </c>
      <c r="J74" s="197">
        <v>0.73629999999999995</v>
      </c>
      <c r="K74" s="197">
        <v>1.4084000000000001</v>
      </c>
      <c r="L74" s="197">
        <v>1.8734999999999999</v>
      </c>
    </row>
    <row r="75" spans="1:13" x14ac:dyDescent="0.25">
      <c r="A75" s="2" t="s">
        <v>135</v>
      </c>
      <c r="B75" s="2"/>
      <c r="C75" s="2"/>
      <c r="D75" s="2"/>
      <c r="E75" s="2"/>
      <c r="F75" s="2"/>
      <c r="G75" s="2"/>
      <c r="H75" s="197">
        <v>0.39329999999999998</v>
      </c>
      <c r="I75" s="197">
        <v>0.95579999999999998</v>
      </c>
      <c r="J75" s="197">
        <v>1.0036</v>
      </c>
      <c r="K75" s="197">
        <v>1.0538000000000001</v>
      </c>
      <c r="L75" s="197">
        <v>1.0928</v>
      </c>
    </row>
    <row r="76" spans="1:13" x14ac:dyDescent="0.25">
      <c r="A76" s="2" t="s">
        <v>137</v>
      </c>
      <c r="B76" s="3" t="s">
        <v>138</v>
      </c>
      <c r="C76" s="2"/>
      <c r="D76" s="2"/>
      <c r="E76" s="2"/>
      <c r="F76" s="2"/>
      <c r="G76" s="92"/>
      <c r="H76" s="198">
        <f>(H74/H75)*H3</f>
        <v>443.51258581235697</v>
      </c>
      <c r="I76" s="198">
        <f>(I74/I75)*I3</f>
        <v>181.01067168863779</v>
      </c>
      <c r="J76" s="198">
        <f t="shared" ref="J76:L76" si="25">(J74/J75)*J3</f>
        <v>268.51913112793937</v>
      </c>
      <c r="K76" s="198">
        <f t="shared" si="25"/>
        <v>487.82121844752322</v>
      </c>
      <c r="L76" s="198">
        <f t="shared" si="25"/>
        <v>625.75722913616403</v>
      </c>
      <c r="M76" s="200">
        <f>AVERAGE(I76:L76)</f>
        <v>390.77706260006607</v>
      </c>
    </row>
    <row r="79" spans="1:13" x14ac:dyDescent="0.25">
      <c r="A79" s="2" t="s">
        <v>243</v>
      </c>
      <c r="B79" s="3" t="s">
        <v>59</v>
      </c>
      <c r="C79" s="194">
        <v>7.2700000000000001E-2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486DB-21B6-4DB9-A8B6-450C03E90E26}">
  <dimension ref="B1:H21"/>
  <sheetViews>
    <sheetView workbookViewId="0">
      <pane ySplit="2" topLeftCell="A3" activePane="bottomLeft" state="frozen"/>
      <selection pane="bottomLeft" activeCell="E4" sqref="E4"/>
    </sheetView>
  </sheetViews>
  <sheetFormatPr defaultRowHeight="15" x14ac:dyDescent="0.25"/>
  <cols>
    <col min="2" max="2" width="39.42578125" customWidth="1"/>
    <col min="3" max="5" width="10.85546875" customWidth="1"/>
    <col min="6" max="6" width="10.85546875" style="100" customWidth="1"/>
    <col min="8" max="8" width="4" bestFit="1" customWidth="1"/>
  </cols>
  <sheetData>
    <row r="1" spans="2:8" ht="14.25" customHeight="1" x14ac:dyDescent="0.25">
      <c r="F1" s="234" t="s">
        <v>256</v>
      </c>
    </row>
    <row r="2" spans="2:8" s="233" customFormat="1" ht="17.25" customHeight="1" x14ac:dyDescent="0.25">
      <c r="B2" s="231" t="s">
        <v>195</v>
      </c>
      <c r="C2" s="232">
        <v>44621</v>
      </c>
      <c r="D2" s="232">
        <v>44256</v>
      </c>
      <c r="E2" s="232">
        <v>43891</v>
      </c>
      <c r="F2" s="232">
        <v>43525</v>
      </c>
    </row>
    <row r="3" spans="2:8" x14ac:dyDescent="0.25">
      <c r="B3" s="2"/>
      <c r="C3" s="2"/>
      <c r="D3" s="2"/>
      <c r="E3" s="2"/>
      <c r="F3" s="3"/>
      <c r="H3">
        <v>100</v>
      </c>
    </row>
    <row r="4" spans="2:8" x14ac:dyDescent="0.25">
      <c r="B4" s="2" t="s">
        <v>184</v>
      </c>
      <c r="C4" s="235">
        <v>6.2023999999999999</v>
      </c>
      <c r="D4" s="235">
        <v>6.1177000000000001</v>
      </c>
      <c r="E4" s="235">
        <v>8.8314000000000004</v>
      </c>
      <c r="F4" s="235">
        <f>([94]Sheet1!G7)/100</f>
        <v>9.7414000000000005</v>
      </c>
    </row>
    <row r="5" spans="2:8" x14ac:dyDescent="0.25">
      <c r="B5" s="2" t="s">
        <v>257</v>
      </c>
      <c r="C5" s="235">
        <v>1.4039999999999999</v>
      </c>
      <c r="D5" s="235">
        <v>5.9222000000000001</v>
      </c>
      <c r="E5" s="235">
        <v>1.3644000000000001</v>
      </c>
      <c r="F5" s="235">
        <f>([94]Sheet1!G10+[94]Sheet1!G13)/100</f>
        <v>1.0270000000000001</v>
      </c>
    </row>
    <row r="6" spans="2:8" x14ac:dyDescent="0.25">
      <c r="B6" s="49" t="s">
        <v>154</v>
      </c>
      <c r="C6" s="236">
        <f>C4-C5</f>
        <v>4.7984</v>
      </c>
      <c r="D6" s="236">
        <f>D4-D5</f>
        <v>0.19550000000000001</v>
      </c>
      <c r="E6" s="236">
        <f>E4-E5</f>
        <v>7.4670000000000005</v>
      </c>
      <c r="F6" s="236">
        <f>F4-F5</f>
        <v>8.7144000000000013</v>
      </c>
    </row>
    <row r="7" spans="2:8" x14ac:dyDescent="0.25">
      <c r="B7" s="147" t="s">
        <v>155</v>
      </c>
      <c r="C7" s="237">
        <f t="shared" ref="C7:D7" si="0">C6/C$4</f>
        <v>0.77363601186637432</v>
      </c>
      <c r="D7" s="237">
        <f t="shared" si="0"/>
        <v>3.19564542229923E-2</v>
      </c>
      <c r="E7" s="237">
        <f>E6/E$4</f>
        <v>0.84550580881853388</v>
      </c>
      <c r="F7" s="237">
        <f>F6/F$4</f>
        <v>0.8945736752417518</v>
      </c>
    </row>
    <row r="8" spans="2:8" x14ac:dyDescent="0.25">
      <c r="B8" s="2" t="s">
        <v>258</v>
      </c>
      <c r="C8" s="235">
        <v>2.2867999999999999</v>
      </c>
      <c r="D8" s="235">
        <v>2.4767000000000001</v>
      </c>
      <c r="E8" s="235">
        <v>2.4834999999999998</v>
      </c>
      <c r="F8" s="235">
        <f>([94]Sheet1!G12)/100</f>
        <v>2.4766999999999997</v>
      </c>
    </row>
    <row r="9" spans="2:8" x14ac:dyDescent="0.25">
      <c r="B9" s="49" t="s">
        <v>157</v>
      </c>
      <c r="C9" s="236">
        <f>C6-C8</f>
        <v>2.5116000000000001</v>
      </c>
      <c r="D9" s="236">
        <f>D6-D8</f>
        <v>-2.2812000000000001</v>
      </c>
      <c r="E9" s="236">
        <f>E6-E8</f>
        <v>4.9835000000000012</v>
      </c>
      <c r="F9" s="236">
        <f>F6-F8</f>
        <v>6.237700000000002</v>
      </c>
    </row>
    <row r="10" spans="2:8" x14ac:dyDescent="0.25">
      <c r="B10" s="147" t="s">
        <v>158</v>
      </c>
      <c r="C10" s="237">
        <f t="shared" ref="C10:E10" si="1">C9/C$4</f>
        <v>0.40494002321681932</v>
      </c>
      <c r="D10" s="237">
        <f t="shared" si="1"/>
        <v>-0.37288523464700785</v>
      </c>
      <c r="E10" s="237">
        <f t="shared" si="1"/>
        <v>0.56429331702787788</v>
      </c>
      <c r="F10" s="237">
        <f>F9/F$4</f>
        <v>0.64032890549613009</v>
      </c>
    </row>
    <row r="11" spans="2:8" x14ac:dyDescent="0.25">
      <c r="B11" s="2" t="s">
        <v>259</v>
      </c>
      <c r="C11" s="235">
        <v>5.6494999999999997</v>
      </c>
      <c r="D11" s="235">
        <v>5.3951000000000002</v>
      </c>
      <c r="E11" s="235">
        <v>5.6543999999999999</v>
      </c>
      <c r="F11" s="235">
        <f>([94]Sheet1!G11)/100</f>
        <v>6.3538999999999994</v>
      </c>
    </row>
    <row r="12" spans="2:8" x14ac:dyDescent="0.25">
      <c r="B12" s="49" t="s">
        <v>159</v>
      </c>
      <c r="C12" s="236">
        <f>C9-C11</f>
        <v>-3.1378999999999997</v>
      </c>
      <c r="D12" s="236">
        <f>D9-D11</f>
        <v>-7.6763000000000003</v>
      </c>
      <c r="E12" s="236">
        <f>E9-E11</f>
        <v>-0.67089999999999872</v>
      </c>
      <c r="F12" s="236">
        <f>F9-F11</f>
        <v>-0.11619999999999742</v>
      </c>
    </row>
    <row r="13" spans="2:8" x14ac:dyDescent="0.25">
      <c r="B13" s="147" t="s">
        <v>160</v>
      </c>
      <c r="C13" s="237">
        <f t="shared" ref="C13:E13" si="2">C12/C$4</f>
        <v>-0.50591706436218231</v>
      </c>
      <c r="D13" s="237">
        <f t="shared" si="2"/>
        <v>-1.2547689491148635</v>
      </c>
      <c r="E13" s="237">
        <f t="shared" si="2"/>
        <v>-7.5967570260660672E-2</v>
      </c>
      <c r="F13" s="237">
        <f>F12/F$4</f>
        <v>-1.1928470240416923E-2</v>
      </c>
    </row>
    <row r="14" spans="2:8" x14ac:dyDescent="0.25">
      <c r="B14" s="2" t="s">
        <v>260</v>
      </c>
      <c r="C14" s="235">
        <v>-3.39E-2</v>
      </c>
      <c r="D14" s="235">
        <v>-2.5399999999999999E-2</v>
      </c>
      <c r="E14" s="235">
        <v>-1.9099999999999999E-2</v>
      </c>
      <c r="F14" s="235">
        <f>([94]Sheet1!G23)/100</f>
        <v>0.23070000000000002</v>
      </c>
    </row>
    <row r="15" spans="2:8" x14ac:dyDescent="0.25">
      <c r="B15" s="49" t="s">
        <v>179</v>
      </c>
      <c r="C15" s="236">
        <f>C12-C14</f>
        <v>-3.1039999999999996</v>
      </c>
      <c r="D15" s="236">
        <f>D12-D14</f>
        <v>-7.6509</v>
      </c>
      <c r="E15" s="236">
        <f>E12-E14</f>
        <v>-0.65179999999999871</v>
      </c>
      <c r="F15" s="236">
        <f>F12-F14</f>
        <v>-0.34689999999999743</v>
      </c>
    </row>
    <row r="16" spans="2:8" x14ac:dyDescent="0.25">
      <c r="B16" s="147" t="s">
        <v>180</v>
      </c>
      <c r="C16" s="237">
        <f>C15/C$4</f>
        <v>-0.50045143815297299</v>
      </c>
      <c r="D16" s="237">
        <f>D15/D$4</f>
        <v>-1.250617061967733</v>
      </c>
      <c r="E16" s="237">
        <f>E15/E$4</f>
        <v>-7.3804832755848301E-2</v>
      </c>
      <c r="F16" s="237">
        <f>F15/F$4</f>
        <v>-3.5610897817561889E-2</v>
      </c>
    </row>
    <row r="17" spans="6:6" x14ac:dyDescent="0.25">
      <c r="F17" s="230"/>
    </row>
    <row r="18" spans="6:6" x14ac:dyDescent="0.25">
      <c r="F18" s="230"/>
    </row>
    <row r="21" spans="6:6" x14ac:dyDescent="0.25">
      <c r="F21" s="2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3"/>
  <sheetViews>
    <sheetView topLeftCell="R1" zoomScaleNormal="100" workbookViewId="0">
      <pane ySplit="4" topLeftCell="A23" activePane="bottomLeft" state="frozen"/>
      <selection pane="bottomLeft" activeCell="R32" sqref="R32"/>
    </sheetView>
  </sheetViews>
  <sheetFormatPr defaultRowHeight="15" outlineLevelCol="1" x14ac:dyDescent="0.25"/>
  <cols>
    <col min="1" max="1" width="32.28515625" bestFit="1" customWidth="1"/>
    <col min="2" max="2" width="8" hidden="1" customWidth="1" outlineLevel="1"/>
    <col min="3" max="5" width="14.5703125" hidden="1" customWidth="1" outlineLevel="1"/>
    <col min="6" max="10" width="13.42578125" hidden="1" customWidth="1" outlineLevel="1"/>
    <col min="11" max="11" width="13.42578125" hidden="1" customWidth="1" collapsed="1"/>
    <col min="12" max="12" width="13.42578125" style="31" hidden="1" customWidth="1"/>
    <col min="13" max="31" width="13.42578125" bestFit="1" customWidth="1"/>
    <col min="32" max="36" width="2" bestFit="1" customWidth="1"/>
  </cols>
  <sheetData>
    <row r="1" spans="1:31" x14ac:dyDescent="0.25">
      <c r="A1" s="2" t="str">
        <f>Assumptions!A1</f>
        <v>Plant Year</v>
      </c>
      <c r="B1" s="2"/>
      <c r="C1" s="2"/>
      <c r="D1" s="3"/>
      <c r="E1" s="3"/>
      <c r="F1" s="3">
        <f>Assumptions!F1</f>
        <v>1</v>
      </c>
      <c r="G1" s="3">
        <f>Assumptions!G1</f>
        <v>2</v>
      </c>
      <c r="H1" s="3">
        <f>Assumptions!H1</f>
        <v>3</v>
      </c>
      <c r="I1" s="3">
        <f>Assumptions!I1</f>
        <v>4</v>
      </c>
      <c r="J1" s="3">
        <f>Assumptions!J1</f>
        <v>5</v>
      </c>
      <c r="K1" s="3">
        <f>Assumptions!K1</f>
        <v>6</v>
      </c>
      <c r="L1" s="206">
        <f>Assumptions!L1</f>
        <v>7</v>
      </c>
      <c r="M1" s="3">
        <f>Assumptions!M1</f>
        <v>8</v>
      </c>
      <c r="N1" s="3">
        <f>Assumptions!N1</f>
        <v>9</v>
      </c>
      <c r="O1" s="3">
        <f>Assumptions!O1</f>
        <v>10</v>
      </c>
      <c r="P1" s="3">
        <f>Assumptions!P1</f>
        <v>11</v>
      </c>
      <c r="Q1" s="3">
        <f>Assumptions!Q1</f>
        <v>12</v>
      </c>
      <c r="R1" s="3">
        <f>Assumptions!R1</f>
        <v>13</v>
      </c>
      <c r="S1" s="3">
        <f>Assumptions!S1</f>
        <v>14</v>
      </c>
      <c r="T1" s="3">
        <f>Assumptions!T1</f>
        <v>15</v>
      </c>
      <c r="U1" s="3">
        <f>Assumptions!U1</f>
        <v>16</v>
      </c>
      <c r="V1" s="3">
        <f>Assumptions!V1</f>
        <v>17</v>
      </c>
      <c r="W1" s="3">
        <f>Assumptions!W1</f>
        <v>18</v>
      </c>
      <c r="X1" s="3">
        <f>Assumptions!X1</f>
        <v>19</v>
      </c>
      <c r="Y1" s="3">
        <f>Assumptions!Y1</f>
        <v>20</v>
      </c>
      <c r="Z1" s="3">
        <f>Assumptions!Z1</f>
        <v>21</v>
      </c>
      <c r="AA1" s="3">
        <f>Assumptions!AA1</f>
        <v>22</v>
      </c>
      <c r="AB1" s="3">
        <f>Assumptions!AB1</f>
        <v>23</v>
      </c>
      <c r="AC1" s="3">
        <f>Assumptions!AC1</f>
        <v>24</v>
      </c>
      <c r="AD1" s="3">
        <f>Assumptions!AD1</f>
        <v>25</v>
      </c>
      <c r="AE1" s="3">
        <f>Assumptions!AE1</f>
        <v>26</v>
      </c>
    </row>
    <row r="2" spans="1:31" x14ac:dyDescent="0.25">
      <c r="A2" s="2" t="str">
        <f>Assumptions!A2</f>
        <v>Projecton Year</v>
      </c>
      <c r="B2" s="2"/>
      <c r="C2" s="2"/>
      <c r="D2" s="2"/>
      <c r="E2" s="2"/>
      <c r="F2" s="2"/>
      <c r="G2" s="2"/>
      <c r="H2" s="2"/>
      <c r="I2" s="2"/>
      <c r="J2" s="2"/>
      <c r="K2" s="3"/>
      <c r="L2" s="206">
        <f>Assumptions!L2</f>
        <v>0</v>
      </c>
      <c r="M2" s="3">
        <f>Assumptions!M2</f>
        <v>1</v>
      </c>
      <c r="N2" s="3">
        <f>Assumptions!N2</f>
        <v>2</v>
      </c>
      <c r="O2" s="3">
        <f>Assumptions!O2</f>
        <v>3</v>
      </c>
      <c r="P2" s="3">
        <f>Assumptions!P2</f>
        <v>4</v>
      </c>
      <c r="Q2" s="3">
        <f>Assumptions!Q2</f>
        <v>5</v>
      </c>
      <c r="R2" s="3">
        <f>Assumptions!R2</f>
        <v>6</v>
      </c>
      <c r="S2" s="3">
        <f>Assumptions!S2</f>
        <v>7</v>
      </c>
      <c r="T2" s="3">
        <f>Assumptions!T2</f>
        <v>8</v>
      </c>
      <c r="U2" s="3">
        <f>Assumptions!U2</f>
        <v>9</v>
      </c>
      <c r="V2" s="3">
        <f>Assumptions!V2</f>
        <v>10</v>
      </c>
      <c r="W2" s="3">
        <f>Assumptions!W2</f>
        <v>11</v>
      </c>
      <c r="X2" s="3">
        <f>Assumptions!X2</f>
        <v>12</v>
      </c>
      <c r="Y2" s="3">
        <f>Assumptions!Y2</f>
        <v>13</v>
      </c>
      <c r="Z2" s="3">
        <f>Assumptions!Z2</f>
        <v>14</v>
      </c>
      <c r="AA2" s="3">
        <f>Assumptions!AA2</f>
        <v>15</v>
      </c>
      <c r="AB2" s="3">
        <f>Assumptions!AB2</f>
        <v>16</v>
      </c>
      <c r="AC2" s="3">
        <f>Assumptions!AC2</f>
        <v>17</v>
      </c>
      <c r="AD2" s="3">
        <f>Assumptions!AD2</f>
        <v>18</v>
      </c>
      <c r="AE2" s="3">
        <f>Assumptions!AE2</f>
        <v>19</v>
      </c>
    </row>
    <row r="3" spans="1:31" x14ac:dyDescent="0.25">
      <c r="A3" s="2" t="str">
        <f>Assumptions!A3</f>
        <v>No. of Days</v>
      </c>
      <c r="B3" s="2"/>
      <c r="C3" s="2"/>
      <c r="D3" s="2"/>
      <c r="E3" s="2"/>
      <c r="F3" s="3">
        <f>Assumptions!F3</f>
        <v>152</v>
      </c>
      <c r="G3" s="3">
        <f>Assumptions!G3</f>
        <v>365</v>
      </c>
      <c r="H3" s="3">
        <f>Assumptions!H3</f>
        <v>365</v>
      </c>
      <c r="I3" s="3">
        <f>Assumptions!I3</f>
        <v>365</v>
      </c>
      <c r="J3" s="3">
        <f>Assumptions!J3</f>
        <v>366</v>
      </c>
      <c r="K3" s="3">
        <f>Assumptions!K3</f>
        <v>365</v>
      </c>
      <c r="L3" s="206">
        <f>Assumptions!L3</f>
        <v>365</v>
      </c>
      <c r="M3" s="3">
        <f>Assumptions!M3</f>
        <v>365</v>
      </c>
      <c r="N3" s="3">
        <f>Assumptions!N3</f>
        <v>366</v>
      </c>
      <c r="O3" s="3">
        <f>Assumptions!O3</f>
        <v>365</v>
      </c>
      <c r="P3" s="3">
        <f>Assumptions!P3</f>
        <v>365</v>
      </c>
      <c r="Q3" s="3">
        <f>Assumptions!Q3</f>
        <v>365</v>
      </c>
      <c r="R3" s="3">
        <f>Assumptions!R3</f>
        <v>366</v>
      </c>
      <c r="S3" s="3">
        <f>Assumptions!S3</f>
        <v>365</v>
      </c>
      <c r="T3" s="3">
        <f>Assumptions!T3</f>
        <v>365</v>
      </c>
      <c r="U3" s="3">
        <f>Assumptions!U3</f>
        <v>365</v>
      </c>
      <c r="V3" s="3">
        <f>Assumptions!V3</f>
        <v>366</v>
      </c>
      <c r="W3" s="3">
        <f>Assumptions!W3</f>
        <v>365</v>
      </c>
      <c r="X3" s="3">
        <f>Assumptions!X3</f>
        <v>365</v>
      </c>
      <c r="Y3" s="3">
        <f>Assumptions!Y3</f>
        <v>365</v>
      </c>
      <c r="Z3" s="3">
        <f>Assumptions!Z3</f>
        <v>366</v>
      </c>
      <c r="AA3" s="3">
        <f>Assumptions!AA3</f>
        <v>365</v>
      </c>
      <c r="AB3" s="3">
        <f>Assumptions!AB3</f>
        <v>365</v>
      </c>
      <c r="AC3" s="3">
        <f>Assumptions!AC3</f>
        <v>365</v>
      </c>
      <c r="AD3" s="3">
        <f>Assumptions!AD3</f>
        <v>366</v>
      </c>
      <c r="AE3" s="3">
        <f>Assumptions!AE3</f>
        <v>213</v>
      </c>
    </row>
    <row r="4" spans="1:31" x14ac:dyDescent="0.25">
      <c r="A4" s="2" t="str">
        <f>Assumptions!A4</f>
        <v>Year End</v>
      </c>
      <c r="B4" s="120"/>
      <c r="C4" s="120"/>
      <c r="D4" s="120"/>
      <c r="E4" s="120"/>
      <c r="F4" s="4">
        <f>Assumptions!F4</f>
        <v>42460</v>
      </c>
      <c r="G4" s="4">
        <f>Assumptions!G4</f>
        <v>42825</v>
      </c>
      <c r="H4" s="4">
        <f>Assumptions!H4</f>
        <v>43190</v>
      </c>
      <c r="I4" s="4">
        <f>Assumptions!I4</f>
        <v>43555</v>
      </c>
      <c r="J4" s="4">
        <f>Assumptions!J4</f>
        <v>43921</v>
      </c>
      <c r="K4" s="4">
        <f>Assumptions!K4</f>
        <v>44286</v>
      </c>
      <c r="L4" s="4">
        <f>Assumptions!L4</f>
        <v>44651</v>
      </c>
      <c r="M4" s="4">
        <f>Assumptions!M4</f>
        <v>45016</v>
      </c>
      <c r="N4" s="4">
        <f>Assumptions!N4</f>
        <v>45382</v>
      </c>
      <c r="O4" s="4">
        <f>Assumptions!O4</f>
        <v>45747</v>
      </c>
      <c r="P4" s="4">
        <f>Assumptions!P4</f>
        <v>46112</v>
      </c>
      <c r="Q4" s="4">
        <f>Assumptions!Q4</f>
        <v>46477</v>
      </c>
      <c r="R4" s="4">
        <f>Assumptions!R4</f>
        <v>46843</v>
      </c>
      <c r="S4" s="4">
        <f>Assumptions!S4</f>
        <v>47208</v>
      </c>
      <c r="T4" s="4">
        <f>Assumptions!T4</f>
        <v>47573</v>
      </c>
      <c r="U4" s="4">
        <f>Assumptions!U4</f>
        <v>47938</v>
      </c>
      <c r="V4" s="4">
        <f>Assumptions!V4</f>
        <v>48304</v>
      </c>
      <c r="W4" s="4">
        <f>Assumptions!W4</f>
        <v>48669</v>
      </c>
      <c r="X4" s="4">
        <f>Assumptions!X4</f>
        <v>49034</v>
      </c>
      <c r="Y4" s="4">
        <f>Assumptions!Y4</f>
        <v>49399</v>
      </c>
      <c r="Z4" s="4">
        <f>Assumptions!Z4</f>
        <v>49765</v>
      </c>
      <c r="AA4" s="4">
        <f>Assumptions!AA4</f>
        <v>50130</v>
      </c>
      <c r="AB4" s="4">
        <f>Assumptions!AB4</f>
        <v>50495</v>
      </c>
      <c r="AC4" s="4">
        <f>Assumptions!AC4</f>
        <v>50860</v>
      </c>
      <c r="AD4" s="4">
        <f>Assumptions!AD4</f>
        <v>51226</v>
      </c>
      <c r="AE4" s="4">
        <f>Assumptions!AE4</f>
        <v>51591</v>
      </c>
    </row>
    <row r="5" spans="1:31" x14ac:dyDescent="0.25">
      <c r="B5" s="122"/>
    </row>
    <row r="6" spans="1:31" x14ac:dyDescent="0.25">
      <c r="A6" s="129" t="s">
        <v>145</v>
      </c>
      <c r="B6" s="127"/>
      <c r="C6" s="126"/>
      <c r="D6" s="126"/>
      <c r="E6" s="126"/>
      <c r="F6" s="128">
        <f>Assumptions!$C$19</f>
        <v>0.22</v>
      </c>
      <c r="G6" s="128">
        <f>Assumptions!$C$19</f>
        <v>0.22</v>
      </c>
      <c r="H6" s="128">
        <f>Assumptions!$C$19</f>
        <v>0.22</v>
      </c>
      <c r="I6" s="128">
        <f>Assumptions!$C$19</f>
        <v>0.22</v>
      </c>
      <c r="J6" s="128"/>
      <c r="K6" s="128"/>
      <c r="L6" s="207"/>
      <c r="M6" s="128">
        <f>Assumptions!$C$19</f>
        <v>0.22</v>
      </c>
      <c r="N6" s="128">
        <f>Assumptions!$C$19</f>
        <v>0.22</v>
      </c>
      <c r="O6" s="128">
        <f>Assumptions!$C$19</f>
        <v>0.22</v>
      </c>
      <c r="P6" s="128">
        <f>Assumptions!$C$19</f>
        <v>0.22</v>
      </c>
      <c r="Q6" s="128">
        <f>Assumptions!$C$19</f>
        <v>0.22</v>
      </c>
      <c r="R6" s="128">
        <f>Assumptions!$C$19</f>
        <v>0.22</v>
      </c>
      <c r="S6" s="128">
        <f>Assumptions!$C$19</f>
        <v>0.22</v>
      </c>
      <c r="T6" s="128">
        <f>Assumptions!$C$19</f>
        <v>0.22</v>
      </c>
      <c r="U6" s="128">
        <f>Assumptions!$C$19</f>
        <v>0.22</v>
      </c>
      <c r="V6" s="128">
        <f>Assumptions!$C$19</f>
        <v>0.22</v>
      </c>
      <c r="W6" s="128">
        <f>Assumptions!$C$19</f>
        <v>0.22</v>
      </c>
      <c r="X6" s="128">
        <f>Assumptions!$C$19</f>
        <v>0.22</v>
      </c>
      <c r="Y6" s="128">
        <f>Assumptions!$C$19</f>
        <v>0.22</v>
      </c>
      <c r="Z6" s="128">
        <f>Assumptions!$C$19</f>
        <v>0.22</v>
      </c>
      <c r="AA6" s="128">
        <f>Assumptions!$C$19</f>
        <v>0.22</v>
      </c>
      <c r="AB6" s="128">
        <f>Assumptions!$C$19</f>
        <v>0.22</v>
      </c>
      <c r="AC6" s="128">
        <f>Assumptions!$C$19</f>
        <v>0.22</v>
      </c>
      <c r="AD6" s="128">
        <f>Assumptions!$C$19</f>
        <v>0.22</v>
      </c>
      <c r="AE6" s="128">
        <f>Assumptions!$C$19</f>
        <v>0.22</v>
      </c>
    </row>
    <row r="8" spans="1:31" x14ac:dyDescent="0.25">
      <c r="A8" s="108" t="s">
        <v>140</v>
      </c>
    </row>
    <row r="9" spans="1:31" x14ac:dyDescent="0.25">
      <c r="A9" s="2" t="s">
        <v>141</v>
      </c>
      <c r="B9" s="2"/>
      <c r="C9" s="2"/>
      <c r="D9" s="2"/>
      <c r="E9" s="2"/>
      <c r="F9" s="2"/>
      <c r="G9" s="2"/>
      <c r="H9" s="2"/>
      <c r="I9" s="2"/>
      <c r="J9" s="2"/>
      <c r="K9" s="2"/>
      <c r="L9" s="208"/>
      <c r="M9" s="2">
        <f>(Assumptions!$C$18*M6)*(24*'RKA P&amp;L'!M3*1000)</f>
        <v>15417600</v>
      </c>
      <c r="N9" s="2">
        <f>(Assumptions!$C$18*N6)*(24*'RKA P&amp;L'!N3*1000)</f>
        <v>15459840</v>
      </c>
      <c r="O9" s="2">
        <f>(Assumptions!$C$18*O6)*(24*'RKA P&amp;L'!O3*1000)</f>
        <v>15417600</v>
      </c>
      <c r="P9" s="2">
        <f>(Assumptions!$C$18*P6)*(24*'RKA P&amp;L'!P3*1000)</f>
        <v>15417600</v>
      </c>
      <c r="Q9" s="2">
        <f>(Assumptions!$C$18*Q6)*(24*'RKA P&amp;L'!Q3*1000)</f>
        <v>15417600</v>
      </c>
      <c r="R9" s="2">
        <f>(Assumptions!$C$18*R6)*(24*'RKA P&amp;L'!R3*1000)</f>
        <v>15459840</v>
      </c>
      <c r="S9" s="2">
        <f>(Assumptions!$C$18*S6)*(24*'RKA P&amp;L'!S3*1000)</f>
        <v>15417600</v>
      </c>
      <c r="T9" s="2">
        <f>(Assumptions!$C$18*T6)*(24*'RKA P&amp;L'!T3*1000)</f>
        <v>15417600</v>
      </c>
      <c r="U9" s="2">
        <f>(Assumptions!$C$18*U6)*(24*'RKA P&amp;L'!U3*1000)</f>
        <v>15417600</v>
      </c>
      <c r="V9" s="2">
        <f>(Assumptions!$C$18*V6)*(24*'RKA P&amp;L'!V3*1000)</f>
        <v>15459840</v>
      </c>
      <c r="W9" s="2">
        <f>(Assumptions!$C$18*W6)*(24*'RKA P&amp;L'!W3*1000)</f>
        <v>15417600</v>
      </c>
      <c r="X9" s="2">
        <f>(Assumptions!$C$18*X6)*(24*'RKA P&amp;L'!X3*1000)</f>
        <v>15417600</v>
      </c>
      <c r="Y9" s="2">
        <f>(Assumptions!$C$18*Y6)*(24*'RKA P&amp;L'!Y3*1000)</f>
        <v>15417600</v>
      </c>
      <c r="Z9" s="2">
        <f>(Assumptions!$C$18*Z6)*(24*'RKA P&amp;L'!Z3*1000)</f>
        <v>15459840</v>
      </c>
      <c r="AA9" s="2">
        <f>(Assumptions!$C$18*AA6)*(24*'RKA P&amp;L'!AA3*1000)</f>
        <v>15417600</v>
      </c>
      <c r="AB9" s="2">
        <f>(Assumptions!$C$18*AB6)*(24*'RKA P&amp;L'!AB3*1000)</f>
        <v>15417600</v>
      </c>
      <c r="AC9" s="2">
        <f>(Assumptions!$C$18*AC6)*(24*'RKA P&amp;L'!AC3*1000)</f>
        <v>15417600</v>
      </c>
      <c r="AD9" s="2">
        <f>(Assumptions!$C$18*AD6)*(24*'RKA P&amp;L'!AD3*1000)</f>
        <v>15459840</v>
      </c>
      <c r="AE9" s="2">
        <f>(Assumptions!$C$18*AE6)*(24*'RKA P&amp;L'!AE3*1000)</f>
        <v>8997120</v>
      </c>
    </row>
    <row r="10" spans="1:31" x14ac:dyDescent="0.25">
      <c r="A10" s="2" t="str">
        <f>Assumptions!A21</f>
        <v>Auxiliary Consumption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08"/>
      <c r="M10" s="2">
        <f>M9*Assumptions!$C$21</f>
        <v>7708.8</v>
      </c>
      <c r="N10" s="2">
        <f>N9*Assumptions!$C$21</f>
        <v>7729.92</v>
      </c>
      <c r="O10" s="2">
        <f>O9*Assumptions!$C$21</f>
        <v>7708.8</v>
      </c>
      <c r="P10" s="2">
        <f>P9*Assumptions!$C$21</f>
        <v>7708.8</v>
      </c>
      <c r="Q10" s="2">
        <f>Q9*Assumptions!$C$21</f>
        <v>7708.8</v>
      </c>
      <c r="R10" s="2">
        <f>R9*Assumptions!$C$21</f>
        <v>7729.92</v>
      </c>
      <c r="S10" s="2">
        <f>S9*Assumptions!$C$21</f>
        <v>7708.8</v>
      </c>
      <c r="T10" s="2">
        <f>T9*Assumptions!$C$21</f>
        <v>7708.8</v>
      </c>
      <c r="U10" s="2">
        <f>U9*Assumptions!$C$21</f>
        <v>7708.8</v>
      </c>
      <c r="V10" s="2">
        <f>V9*Assumptions!$C$21</f>
        <v>7729.92</v>
      </c>
      <c r="W10" s="2">
        <f>W9*Assumptions!$C$21</f>
        <v>7708.8</v>
      </c>
      <c r="X10" s="2">
        <f>X9*Assumptions!$C$21</f>
        <v>7708.8</v>
      </c>
      <c r="Y10" s="2">
        <f>Y9*Assumptions!$C$21</f>
        <v>7708.8</v>
      </c>
      <c r="Z10" s="2">
        <f>Z9*Assumptions!$C$21</f>
        <v>7729.92</v>
      </c>
      <c r="AA10" s="2">
        <f>AA9*Assumptions!$C$21</f>
        <v>7708.8</v>
      </c>
      <c r="AB10" s="2">
        <f>AB9*Assumptions!$C$21</f>
        <v>7708.8</v>
      </c>
      <c r="AC10" s="2">
        <f>AC9*Assumptions!$C$21</f>
        <v>7708.8</v>
      </c>
      <c r="AD10" s="2">
        <f>AD9*Assumptions!$C$21</f>
        <v>7729.92</v>
      </c>
      <c r="AE10" s="2">
        <f>AE9*Assumptions!$C$21</f>
        <v>4498.5600000000004</v>
      </c>
    </row>
    <row r="11" spans="1:31" x14ac:dyDescent="0.25">
      <c r="A11" s="98" t="s">
        <v>142</v>
      </c>
      <c r="B11" s="2"/>
      <c r="C11" s="2"/>
      <c r="D11" s="2"/>
      <c r="E11" s="2"/>
      <c r="F11" s="2"/>
      <c r="G11" s="2"/>
      <c r="H11" s="2"/>
      <c r="I11" s="2"/>
      <c r="J11" s="98"/>
      <c r="K11" s="98"/>
      <c r="L11" s="209"/>
      <c r="M11" s="98">
        <f t="shared" ref="M11:AB11" si="0">M9-M10</f>
        <v>15409891.199999999</v>
      </c>
      <c r="N11" s="98">
        <f t="shared" si="0"/>
        <v>15452110.08</v>
      </c>
      <c r="O11" s="98">
        <f t="shared" si="0"/>
        <v>15409891.199999999</v>
      </c>
      <c r="P11" s="98">
        <f t="shared" si="0"/>
        <v>15409891.199999999</v>
      </c>
      <c r="Q11" s="98">
        <f t="shared" si="0"/>
        <v>15409891.199999999</v>
      </c>
      <c r="R11" s="98">
        <f t="shared" si="0"/>
        <v>15452110.08</v>
      </c>
      <c r="S11" s="98">
        <f t="shared" si="0"/>
        <v>15409891.199999999</v>
      </c>
      <c r="T11" s="98">
        <f t="shared" si="0"/>
        <v>15409891.199999999</v>
      </c>
      <c r="U11" s="98">
        <f t="shared" si="0"/>
        <v>15409891.199999999</v>
      </c>
      <c r="V11" s="98">
        <f t="shared" si="0"/>
        <v>15452110.08</v>
      </c>
      <c r="W11" s="98">
        <f t="shared" si="0"/>
        <v>15409891.199999999</v>
      </c>
      <c r="X11" s="98">
        <f t="shared" si="0"/>
        <v>15409891.199999999</v>
      </c>
      <c r="Y11" s="98">
        <f t="shared" si="0"/>
        <v>15409891.199999999</v>
      </c>
      <c r="Z11" s="98">
        <f t="shared" si="0"/>
        <v>15452110.08</v>
      </c>
      <c r="AA11" s="98">
        <f t="shared" si="0"/>
        <v>15409891.199999999</v>
      </c>
      <c r="AB11" s="98">
        <f t="shared" si="0"/>
        <v>15409891.199999999</v>
      </c>
      <c r="AC11" s="98">
        <f t="shared" ref="AC11:AE11" si="1">AC9-AC10</f>
        <v>15409891.199999999</v>
      </c>
      <c r="AD11" s="98">
        <f t="shared" si="1"/>
        <v>15452110.08</v>
      </c>
      <c r="AE11" s="98">
        <f t="shared" si="1"/>
        <v>8992621.4399999995</v>
      </c>
    </row>
    <row r="13" spans="1:31" x14ac:dyDescent="0.25">
      <c r="A13" s="98" t="s">
        <v>143</v>
      </c>
      <c r="B13" s="125"/>
      <c r="C13" s="125"/>
      <c r="D13" s="125"/>
      <c r="E13" s="125"/>
      <c r="F13" s="125"/>
      <c r="G13" s="125"/>
      <c r="H13" s="125"/>
      <c r="I13" s="125"/>
      <c r="J13" s="124"/>
      <c r="K13" s="124"/>
      <c r="L13" s="210"/>
      <c r="M13" s="124">
        <f>Assumptions!M28</f>
        <v>5.7</v>
      </c>
      <c r="N13" s="124">
        <f>Assumptions!N28</f>
        <v>5.7</v>
      </c>
      <c r="O13" s="124">
        <f>Assumptions!O28</f>
        <v>5.7</v>
      </c>
      <c r="P13" s="124">
        <f>Assumptions!P28</f>
        <v>5.7</v>
      </c>
      <c r="Q13" s="124">
        <f>Assumptions!Q28</f>
        <v>5.7</v>
      </c>
      <c r="R13" s="124">
        <f>Assumptions!R28</f>
        <v>5.7</v>
      </c>
      <c r="S13" s="124">
        <f>Assumptions!S28</f>
        <v>4.4708333333333332</v>
      </c>
      <c r="T13" s="124">
        <f>Assumptions!T28</f>
        <v>2.75</v>
      </c>
      <c r="U13" s="124">
        <f>Assumptions!U28</f>
        <v>2.75</v>
      </c>
      <c r="V13" s="124">
        <f>Assumptions!V28</f>
        <v>2.75</v>
      </c>
      <c r="W13" s="124">
        <f>Assumptions!W28</f>
        <v>2.75</v>
      </c>
      <c r="X13" s="124">
        <f>Assumptions!X28</f>
        <v>2.75</v>
      </c>
      <c r="Y13" s="124">
        <f>Assumptions!Y28</f>
        <v>2.75</v>
      </c>
      <c r="Z13" s="124">
        <f>Assumptions!Z28</f>
        <v>2.75</v>
      </c>
      <c r="AA13" s="124">
        <f>Assumptions!AA28</f>
        <v>2.75</v>
      </c>
      <c r="AB13" s="124">
        <f>Assumptions!AB28</f>
        <v>2.75</v>
      </c>
      <c r="AC13" s="124">
        <f>Assumptions!AC28</f>
        <v>2.75</v>
      </c>
      <c r="AD13" s="124">
        <f>Assumptions!AD28</f>
        <v>2.75</v>
      </c>
      <c r="AE13" s="124">
        <f>Assumptions!AE28</f>
        <v>2.75</v>
      </c>
    </row>
    <row r="15" spans="1:31" x14ac:dyDescent="0.25">
      <c r="A15" s="108" t="s">
        <v>144</v>
      </c>
    </row>
    <row r="16" spans="1:31" x14ac:dyDescent="0.25">
      <c r="A16" s="2" t="s">
        <v>230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0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x14ac:dyDescent="0.25">
      <c r="A17" s="145" t="s">
        <v>229</v>
      </c>
      <c r="B17" s="2"/>
      <c r="C17" s="2"/>
      <c r="D17" s="2"/>
      <c r="E17" s="2"/>
      <c r="F17" s="2"/>
      <c r="G17" s="2"/>
      <c r="H17" s="2"/>
      <c r="I17" s="2"/>
      <c r="J17" s="92"/>
      <c r="K17" s="92"/>
      <c r="L17" s="211"/>
      <c r="M17" s="92">
        <f t="shared" ref="M17:AB17" si="2">(M11*M13)/(10^7)</f>
        <v>8.7836379840000003</v>
      </c>
      <c r="N17" s="92">
        <f t="shared" si="2"/>
        <v>8.8077027456000003</v>
      </c>
      <c r="O17" s="92">
        <f t="shared" si="2"/>
        <v>8.7836379840000003</v>
      </c>
      <c r="P17" s="92">
        <f t="shared" si="2"/>
        <v>8.7836379840000003</v>
      </c>
      <c r="Q17" s="92">
        <f t="shared" si="2"/>
        <v>8.7836379840000003</v>
      </c>
      <c r="R17" s="92">
        <f t="shared" si="2"/>
        <v>8.8077027456000003</v>
      </c>
      <c r="S17" s="92">
        <f t="shared" si="2"/>
        <v>6.8895055239999996</v>
      </c>
      <c r="T17" s="92">
        <f t="shared" si="2"/>
        <v>4.2377200799999999</v>
      </c>
      <c r="U17" s="92">
        <f t="shared" si="2"/>
        <v>4.2377200799999999</v>
      </c>
      <c r="V17" s="92">
        <f t="shared" si="2"/>
        <v>4.2493302719999999</v>
      </c>
      <c r="W17" s="92">
        <f t="shared" si="2"/>
        <v>4.2377200799999999</v>
      </c>
      <c r="X17" s="92">
        <f t="shared" si="2"/>
        <v>4.2377200799999999</v>
      </c>
      <c r="Y17" s="92">
        <f t="shared" si="2"/>
        <v>4.2377200799999999</v>
      </c>
      <c r="Z17" s="92">
        <f t="shared" si="2"/>
        <v>4.2493302719999999</v>
      </c>
      <c r="AA17" s="92">
        <f t="shared" si="2"/>
        <v>4.2377200799999999</v>
      </c>
      <c r="AB17" s="92">
        <f t="shared" si="2"/>
        <v>4.2377200799999999</v>
      </c>
      <c r="AC17" s="92">
        <f t="shared" ref="AC17:AE17" si="3">(AC11*AC13)/(10^7)</f>
        <v>4.2377200799999999</v>
      </c>
      <c r="AD17" s="92">
        <f t="shared" si="3"/>
        <v>4.2493302719999999</v>
      </c>
      <c r="AE17" s="92">
        <f t="shared" si="3"/>
        <v>2.4729708959999996</v>
      </c>
    </row>
    <row r="18" spans="1:31" ht="15.75" thickBot="1" x14ac:dyDescent="0.3">
      <c r="A18" s="145" t="s">
        <v>240</v>
      </c>
      <c r="B18" s="2"/>
      <c r="C18" s="2"/>
      <c r="D18" s="2"/>
      <c r="E18" s="2"/>
      <c r="F18" s="2"/>
      <c r="G18" s="2"/>
      <c r="H18" s="2"/>
      <c r="I18" s="2"/>
      <c r="J18" s="190"/>
      <c r="K18" s="190"/>
      <c r="L18" s="212"/>
      <c r="M18" s="190">
        <f>(M11*Assumptions!$C$30)/(10^7)</f>
        <v>0.77049455999999994</v>
      </c>
      <c r="N18" s="190">
        <f>(N11*Assumptions!$C$30)/(10^7)</f>
        <v>0.77260550400000005</v>
      </c>
      <c r="O18" s="190">
        <f>(O11*Assumptions!$C$30)/(10^7)</f>
        <v>0.77049455999999994</v>
      </c>
      <c r="P18" s="190">
        <f>(P11*Assumptions!$C$30)/(10^7)</f>
        <v>0.77049455999999994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6">
        <v>0</v>
      </c>
      <c r="W18" s="146">
        <v>0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</row>
    <row r="19" spans="1:31" x14ac:dyDescent="0.25">
      <c r="A19" s="145"/>
      <c r="B19" s="2"/>
      <c r="C19" s="2"/>
      <c r="D19" s="2"/>
      <c r="E19" s="2"/>
      <c r="F19" s="2"/>
      <c r="G19" s="2"/>
      <c r="H19" s="2"/>
      <c r="I19" s="2"/>
      <c r="J19" s="191"/>
      <c r="K19" s="191"/>
      <c r="L19" s="213"/>
      <c r="M19" s="192">
        <f t="shared" ref="M19:AB19" si="4">SUM(M17:M18)</f>
        <v>9.5541325439999998</v>
      </c>
      <c r="N19" s="192">
        <f t="shared" si="4"/>
        <v>9.5803082495999998</v>
      </c>
      <c r="O19" s="192">
        <f t="shared" si="4"/>
        <v>9.5541325439999998</v>
      </c>
      <c r="P19" s="192">
        <f t="shared" si="4"/>
        <v>9.5541325439999998</v>
      </c>
      <c r="Q19" s="192">
        <f t="shared" si="4"/>
        <v>8.7836379840000003</v>
      </c>
      <c r="R19" s="192">
        <f t="shared" si="4"/>
        <v>8.8077027456000003</v>
      </c>
      <c r="S19" s="192">
        <f t="shared" si="4"/>
        <v>6.8895055239999996</v>
      </c>
      <c r="T19" s="192">
        <f t="shared" si="4"/>
        <v>4.2377200799999999</v>
      </c>
      <c r="U19" s="192">
        <f t="shared" si="4"/>
        <v>4.2377200799999999</v>
      </c>
      <c r="V19" s="192">
        <f t="shared" si="4"/>
        <v>4.2493302719999999</v>
      </c>
      <c r="W19" s="192">
        <f t="shared" si="4"/>
        <v>4.2377200799999999</v>
      </c>
      <c r="X19" s="192">
        <f t="shared" si="4"/>
        <v>4.2377200799999999</v>
      </c>
      <c r="Y19" s="192">
        <f t="shared" si="4"/>
        <v>4.2377200799999999</v>
      </c>
      <c r="Z19" s="192">
        <f t="shared" si="4"/>
        <v>4.2493302719999999</v>
      </c>
      <c r="AA19" s="192">
        <f t="shared" si="4"/>
        <v>4.2377200799999999</v>
      </c>
      <c r="AB19" s="192">
        <f t="shared" si="4"/>
        <v>4.2377200799999999</v>
      </c>
      <c r="AC19" s="192">
        <f t="shared" ref="AC19:AE19" si="5">SUM(AC17:AC18)</f>
        <v>4.2377200799999999</v>
      </c>
      <c r="AD19" s="192">
        <f t="shared" si="5"/>
        <v>4.2493302719999999</v>
      </c>
      <c r="AE19" s="192">
        <f t="shared" si="5"/>
        <v>2.4729708959999996</v>
      </c>
    </row>
    <row r="20" spans="1:31" x14ac:dyDescent="0.25">
      <c r="A20" s="189" t="s">
        <v>231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0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145" t="s">
        <v>148</v>
      </c>
      <c r="B21" s="2"/>
      <c r="C21" s="2"/>
      <c r="D21" s="2"/>
      <c r="E21" s="2"/>
      <c r="F21" s="2"/>
      <c r="G21" s="2"/>
      <c r="H21" s="2"/>
      <c r="I21" s="2"/>
      <c r="J21" s="146"/>
      <c r="K21" s="146"/>
      <c r="L21" s="214"/>
      <c r="M21" s="146">
        <v>0</v>
      </c>
      <c r="N21" s="146">
        <v>0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6">
        <v>0</v>
      </c>
      <c r="W21" s="146">
        <v>0</v>
      </c>
      <c r="X21" s="146">
        <v>0</v>
      </c>
      <c r="Y21" s="146">
        <v>0</v>
      </c>
      <c r="Z21" s="146">
        <v>0</v>
      </c>
      <c r="AA21" s="146">
        <v>0</v>
      </c>
      <c r="AB21" s="146">
        <v>0</v>
      </c>
      <c r="AC21" s="146">
        <v>0</v>
      </c>
      <c r="AD21" s="146">
        <v>0</v>
      </c>
      <c r="AE21" s="92">
        <f>Assumptions!C62</f>
        <v>2.944559564422109</v>
      </c>
    </row>
    <row r="22" spans="1:31" x14ac:dyDescent="0.25">
      <c r="A22" s="98" t="s">
        <v>149</v>
      </c>
      <c r="B22" s="2"/>
      <c r="C22" s="2"/>
      <c r="D22" s="2"/>
      <c r="E22" s="2"/>
      <c r="F22" s="2"/>
      <c r="G22" s="2"/>
      <c r="H22" s="2"/>
      <c r="I22" s="2"/>
      <c r="J22" s="124"/>
      <c r="K22" s="124"/>
      <c r="L22" s="210"/>
      <c r="M22" s="124">
        <f t="shared" ref="M22:AB22" si="6">SUM(M19:M21)</f>
        <v>9.5541325439999998</v>
      </c>
      <c r="N22" s="124">
        <f t="shared" si="6"/>
        <v>9.5803082495999998</v>
      </c>
      <c r="O22" s="124">
        <f t="shared" si="6"/>
        <v>9.5541325439999998</v>
      </c>
      <c r="P22" s="124">
        <f t="shared" si="6"/>
        <v>9.5541325439999998</v>
      </c>
      <c r="Q22" s="124">
        <f t="shared" si="6"/>
        <v>8.7836379840000003</v>
      </c>
      <c r="R22" s="124">
        <f t="shared" si="6"/>
        <v>8.8077027456000003</v>
      </c>
      <c r="S22" s="124">
        <f t="shared" si="6"/>
        <v>6.8895055239999996</v>
      </c>
      <c r="T22" s="124">
        <f t="shared" si="6"/>
        <v>4.2377200799999999</v>
      </c>
      <c r="U22" s="124">
        <f t="shared" si="6"/>
        <v>4.2377200799999999</v>
      </c>
      <c r="V22" s="124">
        <f t="shared" si="6"/>
        <v>4.2493302719999999</v>
      </c>
      <c r="W22" s="124">
        <f t="shared" si="6"/>
        <v>4.2377200799999999</v>
      </c>
      <c r="X22" s="124">
        <f t="shared" si="6"/>
        <v>4.2377200799999999</v>
      </c>
      <c r="Y22" s="124">
        <f t="shared" si="6"/>
        <v>4.2377200799999999</v>
      </c>
      <c r="Z22" s="124">
        <f t="shared" si="6"/>
        <v>4.2493302719999999</v>
      </c>
      <c r="AA22" s="124">
        <f t="shared" si="6"/>
        <v>4.2377200799999999</v>
      </c>
      <c r="AB22" s="124">
        <f t="shared" si="6"/>
        <v>4.2377200799999999</v>
      </c>
      <c r="AC22" s="124">
        <f t="shared" ref="AC22:AD22" si="7">SUM(AC19:AC21)</f>
        <v>4.2377200799999999</v>
      </c>
      <c r="AD22" s="124">
        <f t="shared" si="7"/>
        <v>4.2493302719999999</v>
      </c>
      <c r="AE22" s="124">
        <f>SUM(AE19:AE21)</f>
        <v>5.4175304604221086</v>
      </c>
    </row>
    <row r="23" spans="1:31" x14ac:dyDescent="0.25">
      <c r="A23" s="49" t="s">
        <v>150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0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25">
      <c r="A24" s="2" t="s">
        <v>151</v>
      </c>
      <c r="B24" s="2"/>
      <c r="C24" s="2"/>
      <c r="D24" s="2"/>
      <c r="E24" s="2"/>
      <c r="F24" s="2"/>
      <c r="G24" s="2"/>
      <c r="H24" s="2"/>
      <c r="I24" s="2"/>
      <c r="J24" s="92"/>
      <c r="K24" s="92"/>
      <c r="L24" s="211"/>
      <c r="M24" s="92">
        <f>Assumptions!$C$53*(1+Assumptions!$C$54)</f>
        <v>0.64848000000000006</v>
      </c>
      <c r="N24" s="92">
        <f>M24*(1+Assumptions!$C$54)</f>
        <v>0.68090400000000006</v>
      </c>
      <c r="O24" s="92">
        <f>N24*(1+Assumptions!$C$54)</f>
        <v>0.71494920000000006</v>
      </c>
      <c r="P24" s="92">
        <f>O24*(1+Assumptions!$C$54)</f>
        <v>0.75069666000000013</v>
      </c>
      <c r="Q24" s="92">
        <f>P24*(1+Assumptions!$C$54)</f>
        <v>0.78823149300000017</v>
      </c>
      <c r="R24" s="92">
        <f>Q24*(1+Assumptions!$C$54)</f>
        <v>0.82764306765000017</v>
      </c>
      <c r="S24" s="92">
        <f>R24*(1+Assumptions!$C$54)</f>
        <v>0.86902522103250024</v>
      </c>
      <c r="T24" s="92">
        <f>S24*(1+Assumptions!$C$54)</f>
        <v>0.91247648208412524</v>
      </c>
      <c r="U24" s="92">
        <f>T24*(1+Assumptions!$C$54)</f>
        <v>0.95810030618833153</v>
      </c>
      <c r="V24" s="92">
        <f>U24*(1+Assumptions!$C$54)</f>
        <v>1.0060053214977482</v>
      </c>
      <c r="W24" s="92">
        <f>V24*(1+Assumptions!$C$54)</f>
        <v>1.0563055875726357</v>
      </c>
      <c r="X24" s="92">
        <f>W24*(1+Assumptions!$C$54)</f>
        <v>1.1091208669512675</v>
      </c>
      <c r="Y24" s="92">
        <f>X24*(1+Assumptions!$C$54)</f>
        <v>1.164576910298831</v>
      </c>
      <c r="Z24" s="92">
        <f>Y24*(1+Assumptions!$C$54)</f>
        <v>1.2228057558137726</v>
      </c>
      <c r="AA24" s="92">
        <f>Z24*(1+Assumptions!$C$54)</f>
        <v>1.2839460436044612</v>
      </c>
      <c r="AB24" s="92">
        <f>AA24*(1+Assumptions!$C$54)</f>
        <v>1.3481433457846843</v>
      </c>
      <c r="AC24" s="92">
        <f>AB24*(1+Assumptions!$C$54)</f>
        <v>1.4155505130739185</v>
      </c>
      <c r="AD24" s="92">
        <f>AC24*(1+Assumptions!$C$54)</f>
        <v>1.4863280387276145</v>
      </c>
      <c r="AE24" s="92">
        <f>(AD24*(1+Assumptions!$C$54))*AE3/AC3</f>
        <v>0.91073223523679736</v>
      </c>
    </row>
    <row r="25" spans="1:31" ht="15.75" thickBot="1" x14ac:dyDescent="0.3">
      <c r="A25" s="2" t="s">
        <v>152</v>
      </c>
      <c r="B25" s="2"/>
      <c r="C25" s="2"/>
      <c r="D25" s="2"/>
      <c r="E25" s="2"/>
      <c r="F25" s="2"/>
      <c r="G25" s="2"/>
      <c r="H25" s="2"/>
      <c r="I25" s="2"/>
      <c r="J25" s="190"/>
      <c r="K25" s="190"/>
      <c r="L25" s="212"/>
      <c r="M25" s="190">
        <f>Assumptions!$C$56*(1+Assumptions!$C$57)</f>
        <v>0.40068000000000004</v>
      </c>
      <c r="N25" s="190">
        <f>M25*(1+Assumptions!$C$57)</f>
        <v>0.42071400000000003</v>
      </c>
      <c r="O25" s="190">
        <f>N25*(1+Assumptions!$C$57)</f>
        <v>0.44174970000000008</v>
      </c>
      <c r="P25" s="190">
        <f>O25*(1+Assumptions!$C$57)</f>
        <v>0.4638371850000001</v>
      </c>
      <c r="Q25" s="190">
        <f>P25*(1+Assumptions!$C$57)</f>
        <v>0.4870290442500001</v>
      </c>
      <c r="R25" s="190">
        <f>Q25*(1+Assumptions!$C$57)</f>
        <v>0.51138049646250017</v>
      </c>
      <c r="S25" s="190">
        <f>R25*(1+Assumptions!$C$57)</f>
        <v>0.53694952128562523</v>
      </c>
      <c r="T25" s="190">
        <f>S25*(1+Assumptions!$C$57)</f>
        <v>0.56379699734990651</v>
      </c>
      <c r="U25" s="190">
        <f>T25*(1+Assumptions!$C$57)</f>
        <v>0.59198684721740191</v>
      </c>
      <c r="V25" s="190">
        <f>U25*(1+Assumptions!$C$57)</f>
        <v>0.62158618957827205</v>
      </c>
      <c r="W25" s="190">
        <f>V25*(1+Assumptions!$C$57)</f>
        <v>0.65266549905718563</v>
      </c>
      <c r="X25" s="190">
        <f>W25*(1+Assumptions!$C$57)</f>
        <v>0.68529877401004491</v>
      </c>
      <c r="Y25" s="190">
        <f>X25*(1+Assumptions!$C$57)</f>
        <v>0.7195637127105472</v>
      </c>
      <c r="Z25" s="190">
        <f>Y25*(1+Assumptions!$C$57)</f>
        <v>0.75554189834607455</v>
      </c>
      <c r="AA25" s="190">
        <f>Z25*(1+Assumptions!$C$57)</f>
        <v>0.79331899326337829</v>
      </c>
      <c r="AB25" s="190">
        <f>AA25*(1+Assumptions!$C$57)</f>
        <v>0.83298494292654723</v>
      </c>
      <c r="AC25" s="190">
        <f>AB25*(1+Assumptions!$C$57)</f>
        <v>0.87463419007287468</v>
      </c>
      <c r="AD25" s="190">
        <f>AC25*(1+Assumptions!$C$57)</f>
        <v>0.91836589957651849</v>
      </c>
      <c r="AE25" s="190">
        <f>AD25*(1+Assumptions!$C$57)*AE3/AC3</f>
        <v>0.56271926969942021</v>
      </c>
    </row>
    <row r="26" spans="1:31" x14ac:dyDescent="0.25">
      <c r="A26" s="49" t="s">
        <v>153</v>
      </c>
      <c r="B26" s="2"/>
      <c r="C26" s="2"/>
      <c r="D26" s="2"/>
      <c r="E26" s="2"/>
      <c r="F26" s="2"/>
      <c r="G26" s="2"/>
      <c r="H26" s="2"/>
      <c r="I26" s="2"/>
      <c r="J26" s="192"/>
      <c r="K26" s="192"/>
      <c r="L26" s="215"/>
      <c r="M26" s="192">
        <f t="shared" ref="M26:AE26" si="8">SUM(M24:M25)</f>
        <v>1.0491600000000001</v>
      </c>
      <c r="N26" s="192">
        <f t="shared" si="8"/>
        <v>1.1016180000000002</v>
      </c>
      <c r="O26" s="192">
        <f t="shared" si="8"/>
        <v>1.1566989000000001</v>
      </c>
      <c r="P26" s="192">
        <f t="shared" si="8"/>
        <v>1.2145338450000003</v>
      </c>
      <c r="Q26" s="192">
        <f t="shared" si="8"/>
        <v>1.2752605372500003</v>
      </c>
      <c r="R26" s="192">
        <f t="shared" si="8"/>
        <v>1.3390235641125003</v>
      </c>
      <c r="S26" s="192">
        <f t="shared" si="8"/>
        <v>1.4059747423181255</v>
      </c>
      <c r="T26" s="192">
        <f t="shared" si="8"/>
        <v>1.4762734794340318</v>
      </c>
      <c r="U26" s="192">
        <f t="shared" si="8"/>
        <v>1.5500871534057334</v>
      </c>
      <c r="V26" s="192">
        <f t="shared" si="8"/>
        <v>1.6275915110760204</v>
      </c>
      <c r="W26" s="192">
        <f t="shared" si="8"/>
        <v>1.7089710866298213</v>
      </c>
      <c r="X26" s="192">
        <f t="shared" si="8"/>
        <v>1.7944196409613125</v>
      </c>
      <c r="Y26" s="192">
        <f t="shared" si="8"/>
        <v>1.8841406230093782</v>
      </c>
      <c r="Z26" s="192">
        <f t="shared" si="8"/>
        <v>1.978347654159847</v>
      </c>
      <c r="AA26" s="192">
        <f t="shared" si="8"/>
        <v>2.0772650368678396</v>
      </c>
      <c r="AB26" s="192">
        <f t="shared" si="8"/>
        <v>2.1811282887112315</v>
      </c>
      <c r="AC26" s="192">
        <f t="shared" si="8"/>
        <v>2.2901847031467932</v>
      </c>
      <c r="AD26" s="192">
        <f t="shared" si="8"/>
        <v>2.404693938304133</v>
      </c>
      <c r="AE26" s="192">
        <f t="shared" si="8"/>
        <v>1.4734515049362176</v>
      </c>
    </row>
    <row r="27" spans="1:31" x14ac:dyDescent="0.25">
      <c r="A27" s="98" t="s">
        <v>154</v>
      </c>
      <c r="B27" s="49"/>
      <c r="C27" s="49"/>
      <c r="D27" s="49"/>
      <c r="E27" s="49"/>
      <c r="F27" s="49"/>
      <c r="G27" s="49"/>
      <c r="H27" s="49"/>
      <c r="I27" s="49"/>
      <c r="J27" s="124"/>
      <c r="K27" s="124"/>
      <c r="L27" s="210"/>
      <c r="M27" s="124">
        <f>M22-M26</f>
        <v>8.5049725439999992</v>
      </c>
      <c r="N27" s="124">
        <f>N22-N26</f>
        <v>8.4786902495999996</v>
      </c>
      <c r="O27" s="124">
        <f>O22-O26</f>
        <v>8.3974336439999995</v>
      </c>
      <c r="P27" s="124">
        <f>P22-P26</f>
        <v>8.3395986989999997</v>
      </c>
      <c r="Q27" s="124">
        <f>Q22-Q26</f>
        <v>7.50837744675</v>
      </c>
      <c r="R27" s="124">
        <f>R22-R26</f>
        <v>7.4686791814875004</v>
      </c>
      <c r="S27" s="124">
        <f>S22-S26</f>
        <v>5.4835307816818739</v>
      </c>
      <c r="T27" s="124">
        <f>T22-T26</f>
        <v>2.7614466005659679</v>
      </c>
      <c r="U27" s="124">
        <f>U22-U26</f>
        <v>2.6876329265942664</v>
      </c>
      <c r="V27" s="124">
        <f>V22-V26</f>
        <v>2.6217387609239795</v>
      </c>
      <c r="W27" s="124">
        <f>W22-W26</f>
        <v>2.5287489933701783</v>
      </c>
      <c r="X27" s="124">
        <f>X22-X26</f>
        <v>2.4433004390386874</v>
      </c>
      <c r="Y27" s="124">
        <f>Y22-Y26</f>
        <v>2.3535794569906217</v>
      </c>
      <c r="Z27" s="124">
        <f>Z22-Z26</f>
        <v>2.2709826178401529</v>
      </c>
      <c r="AA27" s="124">
        <f>AA22-AA26</f>
        <v>2.1604550431321603</v>
      </c>
      <c r="AB27" s="124">
        <f>AB22-AB26</f>
        <v>2.0565917912887683</v>
      </c>
      <c r="AC27" s="124">
        <f>AC22-AC26</f>
        <v>1.9475353768532067</v>
      </c>
      <c r="AD27" s="124">
        <f>AD22-AD26</f>
        <v>1.8446363336958669</v>
      </c>
      <c r="AE27" s="124">
        <f>AE22-AE26</f>
        <v>3.944078955485891</v>
      </c>
    </row>
    <row r="28" spans="1:31" x14ac:dyDescent="0.25">
      <c r="A28" s="147" t="s">
        <v>155</v>
      </c>
      <c r="B28" s="49"/>
      <c r="C28" s="49"/>
      <c r="D28" s="49"/>
      <c r="E28" s="49"/>
      <c r="F28" s="49"/>
      <c r="G28" s="49"/>
      <c r="H28" s="49"/>
      <c r="I28" s="49"/>
      <c r="J28" s="148"/>
      <c r="K28" s="148"/>
      <c r="L28" s="216"/>
      <c r="M28" s="148">
        <f t="shared" ref="M28:AB28" si="9">M27/M$22</f>
        <v>0.89018783283900815</v>
      </c>
      <c r="N28" s="148">
        <f t="shared" si="9"/>
        <v>0.88501225938674832</v>
      </c>
      <c r="O28" s="148">
        <f t="shared" si="9"/>
        <v>0.87893208570500647</v>
      </c>
      <c r="P28" s="148">
        <f t="shared" si="9"/>
        <v>0.87287868999025686</v>
      </c>
      <c r="Q28" s="148">
        <f t="shared" si="9"/>
        <v>0.85481408277834592</v>
      </c>
      <c r="R28" s="148">
        <f t="shared" si="9"/>
        <v>0.84797130389289921</v>
      </c>
      <c r="S28" s="148">
        <f t="shared" si="9"/>
        <v>0.795925159299121</v>
      </c>
      <c r="T28" s="148">
        <f t="shared" si="9"/>
        <v>0.65163497079447685</v>
      </c>
      <c r="U28" s="148">
        <f t="shared" si="9"/>
        <v>0.63421671933420065</v>
      </c>
      <c r="V28" s="148">
        <f t="shared" si="9"/>
        <v>0.61697693356511585</v>
      </c>
      <c r="W28" s="148">
        <f t="shared" si="9"/>
        <v>0.59672393306595617</v>
      </c>
      <c r="X28" s="148">
        <f t="shared" si="9"/>
        <v>0.57656012971925397</v>
      </c>
      <c r="Y28" s="148">
        <f t="shared" si="9"/>
        <v>0.55538813620521665</v>
      </c>
      <c r="Z28" s="148">
        <f t="shared" si="9"/>
        <v>0.53443306885423303</v>
      </c>
      <c r="AA28" s="148">
        <f t="shared" si="9"/>
        <v>0.50981542016625137</v>
      </c>
      <c r="AB28" s="148">
        <f t="shared" si="9"/>
        <v>0.48530619117456392</v>
      </c>
      <c r="AC28" s="148">
        <f t="shared" ref="AC28:AE28" si="10">AC27/AC$22</f>
        <v>0.45957150073329212</v>
      </c>
      <c r="AD28" s="148">
        <f t="shared" si="10"/>
        <v>0.43410048539900054</v>
      </c>
      <c r="AE28" s="148">
        <f t="shared" si="10"/>
        <v>0.72802155600221341</v>
      </c>
    </row>
    <row r="29" spans="1:31" x14ac:dyDescent="0.25">
      <c r="A29" s="2" t="s">
        <v>156</v>
      </c>
      <c r="B29" s="2"/>
      <c r="C29" s="2"/>
      <c r="D29" s="2"/>
      <c r="E29" s="2"/>
      <c r="F29" s="2"/>
      <c r="G29" s="2"/>
      <c r="H29" s="2"/>
      <c r="I29" s="2"/>
      <c r="J29" s="92"/>
      <c r="K29" s="92"/>
      <c r="L29" s="211"/>
      <c r="M29" s="92">
        <f>'Depreciation Schedule'!H75</f>
        <v>2.4756611363636365</v>
      </c>
      <c r="N29" s="92">
        <f>'Depreciation Schedule'!I75</f>
        <v>2.4756611363636365</v>
      </c>
      <c r="O29" s="92">
        <f>'Depreciation Schedule'!J75</f>
        <v>2.4756611363636365</v>
      </c>
      <c r="P29" s="92">
        <f>'Depreciation Schedule'!K75</f>
        <v>2.4756611363636365</v>
      </c>
      <c r="Q29" s="92">
        <f>'Depreciation Schedule'!L75</f>
        <v>2.4756611363636365</v>
      </c>
      <c r="R29" s="92">
        <f>'Depreciation Schedule'!M75</f>
        <v>2.4756611363636365</v>
      </c>
      <c r="S29" s="92">
        <f>'Depreciation Schedule'!N75</f>
        <v>2.4756611363636365</v>
      </c>
      <c r="T29" s="92">
        <f>'Depreciation Schedule'!O75</f>
        <v>2.4756611363636365</v>
      </c>
      <c r="U29" s="92">
        <f>'Depreciation Schedule'!P75</f>
        <v>2.4756611363636365</v>
      </c>
      <c r="V29" s="92">
        <f>'Depreciation Schedule'!Q75</f>
        <v>2.4756611363636365</v>
      </c>
      <c r="W29" s="92">
        <f>'Depreciation Schedule'!R75</f>
        <v>2.4756611363636365</v>
      </c>
      <c r="X29" s="92">
        <f>'Depreciation Schedule'!S75</f>
        <v>2.4756611363636365</v>
      </c>
      <c r="Y29" s="92">
        <f>'Depreciation Schedule'!T75</f>
        <v>2.4756611363636365</v>
      </c>
      <c r="Z29" s="92">
        <f>'Depreciation Schedule'!U75</f>
        <v>2.4756611363636365</v>
      </c>
      <c r="AA29" s="92">
        <f>'Depreciation Schedule'!V75</f>
        <v>2.4756611363636365</v>
      </c>
      <c r="AB29" s="92">
        <f>'Depreciation Schedule'!W75</f>
        <v>2.4756611363636365</v>
      </c>
      <c r="AC29" s="92">
        <f>'Depreciation Schedule'!X75</f>
        <v>2.4756611363636365</v>
      </c>
      <c r="AD29" s="92">
        <f>'Depreciation Schedule'!Y75</f>
        <v>0</v>
      </c>
      <c r="AE29" s="92">
        <f>'Depreciation Schedule'!Z75</f>
        <v>0</v>
      </c>
    </row>
    <row r="30" spans="1:31" x14ac:dyDescent="0.25">
      <c r="A30" s="98" t="s">
        <v>157</v>
      </c>
      <c r="B30" s="2"/>
      <c r="C30" s="2"/>
      <c r="D30" s="2"/>
      <c r="E30" s="2"/>
      <c r="F30" s="2"/>
      <c r="G30" s="2"/>
      <c r="H30" s="2"/>
      <c r="I30" s="2"/>
      <c r="J30" s="124"/>
      <c r="K30" s="124"/>
      <c r="L30" s="210"/>
      <c r="M30" s="124">
        <f>M27-M29</f>
        <v>6.0293114076363628</v>
      </c>
      <c r="N30" s="124">
        <f>N27-N29</f>
        <v>6.0030291132363631</v>
      </c>
      <c r="O30" s="124">
        <f>O27-O29</f>
        <v>5.921772507636363</v>
      </c>
      <c r="P30" s="124">
        <f>P27-P29</f>
        <v>5.8639375626363632</v>
      </c>
      <c r="Q30" s="124">
        <f>Q27-Q29</f>
        <v>5.0327163103863635</v>
      </c>
      <c r="R30" s="124">
        <f>R27-R29</f>
        <v>4.9930180451238639</v>
      </c>
      <c r="S30" s="124">
        <f>S27-S29</f>
        <v>3.0078696453182374</v>
      </c>
      <c r="T30" s="124">
        <f>T27-T29</f>
        <v>0.28578546420233142</v>
      </c>
      <c r="U30" s="124">
        <f>U27-U29</f>
        <v>0.21197179023062995</v>
      </c>
      <c r="V30" s="124">
        <f>V27-V29</f>
        <v>0.14607762456034301</v>
      </c>
      <c r="W30" s="124">
        <f>W27-W29</f>
        <v>5.3087857006541839E-2</v>
      </c>
      <c r="X30" s="124">
        <f>X27-X29</f>
        <v>-3.2360697324949061E-2</v>
      </c>
      <c r="Y30" s="124">
        <f>Y27-Y29</f>
        <v>-0.12208167937301484</v>
      </c>
      <c r="Z30" s="124">
        <f>Z27-Z29</f>
        <v>-0.20467851852348362</v>
      </c>
      <c r="AA30" s="124">
        <f>AA27-AA29</f>
        <v>-0.31520609323147619</v>
      </c>
      <c r="AB30" s="124">
        <f>AB27-AB29</f>
        <v>-0.41906934507486815</v>
      </c>
      <c r="AC30" s="124">
        <f>AC27-AC29</f>
        <v>-0.52812575951042984</v>
      </c>
      <c r="AD30" s="124">
        <f>AD27-AD29</f>
        <v>1.8446363336958669</v>
      </c>
      <c r="AE30" s="124">
        <f>AE27-AE29</f>
        <v>3.944078955485891</v>
      </c>
    </row>
    <row r="31" spans="1:31" x14ac:dyDescent="0.25">
      <c r="A31" s="147" t="s">
        <v>158</v>
      </c>
      <c r="B31" s="2"/>
      <c r="C31" s="2"/>
      <c r="D31" s="2"/>
      <c r="E31" s="2"/>
      <c r="F31" s="2"/>
      <c r="G31" s="2"/>
      <c r="H31" s="2"/>
      <c r="I31" s="2"/>
      <c r="J31" s="148"/>
      <c r="K31" s="148"/>
      <c r="L31" s="216"/>
      <c r="M31" s="148">
        <f t="shared" ref="M31:AB31" si="11">M30/M$22</f>
        <v>0.63106842822928744</v>
      </c>
      <c r="N31" s="148">
        <f t="shared" si="11"/>
        <v>0.62660083129235467</v>
      </c>
      <c r="O31" s="148">
        <f t="shared" si="11"/>
        <v>0.61981268109528576</v>
      </c>
      <c r="P31" s="148">
        <f t="shared" si="11"/>
        <v>0.61375928538053615</v>
      </c>
      <c r="Q31" s="148">
        <f t="shared" si="11"/>
        <v>0.57296490583443915</v>
      </c>
      <c r="R31" s="148">
        <f t="shared" si="11"/>
        <v>0.56689220666741846</v>
      </c>
      <c r="S31" s="148">
        <f t="shared" si="11"/>
        <v>0.43658715924388852</v>
      </c>
      <c r="T31" s="148">
        <f t="shared" si="11"/>
        <v>6.7438494947106423E-2</v>
      </c>
      <c r="U31" s="148">
        <f t="shared" si="11"/>
        <v>5.0020243486830297E-2</v>
      </c>
      <c r="V31" s="148">
        <f t="shared" si="11"/>
        <v>3.4376622952301088E-2</v>
      </c>
      <c r="W31" s="148">
        <f t="shared" si="11"/>
        <v>1.2527457218585763E-2</v>
      </c>
      <c r="X31" s="148">
        <f t="shared" si="11"/>
        <v>-7.636346128116386E-3</v>
      </c>
      <c r="Y31" s="148">
        <f t="shared" si="11"/>
        <v>-2.8808339642153721E-2</v>
      </c>
      <c r="Z31" s="148">
        <f t="shared" si="11"/>
        <v>-4.8167241758581676E-2</v>
      </c>
      <c r="AA31" s="148">
        <f t="shared" si="11"/>
        <v>-7.4381055681119038E-2</v>
      </c>
      <c r="AB31" s="148">
        <f t="shared" si="11"/>
        <v>-9.8890284672806458E-2</v>
      </c>
      <c r="AC31" s="148">
        <f t="shared" ref="AC31:AE31" si="12">AC30/AC$22</f>
        <v>-0.12462497511407829</v>
      </c>
      <c r="AD31" s="148">
        <f t="shared" si="12"/>
        <v>0.43410048539900054</v>
      </c>
      <c r="AE31" s="148">
        <f t="shared" si="12"/>
        <v>0.72802155600221341</v>
      </c>
    </row>
    <row r="32" spans="1:31" x14ac:dyDescent="0.25">
      <c r="A32" s="2" t="s">
        <v>104</v>
      </c>
      <c r="B32" s="2"/>
      <c r="C32" s="2"/>
      <c r="D32" s="2"/>
      <c r="E32" s="2"/>
      <c r="F32" s="2"/>
      <c r="G32" s="2"/>
      <c r="H32" s="2"/>
      <c r="I32" s="2"/>
      <c r="J32" s="146"/>
      <c r="K32" s="146"/>
      <c r="L32" s="214"/>
      <c r="M32" s="214">
        <f>'Debt Sch'!C15+'Debt Sch'!C30</f>
        <v>5.5276971428571429</v>
      </c>
      <c r="N32" s="214">
        <f>'Debt Sch'!D15+'Debt Sch'!D30</f>
        <v>4.6064142857142851</v>
      </c>
      <c r="O32" s="214">
        <f>'Debt Sch'!E15+'Debt Sch'!E30</f>
        <v>3.6851314285714283</v>
      </c>
      <c r="P32" s="214">
        <f>'Debt Sch'!F15+'Debt Sch'!F30</f>
        <v>2.7638485714285705</v>
      </c>
      <c r="Q32" s="214">
        <f>'Debt Sch'!G15+'Debt Sch'!G30</f>
        <v>1.8425657142857137</v>
      </c>
      <c r="R32" s="214">
        <f>'Debt Sch'!H15+'Debt Sch'!H30</f>
        <v>0.9212828571428564</v>
      </c>
      <c r="S32" s="214">
        <f>'Debt Sch'!I15+'Debt Sch'!I30</f>
        <v>0</v>
      </c>
      <c r="T32" s="214">
        <f>'Debt Sch'!J15+'Debt Sch'!J30</f>
        <v>0</v>
      </c>
      <c r="U32" s="214">
        <f>'Debt Sch'!K15+'Debt Sch'!K30</f>
        <v>0</v>
      </c>
      <c r="V32" s="214">
        <f>'Debt Sch'!L15+'Debt Sch'!L30</f>
        <v>0</v>
      </c>
      <c r="W32" s="214">
        <f>'Debt Sch'!M15+'Debt Sch'!M30</f>
        <v>0</v>
      </c>
      <c r="X32" s="214">
        <f>'Debt Sch'!N15+'Debt Sch'!N30</f>
        <v>0</v>
      </c>
      <c r="Y32" s="214">
        <f>'Debt Sch'!O15+'Debt Sch'!O30</f>
        <v>0</v>
      </c>
      <c r="Z32" s="214">
        <f>'Debt Sch'!P15+'Debt Sch'!P30</f>
        <v>0</v>
      </c>
      <c r="AA32" s="214">
        <f>'Debt Sch'!Q15+'Debt Sch'!Q30</f>
        <v>0</v>
      </c>
      <c r="AB32" s="214">
        <f>'Debt Sch'!R15+'Debt Sch'!R30</f>
        <v>0</v>
      </c>
      <c r="AC32" s="214">
        <f>'Debt Sch'!S15+'Debt Sch'!S30</f>
        <v>0</v>
      </c>
      <c r="AD32" s="214">
        <f>'Debt Sch'!T15+'Debt Sch'!T30</f>
        <v>0</v>
      </c>
      <c r="AE32" s="214">
        <f>'Debt Sch'!U15+'Debt Sch'!U30</f>
        <v>0</v>
      </c>
    </row>
    <row r="33" spans="1:31" x14ac:dyDescent="0.25">
      <c r="A33" s="98" t="s">
        <v>159</v>
      </c>
      <c r="B33" s="49"/>
      <c r="C33" s="49"/>
      <c r="D33" s="49"/>
      <c r="E33" s="49"/>
      <c r="F33" s="49">
        <v>-1.5115000000000001</v>
      </c>
      <c r="G33" s="49">
        <v>-3.6191</v>
      </c>
      <c r="H33" s="49">
        <v>-0.62849999999999995</v>
      </c>
      <c r="I33" s="49">
        <v>-0.1162</v>
      </c>
      <c r="J33" s="149"/>
      <c r="K33" s="149"/>
      <c r="L33" s="217"/>
      <c r="M33" s="149">
        <f>M30-M32</f>
        <v>0.50161426477921989</v>
      </c>
      <c r="N33" s="149">
        <f>N30-N32</f>
        <v>1.396614827522078</v>
      </c>
      <c r="O33" s="149">
        <f>O30-O32</f>
        <v>2.2366410790649347</v>
      </c>
      <c r="P33" s="149">
        <f>P30-P32</f>
        <v>3.1000889912077927</v>
      </c>
      <c r="Q33" s="149">
        <f>Q30-Q32</f>
        <v>3.1901505961006498</v>
      </c>
      <c r="R33" s="149">
        <f>R30-R32</f>
        <v>4.0717351879810071</v>
      </c>
      <c r="S33" s="149">
        <f>S30-S32</f>
        <v>3.0078696453182374</v>
      </c>
      <c r="T33" s="149">
        <f>T30-T32</f>
        <v>0.28578546420233142</v>
      </c>
      <c r="U33" s="149">
        <f>U30-U32</f>
        <v>0.21197179023062995</v>
      </c>
      <c r="V33" s="149">
        <f>V30-V32</f>
        <v>0.14607762456034301</v>
      </c>
      <c r="W33" s="149">
        <f>W30-W32</f>
        <v>5.3087857006541839E-2</v>
      </c>
      <c r="X33" s="149">
        <f>X30-X32</f>
        <v>-3.2360697324949061E-2</v>
      </c>
      <c r="Y33" s="149">
        <f>Y30-Y32</f>
        <v>-0.12208167937301484</v>
      </c>
      <c r="Z33" s="149">
        <f>Z30-Z32</f>
        <v>-0.20467851852348362</v>
      </c>
      <c r="AA33" s="149">
        <f>AA30-AA32</f>
        <v>-0.31520609323147619</v>
      </c>
      <c r="AB33" s="149">
        <f>AB30-AB32</f>
        <v>-0.41906934507486815</v>
      </c>
      <c r="AC33" s="149">
        <f>AC30-AC32</f>
        <v>-0.52812575951042984</v>
      </c>
      <c r="AD33" s="149">
        <f>AD30-AD32</f>
        <v>1.8446363336958669</v>
      </c>
      <c r="AE33" s="149">
        <f>AE30-AE32</f>
        <v>3.944078955485891</v>
      </c>
    </row>
    <row r="34" spans="1:31" x14ac:dyDescent="0.25">
      <c r="A34" s="147" t="s">
        <v>160</v>
      </c>
      <c r="B34" s="2"/>
      <c r="C34" s="2"/>
      <c r="D34" s="2"/>
      <c r="E34" s="2"/>
      <c r="F34" s="2"/>
      <c r="G34" s="2"/>
      <c r="H34" s="2"/>
      <c r="I34" s="2"/>
      <c r="J34" s="148"/>
      <c r="K34" s="148"/>
      <c r="L34" s="216"/>
      <c r="M34" s="148">
        <f t="shared" ref="M34:AB34" si="13">M33/M$22</f>
        <v>5.2502334719464812E-2</v>
      </c>
      <c r="N34" s="148">
        <f t="shared" si="13"/>
        <v>0.14577973809771622</v>
      </c>
      <c r="O34" s="148">
        <f t="shared" si="13"/>
        <v>0.23410195208873741</v>
      </c>
      <c r="P34" s="148">
        <f t="shared" si="13"/>
        <v>0.32447623862562491</v>
      </c>
      <c r="Q34" s="148">
        <f t="shared" si="13"/>
        <v>0.36319240409403575</v>
      </c>
      <c r="R34" s="148">
        <f t="shared" si="13"/>
        <v>0.46229253025314621</v>
      </c>
      <c r="S34" s="148">
        <f t="shared" si="13"/>
        <v>0.43658715924388852</v>
      </c>
      <c r="T34" s="148">
        <f t="shared" si="13"/>
        <v>6.7438494947106423E-2</v>
      </c>
      <c r="U34" s="148">
        <f t="shared" si="13"/>
        <v>5.0020243486830297E-2</v>
      </c>
      <c r="V34" s="148">
        <f t="shared" si="13"/>
        <v>3.4376622952301088E-2</v>
      </c>
      <c r="W34" s="148">
        <f t="shared" si="13"/>
        <v>1.2527457218585763E-2</v>
      </c>
      <c r="X34" s="148">
        <f t="shared" si="13"/>
        <v>-7.636346128116386E-3</v>
      </c>
      <c r="Y34" s="148">
        <f t="shared" si="13"/>
        <v>-2.8808339642153721E-2</v>
      </c>
      <c r="Z34" s="148">
        <f t="shared" si="13"/>
        <v>-4.8167241758581676E-2</v>
      </c>
      <c r="AA34" s="148">
        <f t="shared" si="13"/>
        <v>-7.4381055681119038E-2</v>
      </c>
      <c r="AB34" s="148">
        <f t="shared" si="13"/>
        <v>-9.8890284672806458E-2</v>
      </c>
      <c r="AC34" s="148">
        <f t="shared" ref="AC34:AE34" si="14">AC33/AC$22</f>
        <v>-0.12462497511407829</v>
      </c>
      <c r="AD34" s="148">
        <f t="shared" si="14"/>
        <v>0.43410048539900054</v>
      </c>
      <c r="AE34" s="148">
        <f t="shared" si="14"/>
        <v>0.72802155600221341</v>
      </c>
    </row>
    <row r="35" spans="1:31" hidden="1" x14ac:dyDescent="0.25">
      <c r="A35" s="2" t="s">
        <v>71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0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idden="1" x14ac:dyDescent="0.25">
      <c r="A36" s="49" t="s">
        <v>177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27"/>
      <c r="M36" s="227">
        <v>0.25169999999999998</v>
      </c>
      <c r="N36" s="227">
        <v>0.25169999999999998</v>
      </c>
      <c r="O36" s="227">
        <v>0.25169999999999998</v>
      </c>
      <c r="P36" s="227">
        <v>0.25169999999999998</v>
      </c>
      <c r="Q36" s="227">
        <v>0.25169999999999998</v>
      </c>
      <c r="R36" s="227">
        <v>0.25169999999999998</v>
      </c>
      <c r="S36" s="227">
        <v>0.25169999999999998</v>
      </c>
      <c r="T36" s="227">
        <v>0.25169999999999998</v>
      </c>
      <c r="U36" s="227">
        <v>0.25169999999999998</v>
      </c>
      <c r="V36" s="227">
        <v>0.25169999999999998</v>
      </c>
      <c r="W36" s="227">
        <v>0.25169999999999998</v>
      </c>
      <c r="X36" s="227">
        <v>0.25169999999999998</v>
      </c>
      <c r="Y36" s="227">
        <v>0.25169999999999998</v>
      </c>
      <c r="Z36" s="227">
        <v>0.25169999999999998</v>
      </c>
      <c r="AA36" s="227">
        <v>0.25169999999999998</v>
      </c>
      <c r="AB36" s="227">
        <v>0.25169999999999998</v>
      </c>
      <c r="AC36" s="227">
        <v>0.25169999999999998</v>
      </c>
      <c r="AD36" s="227">
        <v>0.25169999999999998</v>
      </c>
      <c r="AE36" s="227">
        <v>0.25169999999999998</v>
      </c>
    </row>
    <row r="37" spans="1:31" x14ac:dyDescent="0.25">
      <c r="A37" s="145" t="s">
        <v>178</v>
      </c>
      <c r="B37" s="2"/>
      <c r="C37" s="2"/>
      <c r="D37" s="2"/>
      <c r="E37" s="2"/>
      <c r="F37" s="2"/>
      <c r="G37" s="2"/>
      <c r="H37" s="2"/>
      <c r="I37" s="2"/>
      <c r="J37" s="45"/>
      <c r="K37" s="45"/>
      <c r="L37" s="218"/>
      <c r="M37" s="218">
        <f t="shared" ref="M37:AE37" si="15">IF(M33&gt;0,M33*M36,0)</f>
        <v>0.12625631044492963</v>
      </c>
      <c r="N37" s="218">
        <f t="shared" si="15"/>
        <v>0.35152795208730703</v>
      </c>
      <c r="O37" s="218">
        <f t="shared" si="15"/>
        <v>0.56296255960064401</v>
      </c>
      <c r="P37" s="218">
        <f t="shared" si="15"/>
        <v>0.78029239908700132</v>
      </c>
      <c r="Q37" s="218">
        <f t="shared" si="15"/>
        <v>0.80296090503853346</v>
      </c>
      <c r="R37" s="218">
        <f t="shared" si="15"/>
        <v>1.0248557468148194</v>
      </c>
      <c r="S37" s="218">
        <f t="shared" si="15"/>
        <v>0.75708078972660031</v>
      </c>
      <c r="T37" s="218">
        <f t="shared" si="15"/>
        <v>7.1932201339726817E-2</v>
      </c>
      <c r="U37" s="218">
        <f t="shared" si="15"/>
        <v>5.3353299601049557E-2</v>
      </c>
      <c r="V37" s="218">
        <f t="shared" si="15"/>
        <v>3.6767738101838331E-2</v>
      </c>
      <c r="W37" s="218">
        <f t="shared" si="15"/>
        <v>1.3362213608546579E-2</v>
      </c>
      <c r="X37" s="218">
        <f t="shared" si="15"/>
        <v>0</v>
      </c>
      <c r="Y37" s="218">
        <f t="shared" si="15"/>
        <v>0</v>
      </c>
      <c r="Z37" s="218">
        <f t="shared" si="15"/>
        <v>0</v>
      </c>
      <c r="AA37" s="218">
        <f t="shared" si="15"/>
        <v>0</v>
      </c>
      <c r="AB37" s="218">
        <f t="shared" si="15"/>
        <v>0</v>
      </c>
      <c r="AC37" s="218">
        <f t="shared" si="15"/>
        <v>0</v>
      </c>
      <c r="AD37" s="218">
        <f t="shared" si="15"/>
        <v>0.46429496519124963</v>
      </c>
      <c r="AE37" s="218">
        <f t="shared" si="15"/>
        <v>0.9927246730957987</v>
      </c>
    </row>
    <row r="38" spans="1:31" x14ac:dyDescent="0.25">
      <c r="A38" s="98" t="s">
        <v>179</v>
      </c>
      <c r="B38" s="49"/>
      <c r="C38" s="49"/>
      <c r="D38" s="49"/>
      <c r="E38" s="49"/>
      <c r="F38" s="49"/>
      <c r="G38" s="49"/>
      <c r="H38" s="49"/>
      <c r="I38" s="49"/>
      <c r="J38" s="149"/>
      <c r="K38" s="149"/>
      <c r="L38" s="217"/>
      <c r="M38" s="149">
        <f>M33-M37</f>
        <v>0.37535795433429026</v>
      </c>
      <c r="N38" s="149">
        <f>N33-N37</f>
        <v>1.0450868754347709</v>
      </c>
      <c r="O38" s="149">
        <f>O33-O37</f>
        <v>1.6736785194642907</v>
      </c>
      <c r="P38" s="149">
        <f>P33-P37</f>
        <v>2.3197965921207913</v>
      </c>
      <c r="Q38" s="149">
        <f>Q33-Q37</f>
        <v>2.3871896910621162</v>
      </c>
      <c r="R38" s="149">
        <f>R33-R37</f>
        <v>3.0468794411661877</v>
      </c>
      <c r="S38" s="149">
        <f>S33-S37</f>
        <v>2.2507888555916371</v>
      </c>
      <c r="T38" s="149">
        <f>T33-T37</f>
        <v>0.21385326286260459</v>
      </c>
      <c r="U38" s="149">
        <f>U33-U37</f>
        <v>0.15861849062958039</v>
      </c>
      <c r="V38" s="149">
        <f>V33-V37</f>
        <v>0.10930988645850467</v>
      </c>
      <c r="W38" s="149">
        <f>W33-W37</f>
        <v>3.972564339799526E-2</v>
      </c>
      <c r="X38" s="149">
        <f>X33-X37</f>
        <v>-3.2360697324949061E-2</v>
      </c>
      <c r="Y38" s="149">
        <f>Y33-Y37</f>
        <v>-0.12208167937301484</v>
      </c>
      <c r="Z38" s="149">
        <f>Z33-Z37</f>
        <v>-0.20467851852348362</v>
      </c>
      <c r="AA38" s="149">
        <f>AA33-AA37</f>
        <v>-0.31520609323147619</v>
      </c>
      <c r="AB38" s="149">
        <f>AB33-AB37</f>
        <v>-0.41906934507486815</v>
      </c>
      <c r="AC38" s="149">
        <f>AC33-AC37</f>
        <v>-0.52812575951042984</v>
      </c>
      <c r="AD38" s="149">
        <f>AD33-AD37</f>
        <v>1.3803413685046173</v>
      </c>
      <c r="AE38" s="149">
        <f>AE33-AE37</f>
        <v>2.9513542823900925</v>
      </c>
    </row>
    <row r="39" spans="1:31" x14ac:dyDescent="0.25">
      <c r="A39" s="147" t="s">
        <v>180</v>
      </c>
      <c r="B39" s="2"/>
      <c r="C39" s="2"/>
      <c r="D39" s="2"/>
      <c r="E39" s="2"/>
      <c r="F39" s="2"/>
      <c r="G39" s="2"/>
      <c r="H39" s="2"/>
      <c r="I39" s="2"/>
      <c r="J39" s="148"/>
      <c r="K39" s="148"/>
      <c r="L39" s="216"/>
      <c r="M39" s="148">
        <f t="shared" ref="M39:AB39" si="16">M38/M$22</f>
        <v>3.9287497070575522E-2</v>
      </c>
      <c r="N39" s="148">
        <f t="shared" si="16"/>
        <v>0.10908697801852103</v>
      </c>
      <c r="O39" s="148">
        <f t="shared" si="16"/>
        <v>0.17517849074800221</v>
      </c>
      <c r="P39" s="148">
        <f t="shared" si="16"/>
        <v>0.24280556936355513</v>
      </c>
      <c r="Q39" s="148">
        <f t="shared" si="16"/>
        <v>0.27177687598356698</v>
      </c>
      <c r="R39" s="148">
        <f t="shared" si="16"/>
        <v>0.34593350038842929</v>
      </c>
      <c r="S39" s="148">
        <f t="shared" si="16"/>
        <v>0.3266981712622018</v>
      </c>
      <c r="T39" s="148">
        <f t="shared" si="16"/>
        <v>5.0464225768919735E-2</v>
      </c>
      <c r="U39" s="148">
        <f t="shared" si="16"/>
        <v>3.7430148201195106E-2</v>
      </c>
      <c r="V39" s="148">
        <f t="shared" si="16"/>
        <v>2.57240269552069E-2</v>
      </c>
      <c r="W39" s="148">
        <f t="shared" si="16"/>
        <v>9.3742962366677278E-3</v>
      </c>
      <c r="X39" s="148">
        <f t="shared" si="16"/>
        <v>-7.636346128116386E-3</v>
      </c>
      <c r="Y39" s="148">
        <f t="shared" si="16"/>
        <v>-2.8808339642153721E-2</v>
      </c>
      <c r="Z39" s="148">
        <f t="shared" si="16"/>
        <v>-4.8167241758581676E-2</v>
      </c>
      <c r="AA39" s="148">
        <f t="shared" si="16"/>
        <v>-7.4381055681119038E-2</v>
      </c>
      <c r="AB39" s="148">
        <f t="shared" si="16"/>
        <v>-9.8890284672806458E-2</v>
      </c>
      <c r="AC39" s="148">
        <f t="shared" ref="AC39:AE39" si="17">AC38/AC$22</f>
        <v>-0.12462497511407829</v>
      </c>
      <c r="AD39" s="148">
        <f t="shared" si="17"/>
        <v>0.32483739322407212</v>
      </c>
      <c r="AE39" s="148">
        <f t="shared" si="17"/>
        <v>0.54477853035645629</v>
      </c>
    </row>
    <row r="41" spans="1:31" hidden="1" x14ac:dyDescent="0.25"/>
    <row r="42" spans="1:31" hidden="1" x14ac:dyDescent="0.25">
      <c r="A42" s="130" t="s">
        <v>161</v>
      </c>
      <c r="B42" s="143" t="s">
        <v>113</v>
      </c>
      <c r="C42" s="130"/>
      <c r="D42" s="130"/>
      <c r="E42" s="130"/>
      <c r="F42" s="130"/>
      <c r="G42" s="130"/>
      <c r="H42" s="130">
        <v>8</v>
      </c>
      <c r="I42" s="5"/>
      <c r="J42" s="131"/>
      <c r="K42" s="131"/>
      <c r="L42" s="219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</row>
    <row r="43" spans="1:31" hidden="1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219"/>
      <c r="M43" s="132"/>
      <c r="N43" s="132"/>
      <c r="O43" s="132"/>
      <c r="P43" s="132"/>
      <c r="Q43" s="132"/>
      <c r="R43" s="132"/>
      <c r="S43" s="132"/>
      <c r="T43" s="132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idden="1" x14ac:dyDescent="0.25">
      <c r="A44" s="133" t="s">
        <v>162</v>
      </c>
      <c r="B44" s="134"/>
      <c r="C44" s="134"/>
      <c r="D44" s="134"/>
      <c r="E44" s="134"/>
      <c r="F44" s="134"/>
      <c r="G44" s="134"/>
      <c r="H44" s="131"/>
      <c r="I44" s="131"/>
      <c r="J44" s="131"/>
      <c r="K44" s="131"/>
      <c r="L44" s="219"/>
      <c r="M44" s="132"/>
      <c r="N44" s="132"/>
      <c r="O44" s="132"/>
      <c r="P44" s="132"/>
      <c r="Q44" s="132"/>
      <c r="R44" s="132"/>
      <c r="S44" s="132"/>
      <c r="T44" s="132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idden="1" x14ac:dyDescent="0.25">
      <c r="A45" s="130" t="s">
        <v>163</v>
      </c>
      <c r="B45" s="130"/>
      <c r="C45" s="130"/>
      <c r="D45" s="130"/>
      <c r="E45" s="130"/>
      <c r="F45" s="130"/>
      <c r="G45" s="130"/>
      <c r="H45" s="130"/>
      <c r="I45" s="135" t="e">
        <f>#REF!</f>
        <v>#REF!</v>
      </c>
      <c r="J45" s="135">
        <f>J33</f>
        <v>0</v>
      </c>
      <c r="K45" s="135">
        <f>K33</f>
        <v>0</v>
      </c>
      <c r="L45" s="220">
        <f>L33</f>
        <v>0</v>
      </c>
      <c r="M45" s="135">
        <f>M33</f>
        <v>0.50161426477921989</v>
      </c>
      <c r="N45" s="135">
        <f>N33</f>
        <v>1.396614827522078</v>
      </c>
      <c r="O45" s="135">
        <f>O33</f>
        <v>2.2366410790649347</v>
      </c>
      <c r="P45" s="135">
        <f>P33</f>
        <v>3.1000889912077927</v>
      </c>
      <c r="Q45" s="135">
        <f>Q33</f>
        <v>3.1901505961006498</v>
      </c>
      <c r="R45" s="135">
        <f>R33</f>
        <v>4.0717351879810071</v>
      </c>
      <c r="S45" s="135">
        <f>S33</f>
        <v>3.0078696453182374</v>
      </c>
      <c r="T45" s="135">
        <f>T33</f>
        <v>0.28578546420233142</v>
      </c>
      <c r="U45" s="135">
        <f>U33</f>
        <v>0.21197179023062995</v>
      </c>
      <c r="V45" s="135">
        <f>V33</f>
        <v>0.14607762456034301</v>
      </c>
      <c r="W45" s="135">
        <f>W33</f>
        <v>5.3087857006541839E-2</v>
      </c>
      <c r="X45" s="135">
        <f>X33</f>
        <v>-3.2360697324949061E-2</v>
      </c>
      <c r="Y45" s="135">
        <f>Y33</f>
        <v>-0.12208167937301484</v>
      </c>
      <c r="Z45" s="135">
        <f>Z33</f>
        <v>-0.20467851852348362</v>
      </c>
      <c r="AA45" s="135">
        <f>AA33</f>
        <v>-0.31520609323147619</v>
      </c>
      <c r="AB45" s="135">
        <f>AB33</f>
        <v>-0.41906934507486815</v>
      </c>
      <c r="AC45" s="135">
        <f>AC33</f>
        <v>-0.52812575951042984</v>
      </c>
      <c r="AD45" s="135">
        <f>AD33</f>
        <v>1.8446363336958669</v>
      </c>
      <c r="AE45" s="135">
        <f>AE33</f>
        <v>3.944078955485891</v>
      </c>
    </row>
    <row r="46" spans="1:31" hidden="1" x14ac:dyDescent="0.25">
      <c r="A46" s="130" t="s">
        <v>164</v>
      </c>
      <c r="B46" s="130"/>
      <c r="C46" s="130"/>
      <c r="D46" s="130"/>
      <c r="E46" s="130"/>
      <c r="F46" s="130"/>
      <c r="G46" s="130"/>
      <c r="H46" s="130"/>
      <c r="I46" s="135" t="e">
        <f t="shared" ref="I46:AB46" si="18">I52</f>
        <v>#REF!</v>
      </c>
      <c r="J46" s="135" t="e">
        <f t="shared" ref="J46" si="19">J52</f>
        <v>#REF!</v>
      </c>
      <c r="K46" s="135" t="e">
        <f t="shared" si="18"/>
        <v>#REF!</v>
      </c>
      <c r="L46" s="220" t="e">
        <f t="shared" si="18"/>
        <v>#REF!</v>
      </c>
      <c r="M46" s="135" t="e">
        <f t="shared" si="18"/>
        <v>#REF!</v>
      </c>
      <c r="N46" s="135" t="e">
        <f t="shared" si="18"/>
        <v>#REF!</v>
      </c>
      <c r="O46" s="135" t="e">
        <f t="shared" si="18"/>
        <v>#REF!</v>
      </c>
      <c r="P46" s="135" t="e">
        <f t="shared" si="18"/>
        <v>#REF!</v>
      </c>
      <c r="Q46" s="135" t="e">
        <f t="shared" si="18"/>
        <v>#REF!</v>
      </c>
      <c r="R46" s="135" t="e">
        <f t="shared" si="18"/>
        <v>#REF!</v>
      </c>
      <c r="S46" s="135" t="e">
        <f t="shared" si="18"/>
        <v>#REF!</v>
      </c>
      <c r="T46" s="135" t="e">
        <f t="shared" si="18"/>
        <v>#REF!</v>
      </c>
      <c r="U46" s="135" t="e">
        <f t="shared" si="18"/>
        <v>#REF!</v>
      </c>
      <c r="V46" s="135" t="e">
        <f t="shared" si="18"/>
        <v>#REF!</v>
      </c>
      <c r="W46" s="135" t="e">
        <f t="shared" si="18"/>
        <v>#REF!</v>
      </c>
      <c r="X46" s="135" t="e">
        <f t="shared" si="18"/>
        <v>#REF!</v>
      </c>
      <c r="Y46" s="135" t="e">
        <f t="shared" si="18"/>
        <v>#REF!</v>
      </c>
      <c r="Z46" s="135" t="e">
        <f t="shared" si="18"/>
        <v>#REF!</v>
      </c>
      <c r="AA46" s="135" t="e">
        <f t="shared" si="18"/>
        <v>#REF!</v>
      </c>
      <c r="AB46" s="135" t="e">
        <f t="shared" si="18"/>
        <v>#REF!</v>
      </c>
      <c r="AC46" s="135" t="e">
        <f t="shared" ref="AC46:AE46" si="20">AC52</f>
        <v>#REF!</v>
      </c>
      <c r="AD46" s="135" t="e">
        <f t="shared" si="20"/>
        <v>#REF!</v>
      </c>
      <c r="AE46" s="135" t="e">
        <f t="shared" si="20"/>
        <v>#REF!</v>
      </c>
    </row>
    <row r="47" spans="1:31" hidden="1" x14ac:dyDescent="0.25">
      <c r="A47" s="130" t="s">
        <v>165</v>
      </c>
      <c r="B47" s="130"/>
      <c r="C47" s="130"/>
      <c r="D47" s="130"/>
      <c r="E47" s="130"/>
      <c r="F47" s="130"/>
      <c r="G47" s="130"/>
      <c r="H47" s="130"/>
      <c r="I47" s="135" t="e">
        <f t="shared" ref="I47:AB47" si="21">SUM(I45:I46)</f>
        <v>#REF!</v>
      </c>
      <c r="J47" s="135" t="e">
        <f t="shared" ref="J47" si="22">SUM(J45:J46)</f>
        <v>#REF!</v>
      </c>
      <c r="K47" s="135" t="e">
        <f t="shared" si="21"/>
        <v>#REF!</v>
      </c>
      <c r="L47" s="220" t="e">
        <f t="shared" si="21"/>
        <v>#REF!</v>
      </c>
      <c r="M47" s="135" t="e">
        <f t="shared" si="21"/>
        <v>#REF!</v>
      </c>
      <c r="N47" s="135" t="e">
        <f t="shared" si="21"/>
        <v>#REF!</v>
      </c>
      <c r="O47" s="135" t="e">
        <f t="shared" si="21"/>
        <v>#REF!</v>
      </c>
      <c r="P47" s="135" t="e">
        <f t="shared" si="21"/>
        <v>#REF!</v>
      </c>
      <c r="Q47" s="135" t="e">
        <f t="shared" si="21"/>
        <v>#REF!</v>
      </c>
      <c r="R47" s="135" t="e">
        <f t="shared" si="21"/>
        <v>#REF!</v>
      </c>
      <c r="S47" s="135" t="e">
        <f t="shared" si="21"/>
        <v>#REF!</v>
      </c>
      <c r="T47" s="135" t="e">
        <f t="shared" si="21"/>
        <v>#REF!</v>
      </c>
      <c r="U47" s="135" t="e">
        <f t="shared" si="21"/>
        <v>#REF!</v>
      </c>
      <c r="V47" s="135" t="e">
        <f t="shared" si="21"/>
        <v>#REF!</v>
      </c>
      <c r="W47" s="135" t="e">
        <f t="shared" si="21"/>
        <v>#REF!</v>
      </c>
      <c r="X47" s="135" t="e">
        <f t="shared" si="21"/>
        <v>#REF!</v>
      </c>
      <c r="Y47" s="135" t="e">
        <f t="shared" si="21"/>
        <v>#REF!</v>
      </c>
      <c r="Z47" s="135" t="e">
        <f t="shared" si="21"/>
        <v>#REF!</v>
      </c>
      <c r="AA47" s="135" t="e">
        <f t="shared" si="21"/>
        <v>#REF!</v>
      </c>
      <c r="AB47" s="135" t="e">
        <f t="shared" si="21"/>
        <v>#REF!</v>
      </c>
      <c r="AC47" s="135" t="e">
        <f t="shared" ref="AC47:AE47" si="23">SUM(AC45:AC46)</f>
        <v>#REF!</v>
      </c>
      <c r="AD47" s="135" t="e">
        <f t="shared" si="23"/>
        <v>#REF!</v>
      </c>
      <c r="AE47" s="135" t="e">
        <f t="shared" si="23"/>
        <v>#REF!</v>
      </c>
    </row>
    <row r="48" spans="1:31" hidden="1" x14ac:dyDescent="0.25">
      <c r="A48" s="131"/>
      <c r="B48" s="131"/>
      <c r="C48" s="131"/>
      <c r="D48" s="131"/>
      <c r="E48" s="131"/>
      <c r="F48" s="131"/>
      <c r="G48" s="131"/>
      <c r="H48" s="131"/>
      <c r="I48" s="132" t="e">
        <f>MAX(0,I47)</f>
        <v>#REF!</v>
      </c>
      <c r="J48" s="132"/>
      <c r="K48" s="132"/>
      <c r="L48" s="221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</row>
    <row r="49" spans="1:31" hidden="1" x14ac:dyDescent="0.25">
      <c r="A49" s="131"/>
      <c r="B49" s="131"/>
      <c r="C49" s="131"/>
      <c r="D49" s="131"/>
      <c r="E49" s="131"/>
      <c r="F49" s="131"/>
      <c r="G49" s="131"/>
      <c r="H49" s="131"/>
      <c r="I49" s="132"/>
      <c r="J49" s="132"/>
      <c r="K49" s="132"/>
      <c r="L49" s="221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</row>
    <row r="50" spans="1:31" hidden="1" x14ac:dyDescent="0.25">
      <c r="A50" s="134" t="s">
        <v>166</v>
      </c>
      <c r="B50" s="134"/>
      <c r="C50" s="134"/>
      <c r="D50" s="134"/>
      <c r="E50" s="134"/>
      <c r="F50" s="134"/>
      <c r="G50" s="134"/>
      <c r="H50" s="131"/>
      <c r="I50" s="132"/>
      <c r="J50" s="132"/>
      <c r="K50" s="132"/>
      <c r="L50" s="221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</row>
    <row r="51" spans="1:31" hidden="1" x14ac:dyDescent="0.25">
      <c r="A51" s="130" t="s">
        <v>167</v>
      </c>
      <c r="B51" s="130"/>
      <c r="C51" s="135"/>
      <c r="D51" s="135">
        <f t="shared" ref="D51" si="24">C55</f>
        <v>0</v>
      </c>
      <c r="E51" s="135" t="e">
        <f t="shared" ref="E51:AB51" si="25">D55</f>
        <v>#REF!</v>
      </c>
      <c r="F51" s="135" t="e">
        <f t="shared" si="25"/>
        <v>#REF!</v>
      </c>
      <c r="G51" s="135" t="e">
        <f t="shared" si="25"/>
        <v>#REF!</v>
      </c>
      <c r="H51" s="135" t="e">
        <f t="shared" si="25"/>
        <v>#REF!</v>
      </c>
      <c r="I51" s="135" t="e">
        <f t="shared" si="25"/>
        <v>#REF!</v>
      </c>
      <c r="J51" s="135" t="e">
        <f t="shared" si="25"/>
        <v>#REF!</v>
      </c>
      <c r="K51" s="135" t="e">
        <f t="shared" si="25"/>
        <v>#REF!</v>
      </c>
      <c r="L51" s="220" t="e">
        <f>K55</f>
        <v>#REF!</v>
      </c>
      <c r="M51" s="135" t="e">
        <f t="shared" si="25"/>
        <v>#REF!</v>
      </c>
      <c r="N51" s="135" t="e">
        <f t="shared" si="25"/>
        <v>#REF!</v>
      </c>
      <c r="O51" s="135" t="e">
        <f t="shared" si="25"/>
        <v>#REF!</v>
      </c>
      <c r="P51" s="135" t="e">
        <f t="shared" si="25"/>
        <v>#REF!</v>
      </c>
      <c r="Q51" s="135" t="e">
        <f t="shared" si="25"/>
        <v>#REF!</v>
      </c>
      <c r="R51" s="135" t="e">
        <f t="shared" si="25"/>
        <v>#REF!</v>
      </c>
      <c r="S51" s="135" t="e">
        <f t="shared" si="25"/>
        <v>#REF!</v>
      </c>
      <c r="T51" s="135" t="e">
        <f>S55</f>
        <v>#REF!</v>
      </c>
      <c r="U51" s="135" t="e">
        <f t="shared" si="25"/>
        <v>#REF!</v>
      </c>
      <c r="V51" s="135" t="e">
        <f t="shared" si="25"/>
        <v>#REF!</v>
      </c>
      <c r="W51" s="135" t="e">
        <f t="shared" si="25"/>
        <v>#REF!</v>
      </c>
      <c r="X51" s="135" t="e">
        <f t="shared" si="25"/>
        <v>#REF!</v>
      </c>
      <c r="Y51" s="135" t="e">
        <f t="shared" si="25"/>
        <v>#REF!</v>
      </c>
      <c r="Z51" s="135" t="e">
        <f t="shared" si="25"/>
        <v>#REF!</v>
      </c>
      <c r="AA51" s="135" t="e">
        <f t="shared" si="25"/>
        <v>#REF!</v>
      </c>
      <c r="AB51" s="135" t="e">
        <f t="shared" si="25"/>
        <v>#REF!</v>
      </c>
      <c r="AC51" s="135" t="e">
        <f t="shared" ref="AC51" si="26">AB55</f>
        <v>#REF!</v>
      </c>
      <c r="AD51" s="135" t="e">
        <f t="shared" ref="AD51" si="27">AC55</f>
        <v>#REF!</v>
      </c>
      <c r="AE51" s="135" t="e">
        <f t="shared" ref="AE51" si="28">AD55</f>
        <v>#REF!</v>
      </c>
    </row>
    <row r="52" spans="1:31" hidden="1" x14ac:dyDescent="0.25">
      <c r="A52" s="130" t="s">
        <v>168</v>
      </c>
      <c r="B52" s="130"/>
      <c r="C52" s="135"/>
      <c r="D52" s="135" t="e">
        <f>-MIN(MAX(0,#REF!),D51)</f>
        <v>#REF!</v>
      </c>
      <c r="E52" s="135" t="e">
        <f>-MIN(MAX(0,#REF!),E51)</f>
        <v>#REF!</v>
      </c>
      <c r="F52" s="135" t="e">
        <f>-MIN(MAX(0,#REF!),F51)</f>
        <v>#REF!</v>
      </c>
      <c r="G52" s="135" t="e">
        <f>-MIN(MAX(0,G33),G51)</f>
        <v>#REF!</v>
      </c>
      <c r="H52" s="135" t="e">
        <f>-MIN(MAX(0,H33),H51)</f>
        <v>#REF!</v>
      </c>
      <c r="I52" s="135" t="e">
        <f>-MIN(MAX(0,#REF!),I51)</f>
        <v>#REF!</v>
      </c>
      <c r="J52" s="135" t="e">
        <f>-MIN(MAX(0,J33),J51)</f>
        <v>#REF!</v>
      </c>
      <c r="K52" s="135" t="e">
        <f>-MIN(MAX(0,K33),K51)</f>
        <v>#REF!</v>
      </c>
      <c r="L52" s="220" t="e">
        <f>-MIN(MAX(0,L33),L51)</f>
        <v>#REF!</v>
      </c>
      <c r="M52" s="135" t="e">
        <f>-MIN(MAX(0,M33),M51)</f>
        <v>#REF!</v>
      </c>
      <c r="N52" s="135" t="e">
        <f>-MIN(MAX(0,N33),N51)</f>
        <v>#REF!</v>
      </c>
      <c r="O52" s="135" t="e">
        <f>-MIN(MAX(0,O33),O51)</f>
        <v>#REF!</v>
      </c>
      <c r="P52" s="135" t="e">
        <f>-MIN(MAX(0,P33),P51)</f>
        <v>#REF!</v>
      </c>
      <c r="Q52" s="135" t="e">
        <f>-MIN(MAX(0,Q33),Q51)</f>
        <v>#REF!</v>
      </c>
      <c r="R52" s="135" t="e">
        <f>-MIN(MAX(0,R33),R51)</f>
        <v>#REF!</v>
      </c>
      <c r="S52" s="135" t="e">
        <f>-MIN(MAX(0,S33),S51)</f>
        <v>#REF!</v>
      </c>
      <c r="T52" s="135" t="e">
        <f>-MIN(MAX(0,T33),T51)</f>
        <v>#REF!</v>
      </c>
      <c r="U52" s="135" t="e">
        <f>-MIN(MAX(0,U33),U51)</f>
        <v>#REF!</v>
      </c>
      <c r="V52" s="135" t="e">
        <f>-MIN(MAX(0,V33),V51)</f>
        <v>#REF!</v>
      </c>
      <c r="W52" s="135" t="e">
        <f>-MIN(MAX(0,W33),W51)</f>
        <v>#REF!</v>
      </c>
      <c r="X52" s="135" t="e">
        <f>-MIN(MAX(0,X33),X51)</f>
        <v>#REF!</v>
      </c>
      <c r="Y52" s="135" t="e">
        <f>-MIN(MAX(0,Y33),Y51)</f>
        <v>#REF!</v>
      </c>
      <c r="Z52" s="135" t="e">
        <f>-MIN(MAX(0,Z33),Z51)</f>
        <v>#REF!</v>
      </c>
      <c r="AA52" s="135" t="e">
        <f>-MIN(MAX(0,AA33),AA51)</f>
        <v>#REF!</v>
      </c>
      <c r="AB52" s="135" t="e">
        <f>-MIN(MAX(0,AB33),AB51)</f>
        <v>#REF!</v>
      </c>
      <c r="AC52" s="135" t="e">
        <f>-MIN(MAX(0,AC33),AC51)</f>
        <v>#REF!</v>
      </c>
      <c r="AD52" s="135" t="e">
        <f>-MIN(MAX(0,AD33),AD51)</f>
        <v>#REF!</v>
      </c>
      <c r="AE52" s="135" t="e">
        <f>-MIN(MAX(0,AE33),AE51)</f>
        <v>#REF!</v>
      </c>
    </row>
    <row r="53" spans="1:31" hidden="1" x14ac:dyDescent="0.25">
      <c r="A53" s="130" t="s">
        <v>169</v>
      </c>
      <c r="B53" s="130"/>
      <c r="C53" s="135"/>
      <c r="D53" s="135">
        <v>0</v>
      </c>
      <c r="E53" s="135">
        <v>0</v>
      </c>
      <c r="F53" s="135">
        <f>MAX(0,-F33)</f>
        <v>1.5115000000000001</v>
      </c>
      <c r="G53" s="135">
        <f>MAX(0,-G33)</f>
        <v>3.6191</v>
      </c>
      <c r="H53" s="135">
        <f>MAX(0,-H33)</f>
        <v>0.62849999999999995</v>
      </c>
      <c r="I53" s="135">
        <f>MAX(0,-I33)</f>
        <v>0.1162</v>
      </c>
      <c r="J53" s="135">
        <f>MAX(0,-J33)</f>
        <v>0</v>
      </c>
      <c r="K53" s="135">
        <f>MAX(0,-K33)</f>
        <v>0</v>
      </c>
      <c r="L53" s="220">
        <f>MAX(0,-L33)</f>
        <v>0</v>
      </c>
      <c r="M53" s="135">
        <f>MAX(0,-M33)</f>
        <v>0</v>
      </c>
      <c r="N53" s="135">
        <f>MAX(0,-N33)</f>
        <v>0</v>
      </c>
      <c r="O53" s="135">
        <f>MAX(0,-O33)</f>
        <v>0</v>
      </c>
      <c r="P53" s="135">
        <f>MAX(0,-P33)</f>
        <v>0</v>
      </c>
      <c r="Q53" s="135">
        <f>MAX(0,-Q33)</f>
        <v>0</v>
      </c>
      <c r="R53" s="135">
        <f>MAX(0,-R33)</f>
        <v>0</v>
      </c>
      <c r="S53" s="135">
        <f>MAX(0,-S33)</f>
        <v>0</v>
      </c>
      <c r="T53" s="135">
        <f>MAX(0,-T33)</f>
        <v>0</v>
      </c>
      <c r="U53" s="135">
        <f>MAX(0,-U33)</f>
        <v>0</v>
      </c>
      <c r="V53" s="135">
        <f>MAX(0,-V33)</f>
        <v>0</v>
      </c>
      <c r="W53" s="135">
        <f>MAX(0,-W33)</f>
        <v>0</v>
      </c>
      <c r="X53" s="135">
        <f>MAX(0,-X33)</f>
        <v>3.2360697324949061E-2</v>
      </c>
      <c r="Y53" s="135">
        <f>MAX(0,-Y33)</f>
        <v>0.12208167937301484</v>
      </c>
      <c r="Z53" s="135">
        <f>MAX(0,-Z33)</f>
        <v>0.20467851852348362</v>
      </c>
      <c r="AA53" s="135">
        <f>MAX(0,-AA33)</f>
        <v>0.31520609323147619</v>
      </c>
      <c r="AB53" s="135">
        <f>MAX(0,-AB33)</f>
        <v>0.41906934507486815</v>
      </c>
      <c r="AC53" s="135">
        <f>MAX(0,-AC33)</f>
        <v>0.52812575951042984</v>
      </c>
      <c r="AD53" s="135">
        <f>MAX(0,-AD33)</f>
        <v>0</v>
      </c>
      <c r="AE53" s="135">
        <f>MAX(0,-AE33)</f>
        <v>0</v>
      </c>
    </row>
    <row r="54" spans="1:31" hidden="1" x14ac:dyDescent="0.25">
      <c r="A54" s="130" t="s">
        <v>170</v>
      </c>
      <c r="B54" s="130"/>
      <c r="C54" s="135"/>
      <c r="D54" s="135">
        <f ca="1">-IF(D1-1&lt;$H42,0,MAX(0,SUM(D51:D53)-SUM(OFFSET(D53,,-($H42-1),,$H42))))</f>
        <v>0</v>
      </c>
      <c r="E54" s="135">
        <f ca="1">-IF(E1-1&lt;$H42,0,MAX(0,SUM(E51:E53)-SUM(OFFSET(E53,,-($H42-1),,$H42))))</f>
        <v>0</v>
      </c>
      <c r="F54" s="135">
        <f ca="1">-IF(F1-1&lt;$H42,0,MAX(0,SUM(F51:F53)-SUM(OFFSET(F53,,-($H42-1),,$H42))))</f>
        <v>0</v>
      </c>
      <c r="G54" s="135">
        <f ca="1">-IF(G1-1&lt;$H42,0,MAX(0,SUM(G51:G53)-SUM(OFFSET(G53,,-($H42-1),,$H42))))</f>
        <v>0</v>
      </c>
      <c r="H54" s="135">
        <f ca="1">-IF(H1-1&lt;$H42,0,MAX(0,SUM(H51:H53)-SUM(OFFSET(H53,,-($H42-1),,$H42))))</f>
        <v>0</v>
      </c>
      <c r="I54" s="135">
        <f ca="1">-IF(I1-1&lt;$H42,0,MAX(0,SUM(I51:I53)-SUM(OFFSET(I53,,-($H42-1),,$H42))))</f>
        <v>0</v>
      </c>
      <c r="J54" s="135">
        <f ca="1">-IF(J1-1&lt;$H42,0,MAX(0,SUM(J51:J53)-SUM(OFFSET(J53,,-($H42-1),,$H42))))</f>
        <v>0</v>
      </c>
      <c r="K54" s="135">
        <f ca="1">-IF(K1-1&lt;$H42,0,MAX(0,SUM(K51:K53)-SUM(OFFSET(K53,,-($H42-1),,$H42))))</f>
        <v>0</v>
      </c>
      <c r="L54" s="220">
        <f ca="1">-IF(L1-1&lt;$H42,0,MAX(0,SUM(L51:L53)-SUM(OFFSET(L53,,-($H42-1),,$H42))))</f>
        <v>0</v>
      </c>
      <c r="M54" s="135">
        <f ca="1">-IF(M1-1&lt;$H42,0,MAX(0,SUM(M51:M53)-SUM(OFFSET(M53,,-($H42-1),,$H42))))</f>
        <v>0</v>
      </c>
      <c r="N54" s="135" t="e">
        <f ca="1">-IF(N1-1&lt;$H42,0,MAX(0,SUM(N51:N53)-SUM(OFFSET(N53,,-($H42-1),,$H42))))</f>
        <v>#REF!</v>
      </c>
      <c r="O54" s="135" t="e">
        <f ca="1">-IF(O1-1&lt;$H42,0,MAX(0,SUM(O51:O53)-SUM(OFFSET(O53,,-($H42-1),,$H42))))</f>
        <v>#REF!</v>
      </c>
      <c r="P54" s="135" t="e">
        <f ca="1">-IF(P1-1&lt;$H42,0,MAX(0,SUM(P51:P53)-SUM(OFFSET(P53,,-($H42-1),,$H42))))</f>
        <v>#REF!</v>
      </c>
      <c r="Q54" s="135" t="e">
        <f ca="1">-IF(Q1-1&lt;$H42,0,MAX(0,SUM(Q51:Q53)-SUM(OFFSET(Q53,,-($H42-1),,$H42))))</f>
        <v>#REF!</v>
      </c>
      <c r="R54" s="135" t="e">
        <f ca="1">-IF(R1-1&lt;$H42,0,MAX(0,SUM(R51:R53)-SUM(OFFSET(R53,,-($H42-1),,$H42))))</f>
        <v>#REF!</v>
      </c>
      <c r="S54" s="135" t="e">
        <f ca="1">-IF(S1-1&lt;$H42,0,MAX(0,SUM(S51:S53)-SUM(OFFSET(S53,,-($H42-1),,$H42))))</f>
        <v>#REF!</v>
      </c>
      <c r="T54" s="135" t="e">
        <f ca="1">-IF(T1-1&lt;$H42,0,MAX(0,SUM(T51:T53)-SUM(OFFSET(T53,,-($H42-1),,$H42))))</f>
        <v>#REF!</v>
      </c>
      <c r="U54" s="135" t="e">
        <f ca="1">-IF(U1-1&lt;$H42,0,MAX(0,SUM(U51:U53)-SUM(OFFSET(U53,,-($H42-1),,$H42))))</f>
        <v>#REF!</v>
      </c>
      <c r="V54" s="135" t="e">
        <f ca="1">-IF(V1-1&lt;$H42,0,MAX(0,SUM(V51:V53)-SUM(OFFSET(V53,,-($H42-1),,$H42))))</f>
        <v>#REF!</v>
      </c>
      <c r="W54" s="135" t="e">
        <f ca="1">-IF(W1-1&lt;$H42,0,MAX(0,SUM(W51:W53)-SUM(OFFSET(W53,,-($H42-1),,$H42))))</f>
        <v>#REF!</v>
      </c>
      <c r="X54" s="135" t="e">
        <f ca="1">-IF(X1-1&lt;$H42,0,MAX(0,SUM(X51:X53)-SUM(OFFSET(X53,,-($H42-1),,$H42))))</f>
        <v>#REF!</v>
      </c>
      <c r="Y54" s="135" t="e">
        <f ca="1">-IF(Y1-1&lt;$H42,0,MAX(0,SUM(Y51:Y53)-SUM(OFFSET(Y53,,-($H42-1),,$H42))))</f>
        <v>#REF!</v>
      </c>
      <c r="Z54" s="135" t="e">
        <f ca="1">-IF(Z1-1&lt;$H42,0,MAX(0,SUM(Z51:Z53)-SUM(OFFSET(Z53,,-($H42-1),,$H42))))</f>
        <v>#REF!</v>
      </c>
      <c r="AA54" s="135" t="e">
        <f ca="1">-IF(AA1-1&lt;$H42,0,MAX(0,SUM(AA51:AA53)-SUM(OFFSET(AA53,,-($H42-1),,$H42))))</f>
        <v>#REF!</v>
      </c>
      <c r="AB54" s="135" t="e">
        <f ca="1">-IF(AB1-1&lt;$H42,0,MAX(0,SUM(AB51:AB53)-SUM(OFFSET(AB53,,-($H42-1),,$H42))))</f>
        <v>#REF!</v>
      </c>
      <c r="AC54" s="135" t="e">
        <f ca="1">-IF(AC1-1&lt;$H42,0,MAX(0,SUM(AC51:AC53)-SUM(OFFSET(AC53,,-($H42-1),,$H42))))</f>
        <v>#REF!</v>
      </c>
      <c r="AD54" s="135" t="e">
        <f ca="1">-IF(AD1-1&lt;$H42,0,MAX(0,SUM(AD51:AD53)-SUM(OFFSET(AD53,,-($H42-1),,$H42))))</f>
        <v>#REF!</v>
      </c>
      <c r="AE54" s="135" t="e">
        <f ca="1">-IF(AE1-1&lt;$H42,0,MAX(0,SUM(AE51:AE53)-SUM(OFFSET(AE53,,-($H42-1),,$H42))))</f>
        <v>#REF!</v>
      </c>
    </row>
    <row r="55" spans="1:31" hidden="1" x14ac:dyDescent="0.25">
      <c r="A55" s="130" t="s">
        <v>171</v>
      </c>
      <c r="B55" s="130"/>
      <c r="C55" s="135"/>
      <c r="D55" s="135" t="e">
        <f t="shared" ref="D55:AB55" si="29">SUM(D51:D54)</f>
        <v>#REF!</v>
      </c>
      <c r="E55" s="135" t="e">
        <f t="shared" si="29"/>
        <v>#REF!</v>
      </c>
      <c r="F55" s="135" t="e">
        <f t="shared" si="29"/>
        <v>#REF!</v>
      </c>
      <c r="G55" s="135" t="e">
        <f t="shared" si="29"/>
        <v>#REF!</v>
      </c>
      <c r="H55" s="135" t="e">
        <f t="shared" si="29"/>
        <v>#REF!</v>
      </c>
      <c r="I55" s="135" t="e">
        <f t="shared" si="29"/>
        <v>#REF!</v>
      </c>
      <c r="J55" s="135" t="e">
        <f t="shared" ref="J55" si="30">SUM(J51:J54)</f>
        <v>#REF!</v>
      </c>
      <c r="K55" s="135" t="e">
        <f t="shared" si="29"/>
        <v>#REF!</v>
      </c>
      <c r="L55" s="220" t="e">
        <f t="shared" si="29"/>
        <v>#REF!</v>
      </c>
      <c r="M55" s="135" t="e">
        <f t="shared" si="29"/>
        <v>#REF!</v>
      </c>
      <c r="N55" s="135" t="e">
        <f t="shared" si="29"/>
        <v>#REF!</v>
      </c>
      <c r="O55" s="135" t="e">
        <f>SUM(O51:O54)</f>
        <v>#REF!</v>
      </c>
      <c r="P55" s="135" t="e">
        <f>SUM(P51:P54)</f>
        <v>#REF!</v>
      </c>
      <c r="Q55" s="135" t="e">
        <f t="shared" si="29"/>
        <v>#REF!</v>
      </c>
      <c r="R55" s="135" t="e">
        <f t="shared" si="29"/>
        <v>#REF!</v>
      </c>
      <c r="S55" s="135" t="e">
        <f t="shared" si="29"/>
        <v>#REF!</v>
      </c>
      <c r="T55" s="135" t="e">
        <f t="shared" si="29"/>
        <v>#REF!</v>
      </c>
      <c r="U55" s="135" t="e">
        <f t="shared" si="29"/>
        <v>#REF!</v>
      </c>
      <c r="V55" s="135" t="e">
        <f t="shared" si="29"/>
        <v>#REF!</v>
      </c>
      <c r="W55" s="135" t="e">
        <f t="shared" si="29"/>
        <v>#REF!</v>
      </c>
      <c r="X55" s="135" t="e">
        <f t="shared" si="29"/>
        <v>#REF!</v>
      </c>
      <c r="Y55" s="135" t="e">
        <f t="shared" si="29"/>
        <v>#REF!</v>
      </c>
      <c r="Z55" s="135" t="e">
        <f t="shared" si="29"/>
        <v>#REF!</v>
      </c>
      <c r="AA55" s="135" t="e">
        <f t="shared" si="29"/>
        <v>#REF!</v>
      </c>
      <c r="AB55" s="135" t="e">
        <f t="shared" si="29"/>
        <v>#REF!</v>
      </c>
      <c r="AC55" s="135" t="e">
        <f t="shared" ref="AC55:AE55" si="31">SUM(AC51:AC54)</f>
        <v>#REF!</v>
      </c>
      <c r="AD55" s="135" t="e">
        <f t="shared" si="31"/>
        <v>#REF!</v>
      </c>
      <c r="AE55" s="135" t="e">
        <f t="shared" si="31"/>
        <v>#REF!</v>
      </c>
    </row>
    <row r="56" spans="1:31" hidden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30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idden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30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idden="1" x14ac:dyDescent="0.25">
      <c r="A58" s="19" t="s">
        <v>172</v>
      </c>
      <c r="B58" s="19"/>
      <c r="C58" s="19"/>
      <c r="D58" s="19"/>
      <c r="E58" s="19"/>
      <c r="F58" s="19"/>
      <c r="G58" s="19"/>
      <c r="H58" s="5"/>
      <c r="I58" s="5"/>
      <c r="J58" s="5"/>
      <c r="K58" s="5"/>
      <c r="L58" s="30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idden="1" x14ac:dyDescent="0.25">
      <c r="A59" s="8" t="s">
        <v>173</v>
      </c>
      <c r="B59" s="136"/>
      <c r="C59" s="136"/>
      <c r="D59" s="136"/>
      <c r="E59" s="136"/>
      <c r="F59" s="136"/>
      <c r="G59" s="136"/>
      <c r="H59" s="136">
        <v>0.22</v>
      </c>
      <c r="I59" s="5"/>
      <c r="J59" s="5"/>
      <c r="K59" s="5"/>
      <c r="L59" s="30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idden="1" x14ac:dyDescent="0.25">
      <c r="A60" s="137"/>
      <c r="B60" s="5"/>
      <c r="C60" s="5"/>
      <c r="D60" s="5"/>
      <c r="E60" s="5"/>
      <c r="F60" s="5"/>
      <c r="G60" s="5"/>
      <c r="H60" s="5"/>
      <c r="I60" s="5"/>
      <c r="J60" s="5"/>
      <c r="K60" s="5"/>
      <c r="L60" s="30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idden="1" x14ac:dyDescent="0.25">
      <c r="A61" s="8" t="s">
        <v>174</v>
      </c>
      <c r="B61" s="136">
        <v>0.04</v>
      </c>
      <c r="C61" s="138"/>
      <c r="D61" s="138"/>
      <c r="E61" s="138"/>
      <c r="F61" s="138"/>
      <c r="G61" s="138"/>
      <c r="H61" s="5"/>
      <c r="I61" s="5"/>
      <c r="J61" s="5"/>
      <c r="K61" s="5"/>
      <c r="L61" s="30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idden="1" x14ac:dyDescent="0.25">
      <c r="A62" s="137"/>
      <c r="B62" s="8"/>
      <c r="C62" s="5"/>
      <c r="D62" s="5"/>
      <c r="E62" s="5"/>
      <c r="F62" s="5"/>
      <c r="G62" s="5"/>
      <c r="H62" s="5"/>
      <c r="I62" s="5"/>
      <c r="J62" s="5"/>
      <c r="K62" s="5"/>
      <c r="L62" s="30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idden="1" x14ac:dyDescent="0.25">
      <c r="A63" s="137" t="s">
        <v>175</v>
      </c>
      <c r="B63" s="8"/>
      <c r="C63" s="5"/>
      <c r="D63" s="5"/>
      <c r="E63" s="5"/>
      <c r="F63" s="5"/>
      <c r="G63" s="144"/>
      <c r="H63" s="144" t="s">
        <v>181</v>
      </c>
      <c r="I63" s="5"/>
      <c r="J63" s="5"/>
      <c r="K63" s="5"/>
      <c r="L63" s="30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idden="1" x14ac:dyDescent="0.25">
      <c r="A64" s="137">
        <v>1</v>
      </c>
      <c r="B64" s="8"/>
      <c r="C64" s="8"/>
      <c r="D64" s="8"/>
      <c r="E64" s="8"/>
      <c r="F64" s="8"/>
      <c r="G64" s="139"/>
      <c r="H64" s="139">
        <f>+H$59*(1+$B64)*(1+$B$61)</f>
        <v>0.2288</v>
      </c>
      <c r="I64" s="5"/>
      <c r="J64" s="5"/>
      <c r="K64" s="5"/>
      <c r="L64" s="30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idden="1" x14ac:dyDescent="0.25">
      <c r="A65" s="140">
        <v>10</v>
      </c>
      <c r="B65" s="136">
        <v>7.0000000000000007E-2</v>
      </c>
      <c r="C65" s="136"/>
      <c r="D65" s="136"/>
      <c r="E65" s="136"/>
      <c r="F65" s="136"/>
      <c r="G65" s="139"/>
      <c r="H65" s="139">
        <f t="shared" ref="H65:H66" si="32">+H$59*(1+$B65)*(1+$B$61)</f>
        <v>0.24481600000000003</v>
      </c>
      <c r="I65" s="5"/>
      <c r="J65" s="5"/>
      <c r="K65" s="5"/>
      <c r="L65" s="30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idden="1" x14ac:dyDescent="0.25">
      <c r="A66" s="141">
        <v>10</v>
      </c>
      <c r="B66" s="136">
        <v>0.1</v>
      </c>
      <c r="C66" s="136"/>
      <c r="D66" s="136"/>
      <c r="E66" s="136"/>
      <c r="F66" s="136"/>
      <c r="G66" s="139"/>
      <c r="H66" s="139">
        <f t="shared" si="32"/>
        <v>0.25168000000000001</v>
      </c>
      <c r="I66" s="5"/>
      <c r="J66" s="5"/>
      <c r="K66" s="5"/>
      <c r="L66" s="30"/>
      <c r="M66" s="5"/>
      <c r="N66" s="5"/>
      <c r="O66" s="5"/>
      <c r="P66" s="5"/>
      <c r="Q66" s="5"/>
      <c r="R66" s="5"/>
      <c r="S66" s="5"/>
      <c r="T66" s="5"/>
    </row>
    <row r="67" spans="1:31" hidden="1" x14ac:dyDescent="0.25">
      <c r="A67" s="14"/>
      <c r="B67" s="14"/>
      <c r="C67" s="5"/>
      <c r="D67" s="5"/>
      <c r="E67" s="5"/>
      <c r="F67" s="5"/>
      <c r="G67" s="5"/>
      <c r="H67" s="5"/>
      <c r="I67" s="5"/>
      <c r="J67" s="5"/>
      <c r="K67" s="5"/>
      <c r="L67" s="30"/>
      <c r="M67" s="5"/>
      <c r="N67" s="5"/>
      <c r="O67" s="5"/>
      <c r="P67" s="5"/>
      <c r="Q67" s="5"/>
      <c r="R67" s="5"/>
      <c r="S67" s="5"/>
      <c r="T67" s="5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</row>
    <row r="68" spans="1:31" hidden="1" x14ac:dyDescent="0.25">
      <c r="A68" s="8" t="s">
        <v>176</v>
      </c>
      <c r="B68" s="8"/>
      <c r="C68" s="8"/>
      <c r="D68" s="8"/>
      <c r="E68" s="8"/>
      <c r="F68" s="8"/>
      <c r="G68" s="8"/>
      <c r="H68" s="139"/>
      <c r="I68" s="139" t="e">
        <f>IF(I47&gt;0,IF(I47&lt;$A64,$H64,IF(I47&lt;$A65,$H65,$H66)),0)</f>
        <v>#REF!</v>
      </c>
      <c r="J68" s="139" t="e">
        <f t="shared" ref="J68" si="33">IF(J47&gt;0,IF(J47&lt;$A64,$H64,IF(J47&lt;$A65,$H65,$H66)),0)</f>
        <v>#REF!</v>
      </c>
      <c r="K68" s="139" t="e">
        <f t="shared" ref="K68:AB68" si="34">IF(K47&gt;0,IF(K47&lt;$A64,$H64,IF(K47&lt;$A65,$H65,$H66)),0)</f>
        <v>#REF!</v>
      </c>
      <c r="L68" s="222" t="e">
        <f t="shared" si="34"/>
        <v>#REF!</v>
      </c>
      <c r="M68" s="139" t="e">
        <f t="shared" si="34"/>
        <v>#REF!</v>
      </c>
      <c r="N68" s="139" t="e">
        <f t="shared" si="34"/>
        <v>#REF!</v>
      </c>
      <c r="O68" s="139" t="e">
        <f t="shared" si="34"/>
        <v>#REF!</v>
      </c>
      <c r="P68" s="139" t="e">
        <f t="shared" si="34"/>
        <v>#REF!</v>
      </c>
      <c r="Q68" s="139" t="e">
        <f t="shared" si="34"/>
        <v>#REF!</v>
      </c>
      <c r="R68" s="139" t="e">
        <f t="shared" si="34"/>
        <v>#REF!</v>
      </c>
      <c r="S68" s="139" t="e">
        <f t="shared" si="34"/>
        <v>#REF!</v>
      </c>
      <c r="T68" s="139" t="e">
        <f t="shared" si="34"/>
        <v>#REF!</v>
      </c>
      <c r="U68" s="139" t="e">
        <f t="shared" si="34"/>
        <v>#REF!</v>
      </c>
      <c r="V68" s="139" t="e">
        <f t="shared" si="34"/>
        <v>#REF!</v>
      </c>
      <c r="W68" s="139" t="e">
        <f t="shared" si="34"/>
        <v>#REF!</v>
      </c>
      <c r="X68" s="139" t="e">
        <f t="shared" si="34"/>
        <v>#REF!</v>
      </c>
      <c r="Y68" s="139" t="e">
        <f t="shared" si="34"/>
        <v>#REF!</v>
      </c>
      <c r="Z68" s="139" t="e">
        <f t="shared" si="34"/>
        <v>#REF!</v>
      </c>
      <c r="AA68" s="139" t="e">
        <f t="shared" si="34"/>
        <v>#REF!</v>
      </c>
      <c r="AB68" s="139" t="e">
        <f t="shared" si="34"/>
        <v>#REF!</v>
      </c>
      <c r="AC68" s="139" t="e">
        <f t="shared" ref="AC68:AE68" si="35">IF(AC47&gt;0,IF(AC47&lt;$A64,$H64,IF(AC47&lt;$A65,$H65,$H66)),0)</f>
        <v>#REF!</v>
      </c>
      <c r="AD68" s="139" t="e">
        <f t="shared" si="35"/>
        <v>#REF!</v>
      </c>
      <c r="AE68" s="139" t="e">
        <f t="shared" si="35"/>
        <v>#REF!</v>
      </c>
    </row>
    <row r="71" spans="1:31" s="5" customFormat="1" ht="12" x14ac:dyDescent="0.2">
      <c r="A71" s="29" t="s">
        <v>214</v>
      </c>
      <c r="B71" s="117"/>
      <c r="C71" s="117"/>
      <c r="L71" s="223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</row>
    <row r="72" spans="1:31" s="5" customFormat="1" ht="12" x14ac:dyDescent="0.2">
      <c r="B72" s="117"/>
      <c r="C72" s="117"/>
      <c r="L72" s="223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</row>
    <row r="73" spans="1:31" s="5" customFormat="1" ht="12" x14ac:dyDescent="0.2">
      <c r="A73" s="29" t="s">
        <v>132</v>
      </c>
      <c r="B73" s="117"/>
      <c r="C73" s="117"/>
      <c r="L73" s="223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</row>
    <row r="74" spans="1:31" s="5" customFormat="1" ht="12" x14ac:dyDescent="0.2">
      <c r="A74" s="178" t="s">
        <v>215</v>
      </c>
      <c r="B74" s="60" t="s">
        <v>59</v>
      </c>
      <c r="C74" s="60"/>
      <c r="D74" s="8"/>
      <c r="E74" s="8"/>
      <c r="F74" s="8"/>
      <c r="G74" s="8"/>
      <c r="H74" s="8"/>
      <c r="I74" s="8"/>
      <c r="J74" s="224" t="s">
        <v>253</v>
      </c>
      <c r="K74" s="224" t="s">
        <v>253</v>
      </c>
      <c r="L74" s="224" t="s">
        <v>253</v>
      </c>
      <c r="M74" s="179">
        <f t="shared" ref="M74:AB74" si="36">L76</f>
        <v>6.3708</v>
      </c>
      <c r="N74" s="179">
        <f t="shared" si="36"/>
        <v>4.9784493073446061</v>
      </c>
      <c r="O74" s="179">
        <f t="shared" si="36"/>
        <v>4.9784493073446061</v>
      </c>
      <c r="P74" s="179">
        <f t="shared" si="36"/>
        <v>4.9784493073446061</v>
      </c>
      <c r="Q74" s="179">
        <f t="shared" si="36"/>
        <v>4.9784493073446061</v>
      </c>
      <c r="R74" s="179">
        <f t="shared" si="36"/>
        <v>4.5769614599781061</v>
      </c>
      <c r="S74" s="179">
        <f t="shared" si="36"/>
        <v>4.5769614599781061</v>
      </c>
      <c r="T74" s="179">
        <f t="shared" si="36"/>
        <v>3.589970501868792</v>
      </c>
      <c r="U74" s="179">
        <f t="shared" si="36"/>
        <v>2.2081831605157527</v>
      </c>
      <c r="V74" s="179">
        <f t="shared" si="36"/>
        <v>2.2081831605157527</v>
      </c>
      <c r="W74" s="179">
        <f t="shared" si="36"/>
        <v>2.2081831605157527</v>
      </c>
      <c r="X74" s="179">
        <f t="shared" si="36"/>
        <v>2.2081831605157527</v>
      </c>
      <c r="Y74" s="179">
        <f t="shared" si="36"/>
        <v>2.2081831605157527</v>
      </c>
      <c r="Z74" s="179">
        <f t="shared" si="36"/>
        <v>2.2081831605157527</v>
      </c>
      <c r="AA74" s="179">
        <f t="shared" si="36"/>
        <v>2.2081831605157527</v>
      </c>
      <c r="AB74" s="179">
        <f t="shared" si="36"/>
        <v>2.2081831605157527</v>
      </c>
      <c r="AC74" s="179">
        <f t="shared" ref="AC74" si="37">AB76</f>
        <v>2.2081831605157527</v>
      </c>
      <c r="AD74" s="179">
        <f t="shared" ref="AD74" si="38">AC76</f>
        <v>2.2081831605157527</v>
      </c>
      <c r="AE74" s="179">
        <f t="shared" ref="AE74" si="39">AD76</f>
        <v>2.2081831605157527</v>
      </c>
    </row>
    <row r="75" spans="1:31" s="5" customFormat="1" ht="12" x14ac:dyDescent="0.2">
      <c r="A75" s="178" t="s">
        <v>43</v>
      </c>
      <c r="B75" s="60" t="s">
        <v>59</v>
      </c>
      <c r="C75" s="60"/>
      <c r="D75" s="8"/>
      <c r="E75" s="8"/>
      <c r="F75" s="8"/>
      <c r="G75" s="8"/>
      <c r="H75" s="8"/>
      <c r="I75" s="8"/>
      <c r="J75" s="224" t="s">
        <v>253</v>
      </c>
      <c r="K75" s="224" t="s">
        <v>253</v>
      </c>
      <c r="L75" s="224" t="s">
        <v>253</v>
      </c>
      <c r="M75" s="179">
        <f>M19</f>
        <v>9.5541325439999998</v>
      </c>
      <c r="N75" s="179">
        <f>N19</f>
        <v>9.5803082495999998</v>
      </c>
      <c r="O75" s="179">
        <f>O19</f>
        <v>9.5541325439999998</v>
      </c>
      <c r="P75" s="179">
        <f>P19</f>
        <v>9.5541325439999998</v>
      </c>
      <c r="Q75" s="179">
        <f>Q19</f>
        <v>8.7836379840000003</v>
      </c>
      <c r="R75" s="179">
        <f>R19</f>
        <v>8.8077027456000003</v>
      </c>
      <c r="S75" s="179">
        <f>S19</f>
        <v>6.8895055239999996</v>
      </c>
      <c r="T75" s="179">
        <f>T19</f>
        <v>4.2377200799999999</v>
      </c>
      <c r="U75" s="179">
        <f>U19</f>
        <v>4.2377200799999999</v>
      </c>
      <c r="V75" s="179">
        <f>V19</f>
        <v>4.2493302719999999</v>
      </c>
      <c r="W75" s="179">
        <f>W19</f>
        <v>4.2377200799999999</v>
      </c>
      <c r="X75" s="179">
        <f>X19</f>
        <v>4.2377200799999999</v>
      </c>
      <c r="Y75" s="179">
        <f>Y19</f>
        <v>4.2377200799999999</v>
      </c>
      <c r="Z75" s="179">
        <f>Z19</f>
        <v>4.2493302719999999</v>
      </c>
      <c r="AA75" s="179">
        <f>AA19</f>
        <v>4.2377200799999999</v>
      </c>
      <c r="AB75" s="179">
        <f>AB19</f>
        <v>4.2377200799999999</v>
      </c>
      <c r="AC75" s="179">
        <f>AC19</f>
        <v>4.2377200799999999</v>
      </c>
      <c r="AD75" s="179">
        <f>AD19</f>
        <v>4.2493302719999999</v>
      </c>
      <c r="AE75" s="179">
        <f>AE19</f>
        <v>2.4729708959999996</v>
      </c>
    </row>
    <row r="76" spans="1:31" s="5" customFormat="1" ht="12" x14ac:dyDescent="0.2">
      <c r="A76" s="180" t="s">
        <v>105</v>
      </c>
      <c r="B76" s="60" t="s">
        <v>59</v>
      </c>
      <c r="C76" s="60"/>
      <c r="D76" s="8"/>
      <c r="E76" s="8"/>
      <c r="F76" s="8"/>
      <c r="G76" s="8"/>
      <c r="H76" s="8"/>
      <c r="I76" s="8" t="s">
        <v>253</v>
      </c>
      <c r="J76" s="224" t="s">
        <v>253</v>
      </c>
      <c r="K76" s="224" t="s">
        <v>253</v>
      </c>
      <c r="L76" s="225">
        <f>Assumptions!L69</f>
        <v>6.3708</v>
      </c>
      <c r="M76" s="182">
        <f>M75*(Assumptions!$M$71/'RKA P&amp;L'!M3)</f>
        <v>4.9784493073446061</v>
      </c>
      <c r="N76" s="182">
        <f>N75*(Assumptions!$M$71/'RKA P&amp;L'!N3)</f>
        <v>4.9784493073446061</v>
      </c>
      <c r="O76" s="182">
        <f>O75*(Assumptions!$M$71/'RKA P&amp;L'!O3)</f>
        <v>4.9784493073446061</v>
      </c>
      <c r="P76" s="182">
        <f>P75*(Assumptions!$M$71/'RKA P&amp;L'!P3)</f>
        <v>4.9784493073446061</v>
      </c>
      <c r="Q76" s="182">
        <f>Q75*(Assumptions!$M$71/'RKA P&amp;L'!Q3)</f>
        <v>4.5769614599781061</v>
      </c>
      <c r="R76" s="182">
        <f>R75*(Assumptions!$M$71/'RKA P&amp;L'!R3)</f>
        <v>4.5769614599781061</v>
      </c>
      <c r="S76" s="182">
        <f>S75*(Assumptions!$M$71/'RKA P&amp;L'!S3)</f>
        <v>3.589970501868792</v>
      </c>
      <c r="T76" s="182">
        <f>T75*(Assumptions!$M$71/'RKA P&amp;L'!T3)</f>
        <v>2.2081831605157527</v>
      </c>
      <c r="U76" s="182">
        <f>U75*(Assumptions!$M$71/'RKA P&amp;L'!U3)</f>
        <v>2.2081831605157527</v>
      </c>
      <c r="V76" s="182">
        <f>V75*(Assumptions!$M$71/'RKA P&amp;L'!V3)</f>
        <v>2.2081831605157527</v>
      </c>
      <c r="W76" s="182">
        <f>W75*(Assumptions!$M$71/'RKA P&amp;L'!W3)</f>
        <v>2.2081831605157527</v>
      </c>
      <c r="X76" s="182">
        <f>X75*(Assumptions!$M$71/'RKA P&amp;L'!X3)</f>
        <v>2.2081831605157527</v>
      </c>
      <c r="Y76" s="182">
        <f>Y75*(Assumptions!$M$71/'RKA P&amp;L'!Y3)</f>
        <v>2.2081831605157527</v>
      </c>
      <c r="Z76" s="182">
        <f>Z75*(Assumptions!$M$71/'RKA P&amp;L'!Z3)</f>
        <v>2.2081831605157527</v>
      </c>
      <c r="AA76" s="182">
        <f>AA75*(Assumptions!$M$71/'RKA P&amp;L'!AA3)</f>
        <v>2.2081831605157527</v>
      </c>
      <c r="AB76" s="182">
        <f>AB75*(Assumptions!$M$71/'RKA P&amp;L'!AB3)</f>
        <v>2.2081831605157527</v>
      </c>
      <c r="AC76" s="182">
        <f>AC75*(Assumptions!$M$71/'RKA P&amp;L'!AC3)</f>
        <v>2.2081831605157527</v>
      </c>
      <c r="AD76" s="182">
        <f>AD75*(Assumptions!$M$71/'RKA P&amp;L'!AD3)</f>
        <v>2.2081831605157527</v>
      </c>
      <c r="AE76" s="182">
        <f>AE75*(Assumptions!$M$71/'RKA P&amp;L'!AE3)</f>
        <v>2.2081831605157527</v>
      </c>
    </row>
    <row r="77" spans="1:31" s="5" customFormat="1" ht="12" x14ac:dyDescent="0.2">
      <c r="A77" s="178" t="s">
        <v>216</v>
      </c>
      <c r="B77" s="60" t="s">
        <v>59</v>
      </c>
      <c r="C77" s="60"/>
      <c r="D77" s="8"/>
      <c r="E77" s="8"/>
      <c r="F77" s="8"/>
      <c r="G77" s="8"/>
      <c r="H77" s="8"/>
      <c r="I77" s="8"/>
      <c r="J77" s="224" t="s">
        <v>253</v>
      </c>
      <c r="K77" s="224" t="s">
        <v>253</v>
      </c>
      <c r="L77" s="224" t="s">
        <v>253</v>
      </c>
      <c r="M77" s="179">
        <f t="shared" ref="M77:AB77" si="40">+M74+M75-M76</f>
        <v>10.946483236655395</v>
      </c>
      <c r="N77" s="179">
        <f t="shared" si="40"/>
        <v>9.5803082495999998</v>
      </c>
      <c r="O77" s="179">
        <f t="shared" si="40"/>
        <v>9.5541325439999998</v>
      </c>
      <c r="P77" s="179">
        <f t="shared" si="40"/>
        <v>9.5541325439999998</v>
      </c>
      <c r="Q77" s="179">
        <f t="shared" si="40"/>
        <v>9.1851258313665003</v>
      </c>
      <c r="R77" s="179">
        <f t="shared" si="40"/>
        <v>8.8077027456000003</v>
      </c>
      <c r="S77" s="179">
        <f t="shared" si="40"/>
        <v>7.8764964821093129</v>
      </c>
      <c r="T77" s="179">
        <f t="shared" si="40"/>
        <v>5.6195074213530392</v>
      </c>
      <c r="U77" s="179">
        <f t="shared" si="40"/>
        <v>4.2377200799999999</v>
      </c>
      <c r="V77" s="179">
        <f t="shared" si="40"/>
        <v>4.2493302719999999</v>
      </c>
      <c r="W77" s="179">
        <f t="shared" si="40"/>
        <v>4.2377200799999999</v>
      </c>
      <c r="X77" s="179">
        <f t="shared" si="40"/>
        <v>4.2377200799999999</v>
      </c>
      <c r="Y77" s="179">
        <f t="shared" si="40"/>
        <v>4.2377200799999999</v>
      </c>
      <c r="Z77" s="179">
        <f t="shared" si="40"/>
        <v>4.2493302719999999</v>
      </c>
      <c r="AA77" s="179">
        <f t="shared" si="40"/>
        <v>4.2377200799999999</v>
      </c>
      <c r="AB77" s="179">
        <f t="shared" si="40"/>
        <v>4.2377200799999999</v>
      </c>
      <c r="AC77" s="179">
        <f t="shared" ref="AC77:AE77" si="41">+AC74+AC75-AC76</f>
        <v>4.2377200799999999</v>
      </c>
      <c r="AD77" s="179">
        <f t="shared" si="41"/>
        <v>4.2493302719999999</v>
      </c>
      <c r="AE77" s="179">
        <f t="shared" si="41"/>
        <v>2.4729708959999996</v>
      </c>
    </row>
    <row r="78" spans="1:31" s="5" customFormat="1" ht="12" x14ac:dyDescent="0.2">
      <c r="B78" s="117"/>
      <c r="C78" s="117"/>
      <c r="J78" s="142"/>
      <c r="K78" s="142"/>
      <c r="L78" s="223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</row>
    <row r="79" spans="1:31" s="5" customFormat="1" x14ac:dyDescent="0.25">
      <c r="A79" s="8" t="s">
        <v>242</v>
      </c>
      <c r="B79" s="60" t="s">
        <v>59</v>
      </c>
      <c r="C79" s="60"/>
      <c r="D79" s="8"/>
      <c r="E79" s="8"/>
      <c r="F79" s="8"/>
      <c r="G79" s="8"/>
      <c r="H79" s="8"/>
      <c r="I79" s="45">
        <v>0.40060000000000001</v>
      </c>
      <c r="J79"/>
      <c r="K79"/>
      <c r="L79" s="31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</row>
    <row r="80" spans="1:31" s="5" customFormat="1" x14ac:dyDescent="0.25">
      <c r="B80" s="117"/>
      <c r="C80" s="117"/>
      <c r="I80" s="18"/>
      <c r="J80"/>
      <c r="K80"/>
      <c r="L80" s="31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</row>
    <row r="81" spans="1:31" s="5" customFormat="1" x14ac:dyDescent="0.25">
      <c r="A81" s="8" t="s">
        <v>233</v>
      </c>
      <c r="B81" s="60" t="s">
        <v>59</v>
      </c>
      <c r="C81" s="60"/>
      <c r="D81" s="8"/>
      <c r="E81" s="8"/>
      <c r="F81" s="8"/>
      <c r="G81" s="8"/>
      <c r="H81" s="8"/>
      <c r="I81" s="45">
        <v>0.2359</v>
      </c>
      <c r="J81"/>
      <c r="K81"/>
      <c r="L81" s="31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</row>
    <row r="82" spans="1:31" s="5" customFormat="1" ht="12" x14ac:dyDescent="0.2">
      <c r="B82" s="117"/>
      <c r="C82" s="117"/>
      <c r="J82" s="142"/>
      <c r="K82" s="142"/>
      <c r="L82" s="223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</row>
    <row r="83" spans="1:31" s="5" customFormat="1" ht="12" x14ac:dyDescent="0.2">
      <c r="A83" s="29" t="s">
        <v>134</v>
      </c>
      <c r="B83" s="117"/>
      <c r="C83" s="117"/>
      <c r="J83" s="142"/>
      <c r="K83" s="142"/>
      <c r="L83" s="223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</row>
    <row r="84" spans="1:31" s="5" customFormat="1" ht="12" x14ac:dyDescent="0.2">
      <c r="A84" s="178" t="s">
        <v>215</v>
      </c>
      <c r="B84" s="60" t="s">
        <v>59</v>
      </c>
      <c r="C84" s="60"/>
      <c r="D84" s="8"/>
      <c r="E84" s="8"/>
      <c r="F84" s="8"/>
      <c r="G84" s="8"/>
      <c r="H84" s="8"/>
      <c r="I84" s="8"/>
      <c r="J84" s="224" t="s">
        <v>253</v>
      </c>
      <c r="K84" s="224" t="s">
        <v>253</v>
      </c>
      <c r="L84" s="224" t="str">
        <f t="shared" ref="L84:AB84" si="42">K86</f>
        <v>-</v>
      </c>
      <c r="M84" s="179">
        <f t="shared" si="42"/>
        <v>1.8734999999999999</v>
      </c>
      <c r="N84" s="179">
        <f t="shared" si="42"/>
        <v>0.69427701247915308</v>
      </c>
      <c r="O84" s="179">
        <f t="shared" si="42"/>
        <v>0.7269990847886213</v>
      </c>
      <c r="P84" s="179">
        <f t="shared" si="42"/>
        <v>0.76544040625826637</v>
      </c>
      <c r="Q84" s="179">
        <f t="shared" si="42"/>
        <v>0.80371242657117969</v>
      </c>
      <c r="R84" s="179">
        <f t="shared" si="42"/>
        <v>0.84389804789973877</v>
      </c>
      <c r="S84" s="179">
        <f t="shared" si="42"/>
        <v>0.88367193130484922</v>
      </c>
      <c r="T84" s="179">
        <f t="shared" si="42"/>
        <v>0.93039759780946196</v>
      </c>
      <c r="U84" s="179">
        <f t="shared" si="42"/>
        <v>0.97691747769993509</v>
      </c>
      <c r="V84" s="179">
        <f t="shared" si="42"/>
        <v>1.0257633515849318</v>
      </c>
      <c r="W84" s="179">
        <f t="shared" si="42"/>
        <v>1.0741087554506152</v>
      </c>
      <c r="X84" s="179">
        <f t="shared" si="42"/>
        <v>1.1309040951223877</v>
      </c>
      <c r="Y84" s="179">
        <f t="shared" si="42"/>
        <v>1.1874492998785071</v>
      </c>
      <c r="Z84" s="179">
        <f t="shared" si="42"/>
        <v>1.2468217648724325</v>
      </c>
      <c r="AA84" s="179">
        <f t="shared" si="42"/>
        <v>1.3055859054299446</v>
      </c>
      <c r="AB84" s="179">
        <f t="shared" si="42"/>
        <v>1.3746209957718567</v>
      </c>
      <c r="AC84" s="179">
        <f t="shared" ref="AC84" si="43">AB86</f>
        <v>1.4433520455604498</v>
      </c>
      <c r="AD84" s="179">
        <f t="shared" ref="AD84" si="44">AC86</f>
        <v>1.5155196478384723</v>
      </c>
      <c r="AE84" s="179">
        <f t="shared" ref="AE84" si="45">AD86</f>
        <v>1.5869478279620066</v>
      </c>
    </row>
    <row r="85" spans="1:31" s="5" customFormat="1" ht="12" x14ac:dyDescent="0.2">
      <c r="A85" s="178" t="s">
        <v>43</v>
      </c>
      <c r="B85" s="60" t="s">
        <v>59</v>
      </c>
      <c r="C85" s="60"/>
      <c r="D85" s="8"/>
      <c r="E85" s="8"/>
      <c r="F85" s="8"/>
      <c r="G85" s="8"/>
      <c r="H85" s="8"/>
      <c r="I85" s="8"/>
      <c r="J85" s="224" t="s">
        <v>253</v>
      </c>
      <c r="K85" s="224" t="s">
        <v>253</v>
      </c>
      <c r="L85" s="224" t="s">
        <v>253</v>
      </c>
      <c r="M85" s="179">
        <f>M24</f>
        <v>0.64848000000000006</v>
      </c>
      <c r="N85" s="179">
        <f>N24</f>
        <v>0.68090400000000006</v>
      </c>
      <c r="O85" s="179">
        <f>O24</f>
        <v>0.71494920000000006</v>
      </c>
      <c r="P85" s="179">
        <f>P24</f>
        <v>0.75069666000000013</v>
      </c>
      <c r="Q85" s="179">
        <f>Q24</f>
        <v>0.78823149300000017</v>
      </c>
      <c r="R85" s="179">
        <f>R24</f>
        <v>0.82764306765000017</v>
      </c>
      <c r="S85" s="179">
        <f>S24</f>
        <v>0.86902522103250024</v>
      </c>
      <c r="T85" s="179">
        <f>T24</f>
        <v>0.91247648208412524</v>
      </c>
      <c r="U85" s="179">
        <f>U24</f>
        <v>0.95810030618833153</v>
      </c>
      <c r="V85" s="179">
        <f>V24</f>
        <v>1.0060053214977482</v>
      </c>
      <c r="W85" s="179">
        <f>W24</f>
        <v>1.0563055875726357</v>
      </c>
      <c r="X85" s="179">
        <f>X24</f>
        <v>1.1091208669512675</v>
      </c>
      <c r="Y85" s="179">
        <f>Y24</f>
        <v>1.164576910298831</v>
      </c>
      <c r="Z85" s="179">
        <f>Z24</f>
        <v>1.2228057558137726</v>
      </c>
      <c r="AA85" s="179">
        <f>AA24</f>
        <v>1.2839460436044612</v>
      </c>
      <c r="AB85" s="179">
        <f>AB24</f>
        <v>1.3481433457846843</v>
      </c>
      <c r="AC85" s="179">
        <f>AC24</f>
        <v>1.4155505130739185</v>
      </c>
      <c r="AD85" s="179">
        <f>AD24</f>
        <v>1.4863280387276145</v>
      </c>
      <c r="AE85" s="179">
        <f>AE24</f>
        <v>0.91073223523679736</v>
      </c>
    </row>
    <row r="86" spans="1:31" s="5" customFormat="1" ht="12" x14ac:dyDescent="0.2">
      <c r="A86" s="180" t="s">
        <v>105</v>
      </c>
      <c r="B86" s="181" t="s">
        <v>59</v>
      </c>
      <c r="C86" s="60"/>
      <c r="D86" s="8"/>
      <c r="E86" s="8"/>
      <c r="F86" s="8"/>
      <c r="G86" s="8"/>
      <c r="H86" s="8"/>
      <c r="I86" s="8"/>
      <c r="J86" s="224" t="s">
        <v>253</v>
      </c>
      <c r="K86" s="224" t="s">
        <v>253</v>
      </c>
      <c r="L86" s="225">
        <f>Assumptions!L74</f>
        <v>1.8734999999999999</v>
      </c>
      <c r="M86" s="182">
        <f>M85*(Assumptions!$M$76/'RKA P&amp;L'!M3)</f>
        <v>0.69427701247915308</v>
      </c>
      <c r="N86" s="182">
        <f>N85*(Assumptions!$M$76/'RKA P&amp;L'!N3)</f>
        <v>0.7269990847886213</v>
      </c>
      <c r="O86" s="182">
        <f>O85*(Assumptions!$M$76/'RKA P&amp;L'!O3)</f>
        <v>0.76544040625826637</v>
      </c>
      <c r="P86" s="182">
        <f>P85*(Assumptions!$M$76/'RKA P&amp;L'!P3)</f>
        <v>0.80371242657117969</v>
      </c>
      <c r="Q86" s="182">
        <f>Q85*(Assumptions!$M$76/'RKA P&amp;L'!Q3)</f>
        <v>0.84389804789973877</v>
      </c>
      <c r="R86" s="182">
        <f>R85*(Assumptions!$M$76/'RKA P&amp;L'!R3)</f>
        <v>0.88367193130484922</v>
      </c>
      <c r="S86" s="182">
        <f>S85*(Assumptions!$M$76/'RKA P&amp;L'!S3)</f>
        <v>0.93039759780946196</v>
      </c>
      <c r="T86" s="182">
        <f>T85*(Assumptions!$M$76/'RKA P&amp;L'!T3)</f>
        <v>0.97691747769993509</v>
      </c>
      <c r="U86" s="182">
        <f>U85*(Assumptions!$M$76/'RKA P&amp;L'!U3)</f>
        <v>1.0257633515849318</v>
      </c>
      <c r="V86" s="182">
        <f>V85*(Assumptions!$M$76/'RKA P&amp;L'!V3)</f>
        <v>1.0741087554506152</v>
      </c>
      <c r="W86" s="182">
        <f>W85*(Assumptions!$M$76/'RKA P&amp;L'!W3)</f>
        <v>1.1309040951223877</v>
      </c>
      <c r="X86" s="182">
        <f>X85*(Assumptions!$M$76/'RKA P&amp;L'!X3)</f>
        <v>1.1874492998785071</v>
      </c>
      <c r="Y86" s="182">
        <f>Y85*(Assumptions!$M$76/'RKA P&amp;L'!Y3)</f>
        <v>1.2468217648724325</v>
      </c>
      <c r="Z86" s="182">
        <f>Z85*(Assumptions!$M$76/'RKA P&amp;L'!Z3)</f>
        <v>1.3055859054299446</v>
      </c>
      <c r="AA86" s="182">
        <f>AA85*(Assumptions!$M$76/'RKA P&amp;L'!AA3)</f>
        <v>1.3746209957718567</v>
      </c>
      <c r="AB86" s="182">
        <f>AB85*(Assumptions!$M$76/'RKA P&amp;L'!AB3)</f>
        <v>1.4433520455604498</v>
      </c>
      <c r="AC86" s="182">
        <f>AC85*(Assumptions!$M$76/'RKA P&amp;L'!AC3)</f>
        <v>1.5155196478384723</v>
      </c>
      <c r="AD86" s="182">
        <f>AD85*(Assumptions!$M$76/'RKA P&amp;L'!AD3)</f>
        <v>1.5869478279620066</v>
      </c>
      <c r="AE86" s="182">
        <f>AE85*(Assumptions!$M$76/'RKA P&amp;L'!AE3)</f>
        <v>1.6708604117419157</v>
      </c>
    </row>
    <row r="87" spans="1:31" s="5" customFormat="1" ht="12" x14ac:dyDescent="0.2">
      <c r="A87" s="8" t="s">
        <v>217</v>
      </c>
      <c r="B87" s="60" t="s">
        <v>59</v>
      </c>
      <c r="C87" s="60"/>
      <c r="D87" s="8"/>
      <c r="E87" s="8"/>
      <c r="F87" s="8"/>
      <c r="G87" s="8"/>
      <c r="H87" s="8"/>
      <c r="I87" s="8"/>
      <c r="J87" s="224" t="s">
        <v>253</v>
      </c>
      <c r="K87" s="224" t="s">
        <v>253</v>
      </c>
      <c r="L87" s="224" t="s">
        <v>253</v>
      </c>
      <c r="M87" s="179">
        <f t="shared" ref="M87:AB87" si="46">+M84+M85-M86</f>
        <v>1.827702987520847</v>
      </c>
      <c r="N87" s="179">
        <f t="shared" si="46"/>
        <v>0.64818192769053196</v>
      </c>
      <c r="O87" s="179">
        <f t="shared" si="46"/>
        <v>0.67650787853035499</v>
      </c>
      <c r="P87" s="179">
        <f t="shared" si="46"/>
        <v>0.7124246396870868</v>
      </c>
      <c r="Q87" s="179">
        <f t="shared" si="46"/>
        <v>0.74804587167144099</v>
      </c>
      <c r="R87" s="179">
        <f t="shared" si="46"/>
        <v>0.78786918424488983</v>
      </c>
      <c r="S87" s="179">
        <f t="shared" si="46"/>
        <v>0.82229955452788739</v>
      </c>
      <c r="T87" s="179">
        <f t="shared" si="46"/>
        <v>0.86595660219365211</v>
      </c>
      <c r="U87" s="179">
        <f t="shared" si="46"/>
        <v>0.90925443230333469</v>
      </c>
      <c r="V87" s="179">
        <f t="shared" si="46"/>
        <v>0.95765991763206459</v>
      </c>
      <c r="W87" s="179">
        <f t="shared" si="46"/>
        <v>0.99951024790086307</v>
      </c>
      <c r="X87" s="179">
        <f t="shared" si="46"/>
        <v>1.0525756621951483</v>
      </c>
      <c r="Y87" s="179">
        <f t="shared" si="46"/>
        <v>1.1052044453049057</v>
      </c>
      <c r="Z87" s="179">
        <f t="shared" si="46"/>
        <v>1.1640416152562607</v>
      </c>
      <c r="AA87" s="179">
        <f t="shared" si="46"/>
        <v>1.2149109532625491</v>
      </c>
      <c r="AB87" s="179">
        <f t="shared" si="46"/>
        <v>1.2794122959960912</v>
      </c>
      <c r="AC87" s="179">
        <f t="shared" ref="AC87:AE87" si="47">+AC84+AC85-AC86</f>
        <v>1.3433829107958963</v>
      </c>
      <c r="AD87" s="179">
        <f t="shared" si="47"/>
        <v>1.4148998586040802</v>
      </c>
      <c r="AE87" s="179">
        <f t="shared" si="47"/>
        <v>0.82681965145688818</v>
      </c>
    </row>
    <row r="88" spans="1:31" s="5" customFormat="1" ht="12" x14ac:dyDescent="0.2">
      <c r="B88" s="117"/>
      <c r="C88" s="117"/>
      <c r="J88" s="142"/>
      <c r="K88" s="142"/>
      <c r="L88" s="223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</row>
    <row r="89" spans="1:31" s="5" customFormat="1" ht="12" x14ac:dyDescent="0.2">
      <c r="A89" s="8" t="s">
        <v>241</v>
      </c>
      <c r="B89" s="60" t="s">
        <v>59</v>
      </c>
      <c r="C89" s="60"/>
      <c r="D89" s="8"/>
      <c r="E89" s="8"/>
      <c r="F89" s="8"/>
      <c r="G89" s="8"/>
      <c r="H89" s="8"/>
      <c r="I89" s="8">
        <v>4.508</v>
      </c>
      <c r="J89" s="142"/>
      <c r="K89" s="142"/>
      <c r="L89" s="223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</row>
    <row r="90" spans="1:31" s="5" customFormat="1" ht="12" x14ac:dyDescent="0.2">
      <c r="B90" s="117"/>
      <c r="C90" s="117"/>
      <c r="J90" s="142"/>
      <c r="K90" s="142"/>
      <c r="L90" s="223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</row>
    <row r="91" spans="1:31" s="5" customFormat="1" ht="12" x14ac:dyDescent="0.2">
      <c r="A91" s="29" t="s">
        <v>218</v>
      </c>
      <c r="B91" s="181" t="s">
        <v>59</v>
      </c>
      <c r="C91" s="60"/>
      <c r="D91" s="8"/>
      <c r="E91" s="8"/>
      <c r="F91" s="8"/>
      <c r="G91" s="8"/>
      <c r="H91" s="8"/>
      <c r="I91" s="45" t="e">
        <f>I76+I79+I81-I86-I89</f>
        <v>#VALUE!</v>
      </c>
      <c r="J91" s="224" t="s">
        <v>253</v>
      </c>
      <c r="K91" s="224" t="s">
        <v>253</v>
      </c>
      <c r="L91" s="226">
        <f t="shared" ref="L91:AB91" si="48">L76-L86</f>
        <v>4.4973000000000001</v>
      </c>
      <c r="M91" s="47">
        <f t="shared" si="48"/>
        <v>4.2841722948654528</v>
      </c>
      <c r="N91" s="47">
        <f t="shared" si="48"/>
        <v>4.2514502225559845</v>
      </c>
      <c r="O91" s="47">
        <f t="shared" si="48"/>
        <v>4.2130089010863401</v>
      </c>
      <c r="P91" s="47">
        <f t="shared" si="48"/>
        <v>4.1747368807734269</v>
      </c>
      <c r="Q91" s="47">
        <f t="shared" si="48"/>
        <v>3.7330634120783674</v>
      </c>
      <c r="R91" s="47">
        <f t="shared" si="48"/>
        <v>3.6932895286732568</v>
      </c>
      <c r="S91" s="47">
        <f t="shared" si="48"/>
        <v>2.6595729040593299</v>
      </c>
      <c r="T91" s="47">
        <f t="shared" si="48"/>
        <v>1.2312656828158177</v>
      </c>
      <c r="U91" s="47">
        <f t="shared" si="48"/>
        <v>1.1824198089308209</v>
      </c>
      <c r="V91" s="47">
        <f t="shared" si="48"/>
        <v>1.1340744050651375</v>
      </c>
      <c r="W91" s="47">
        <f t="shared" si="48"/>
        <v>1.077279065393365</v>
      </c>
      <c r="X91" s="47">
        <f t="shared" si="48"/>
        <v>1.0207338606372456</v>
      </c>
      <c r="Y91" s="47">
        <f t="shared" si="48"/>
        <v>0.96136139564332024</v>
      </c>
      <c r="Z91" s="47">
        <f t="shared" si="48"/>
        <v>0.90259725508580813</v>
      </c>
      <c r="AA91" s="47">
        <f t="shared" si="48"/>
        <v>0.83356216474389599</v>
      </c>
      <c r="AB91" s="47">
        <f t="shared" si="48"/>
        <v>0.76483111495530287</v>
      </c>
      <c r="AC91" s="47">
        <f t="shared" ref="AC91:AE91" si="49">AC76-AC86</f>
        <v>0.69266351267728044</v>
      </c>
      <c r="AD91" s="47">
        <f t="shared" si="49"/>
        <v>0.62123533255374608</v>
      </c>
      <c r="AE91" s="47">
        <f t="shared" si="49"/>
        <v>0.53732274877383701</v>
      </c>
    </row>
    <row r="92" spans="1:31" s="5" customFormat="1" ht="12" x14ac:dyDescent="0.2">
      <c r="B92" s="117"/>
      <c r="C92" s="117"/>
      <c r="J92" s="142"/>
      <c r="K92" s="142"/>
      <c r="L92" s="223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</row>
    <row r="93" spans="1:31" s="5" customFormat="1" ht="12" x14ac:dyDescent="0.2">
      <c r="A93" s="29" t="s">
        <v>219</v>
      </c>
      <c r="B93" s="181" t="s">
        <v>59</v>
      </c>
      <c r="C93" s="60"/>
      <c r="D93" s="8"/>
      <c r="E93" s="8"/>
      <c r="F93" s="8"/>
      <c r="G93" s="8"/>
      <c r="H93" s="8"/>
      <c r="I93" s="8"/>
      <c r="J93" s="224" t="s">
        <v>253</v>
      </c>
      <c r="K93" s="224" t="s">
        <v>253</v>
      </c>
      <c r="L93" s="224">
        <v>0</v>
      </c>
      <c r="M93" s="182">
        <f>+M91-L91</f>
        <v>-0.21312770513454726</v>
      </c>
      <c r="N93" s="182">
        <f t="shared" ref="N93:AB93" si="50">+N91-M91</f>
        <v>-3.2722072309468331E-2</v>
      </c>
      <c r="O93" s="182">
        <f t="shared" si="50"/>
        <v>-3.8441321469644407E-2</v>
      </c>
      <c r="P93" s="182">
        <f t="shared" si="50"/>
        <v>-3.8272020312913213E-2</v>
      </c>
      <c r="Q93" s="182">
        <f t="shared" si="50"/>
        <v>-0.44167346869505941</v>
      </c>
      <c r="R93" s="182">
        <f t="shared" si="50"/>
        <v>-3.9773883405110677E-2</v>
      </c>
      <c r="S93" s="182">
        <f t="shared" si="50"/>
        <v>-1.0337166246139269</v>
      </c>
      <c r="T93" s="182">
        <f t="shared" si="50"/>
        <v>-1.4283072212435122</v>
      </c>
      <c r="U93" s="182">
        <f t="shared" si="50"/>
        <v>-4.8845873884996838E-2</v>
      </c>
      <c r="V93" s="182">
        <f t="shared" si="50"/>
        <v>-4.8345403865683423E-2</v>
      </c>
      <c r="W93" s="182">
        <f t="shared" si="50"/>
        <v>-5.6795339671772416E-2</v>
      </c>
      <c r="X93" s="182">
        <f t="shared" si="50"/>
        <v>-5.654520475611946E-2</v>
      </c>
      <c r="Y93" s="182">
        <f t="shared" si="50"/>
        <v>-5.9372464993925345E-2</v>
      </c>
      <c r="Z93" s="182">
        <f t="shared" si="50"/>
        <v>-5.8764140557512112E-2</v>
      </c>
      <c r="AA93" s="182">
        <f t="shared" si="50"/>
        <v>-6.9035090341912131E-2</v>
      </c>
      <c r="AB93" s="182">
        <f t="shared" si="50"/>
        <v>-6.8731049788593124E-2</v>
      </c>
      <c r="AC93" s="182">
        <f t="shared" ref="AC93" si="51">+AC91-AB91</f>
        <v>-7.2167602278022436E-2</v>
      </c>
      <c r="AD93" s="182">
        <f t="shared" ref="AD93" si="52">+AD91-AC91</f>
        <v>-7.1428180123534357E-2</v>
      </c>
      <c r="AE93" s="182">
        <f t="shared" ref="AE93" si="53">+AE91-AD91</f>
        <v>-8.3912583779909067E-2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tabSelected="1" topLeftCell="D19" workbookViewId="0">
      <selection activeCell="R5" sqref="R5:Z21"/>
    </sheetView>
  </sheetViews>
  <sheetFormatPr defaultColWidth="9.140625" defaultRowHeight="12" outlineLevelRow="1" outlineLevelCol="1" x14ac:dyDescent="0.2"/>
  <cols>
    <col min="1" max="1" width="29.42578125" style="5" bestFit="1" customWidth="1"/>
    <col min="2" max="2" width="13.5703125" style="5" bestFit="1" customWidth="1"/>
    <col min="3" max="3" width="28.28515625" style="5" bestFit="1" customWidth="1"/>
    <col min="4" max="4" width="27.28515625" style="5" customWidth="1"/>
    <col min="5" max="5" width="15.140625" style="5" hidden="1" customWidth="1" outlineLevel="1"/>
    <col min="6" max="6" width="8.7109375" style="5" hidden="1" customWidth="1" outlineLevel="1" collapsed="1"/>
    <col min="7" max="7" width="9.5703125" style="5" hidden="1" customWidth="1" outlineLevel="1"/>
    <col min="8" max="14" width="8.5703125" style="5" customWidth="1" outlineLevel="1"/>
    <col min="15" max="26" width="8.5703125" style="5" bestFit="1" customWidth="1"/>
    <col min="27" max="16384" width="9.140625" style="5"/>
  </cols>
  <sheetData>
    <row r="1" spans="4:26" x14ac:dyDescent="0.2">
      <c r="E1" s="5">
        <f>Assumptions!J3</f>
        <v>366</v>
      </c>
      <c r="F1" s="5">
        <f>Assumptions!K3</f>
        <v>365</v>
      </c>
      <c r="G1" s="5">
        <f>Assumptions!L3</f>
        <v>365</v>
      </c>
      <c r="H1" s="5">
        <f>Assumptions!M3</f>
        <v>365</v>
      </c>
      <c r="I1" s="5">
        <f>Assumptions!N3</f>
        <v>366</v>
      </c>
      <c r="J1" s="5">
        <f>Assumptions!O3</f>
        <v>365</v>
      </c>
      <c r="K1" s="5">
        <f>Assumptions!P3</f>
        <v>365</v>
      </c>
      <c r="L1" s="5">
        <f>Assumptions!Q3</f>
        <v>365</v>
      </c>
      <c r="M1" s="5">
        <f>Assumptions!R3</f>
        <v>366</v>
      </c>
      <c r="N1" s="5">
        <f>Assumptions!S3</f>
        <v>365</v>
      </c>
      <c r="O1" s="5">
        <f>Assumptions!T3</f>
        <v>365</v>
      </c>
      <c r="P1" s="5">
        <f>Assumptions!U3</f>
        <v>365</v>
      </c>
      <c r="Q1" s="5">
        <f>Assumptions!V3</f>
        <v>366</v>
      </c>
      <c r="R1" s="5">
        <f>Assumptions!W3</f>
        <v>365</v>
      </c>
      <c r="S1" s="5">
        <f>Assumptions!X3</f>
        <v>365</v>
      </c>
      <c r="T1" s="5">
        <f>Assumptions!Y3</f>
        <v>365</v>
      </c>
      <c r="U1" s="5">
        <f>Assumptions!Z3</f>
        <v>366</v>
      </c>
      <c r="V1" s="5">
        <f>Assumptions!AA3</f>
        <v>365</v>
      </c>
      <c r="W1" s="5">
        <f>Assumptions!AB3</f>
        <v>365</v>
      </c>
      <c r="X1" s="5">
        <f>Assumptions!AC3</f>
        <v>365</v>
      </c>
      <c r="Y1" s="5">
        <f>Assumptions!AD3</f>
        <v>366</v>
      </c>
      <c r="Z1" s="5">
        <f>Assumptions!AE3</f>
        <v>213</v>
      </c>
    </row>
    <row r="2" spans="4:26" x14ac:dyDescent="0.2">
      <c r="E2" s="5">
        <f>Assumptions!J1</f>
        <v>5</v>
      </c>
      <c r="F2" s="5">
        <f>Assumptions!K1</f>
        <v>6</v>
      </c>
      <c r="G2" s="5">
        <f>Assumptions!L1</f>
        <v>7</v>
      </c>
      <c r="H2" s="5">
        <f>Assumptions!M1</f>
        <v>8</v>
      </c>
      <c r="I2" s="5">
        <f>Assumptions!N1</f>
        <v>9</v>
      </c>
      <c r="J2" s="5">
        <f>Assumptions!O1</f>
        <v>10</v>
      </c>
      <c r="K2" s="5">
        <f>Assumptions!P1</f>
        <v>11</v>
      </c>
      <c r="L2" s="5">
        <f>Assumptions!Q1</f>
        <v>12</v>
      </c>
      <c r="M2" s="5">
        <f>Assumptions!R1</f>
        <v>13</v>
      </c>
      <c r="N2" s="5">
        <f>Assumptions!S1</f>
        <v>14</v>
      </c>
      <c r="O2" s="5">
        <f>Assumptions!T1</f>
        <v>15</v>
      </c>
      <c r="P2" s="5">
        <f>Assumptions!U1</f>
        <v>16</v>
      </c>
      <c r="Q2" s="5">
        <f>Assumptions!V1</f>
        <v>17</v>
      </c>
      <c r="R2" s="5">
        <f>Assumptions!W1</f>
        <v>18</v>
      </c>
      <c r="S2" s="5">
        <f>Assumptions!X1</f>
        <v>19</v>
      </c>
      <c r="T2" s="5">
        <f>Assumptions!Y1</f>
        <v>20</v>
      </c>
      <c r="U2" s="5">
        <f>Assumptions!Z1</f>
        <v>21</v>
      </c>
      <c r="V2" s="5">
        <f>Assumptions!AA1</f>
        <v>22</v>
      </c>
      <c r="W2" s="5">
        <f>Assumptions!AB1</f>
        <v>23</v>
      </c>
      <c r="X2" s="5">
        <f>Assumptions!AC1</f>
        <v>24</v>
      </c>
      <c r="Y2" s="5">
        <f>Assumptions!AD1</f>
        <v>25</v>
      </c>
      <c r="Z2" s="5">
        <f>Assumptions!AE1</f>
        <v>26</v>
      </c>
    </row>
    <row r="3" spans="4:26" x14ac:dyDescent="0.2">
      <c r="D3" s="246" t="s">
        <v>182</v>
      </c>
      <c r="E3" s="173">
        <f>Assumptions!J4</f>
        <v>43921</v>
      </c>
      <c r="F3" s="173">
        <f>Assumptions!K4</f>
        <v>44286</v>
      </c>
      <c r="G3" s="173">
        <f>Assumptions!L4</f>
        <v>44651</v>
      </c>
      <c r="H3" s="173">
        <f>Assumptions!M4</f>
        <v>45016</v>
      </c>
      <c r="I3" s="173">
        <f>Assumptions!N4</f>
        <v>45382</v>
      </c>
      <c r="J3" s="173">
        <f>Assumptions!O4</f>
        <v>45747</v>
      </c>
      <c r="K3" s="173">
        <f>Assumptions!P4</f>
        <v>46112</v>
      </c>
      <c r="L3" s="173">
        <f>Assumptions!Q4</f>
        <v>46477</v>
      </c>
      <c r="M3" s="173">
        <f>Assumptions!R4</f>
        <v>46843</v>
      </c>
      <c r="N3" s="173">
        <f>Assumptions!S4</f>
        <v>47208</v>
      </c>
      <c r="O3" s="173">
        <f>Assumptions!T4</f>
        <v>47573</v>
      </c>
      <c r="P3" s="173">
        <f>Assumptions!U4</f>
        <v>47938</v>
      </c>
      <c r="Q3" s="173">
        <f>Assumptions!V4</f>
        <v>48304</v>
      </c>
      <c r="R3" s="173">
        <f>Assumptions!W4</f>
        <v>48669</v>
      </c>
      <c r="S3" s="173">
        <f>Assumptions!X4</f>
        <v>49034</v>
      </c>
      <c r="T3" s="173">
        <f>Assumptions!Y4</f>
        <v>49399</v>
      </c>
      <c r="U3" s="173">
        <f>Assumptions!Z4</f>
        <v>49765</v>
      </c>
      <c r="V3" s="173">
        <f>Assumptions!AA4</f>
        <v>50130</v>
      </c>
      <c r="W3" s="173">
        <f>Assumptions!AB4</f>
        <v>50495</v>
      </c>
      <c r="X3" s="173">
        <f>Assumptions!AC4</f>
        <v>50860</v>
      </c>
      <c r="Y3" s="173">
        <f>Assumptions!AD4</f>
        <v>51226</v>
      </c>
      <c r="Z3" s="173">
        <f>Assumptions!AE4</f>
        <v>51591</v>
      </c>
    </row>
    <row r="4" spans="4:26" x14ac:dyDescent="0.2">
      <c r="D4" s="246"/>
      <c r="E4" s="193" t="s">
        <v>183</v>
      </c>
      <c r="F4" s="193" t="s">
        <v>183</v>
      </c>
      <c r="G4" s="193" t="s">
        <v>183</v>
      </c>
      <c r="H4" s="193" t="s">
        <v>183</v>
      </c>
      <c r="I4" s="193" t="s">
        <v>183</v>
      </c>
      <c r="J4" s="193" t="s">
        <v>183</v>
      </c>
      <c r="K4" s="193" t="s">
        <v>183</v>
      </c>
      <c r="L4" s="193" t="s">
        <v>183</v>
      </c>
      <c r="M4" s="193" t="s">
        <v>183</v>
      </c>
      <c r="N4" s="193" t="s">
        <v>183</v>
      </c>
      <c r="O4" s="193" t="s">
        <v>183</v>
      </c>
      <c r="P4" s="193" t="s">
        <v>183</v>
      </c>
      <c r="Q4" s="193" t="s">
        <v>183</v>
      </c>
      <c r="R4" s="193" t="s">
        <v>183</v>
      </c>
      <c r="S4" s="193" t="s">
        <v>183</v>
      </c>
      <c r="T4" s="193" t="s">
        <v>183</v>
      </c>
      <c r="U4" s="193" t="s">
        <v>183</v>
      </c>
      <c r="V4" s="193" t="s">
        <v>183</v>
      </c>
      <c r="W4" s="193" t="s">
        <v>183</v>
      </c>
      <c r="X4" s="193" t="s">
        <v>183</v>
      </c>
      <c r="Y4" s="193" t="s">
        <v>183</v>
      </c>
      <c r="Z4" s="193" t="s">
        <v>183</v>
      </c>
    </row>
    <row r="5" spans="4:26" ht="15" x14ac:dyDescent="0.25">
      <c r="D5" s="7" t="s">
        <v>184</v>
      </c>
      <c r="E5" s="150">
        <f>'RKA P&amp;L'!J22</f>
        <v>0</v>
      </c>
      <c r="F5" s="150">
        <f>'RKA P&amp;L'!K22</f>
        <v>0</v>
      </c>
      <c r="G5" s="150">
        <f>'RKA P&amp;L'!L22</f>
        <v>0</v>
      </c>
      <c r="H5" s="243">
        <f>'RKA P&amp;L'!M22</f>
        <v>9.5541325439999998</v>
      </c>
      <c r="I5" s="243">
        <f>'RKA P&amp;L'!N22</f>
        <v>9.5803082495999998</v>
      </c>
      <c r="J5" s="243">
        <f>'RKA P&amp;L'!O22</f>
        <v>9.5541325439999998</v>
      </c>
      <c r="K5" s="243">
        <f>'RKA P&amp;L'!P22</f>
        <v>9.5541325439999998</v>
      </c>
      <c r="L5" s="243">
        <f>'RKA P&amp;L'!Q22</f>
        <v>8.7836379840000003</v>
      </c>
      <c r="M5" s="243">
        <f>'RKA P&amp;L'!R22</f>
        <v>8.8077027456000003</v>
      </c>
      <c r="N5" s="243">
        <f>'RKA P&amp;L'!S22</f>
        <v>6.8895055239999996</v>
      </c>
      <c r="O5" s="243">
        <f>'RKA P&amp;L'!T22</f>
        <v>4.2377200799999999</v>
      </c>
      <c r="P5" s="243">
        <f>'RKA P&amp;L'!U22</f>
        <v>4.2377200799999999</v>
      </c>
      <c r="Q5" s="243">
        <f>'RKA P&amp;L'!V22</f>
        <v>4.2493302719999999</v>
      </c>
      <c r="R5" s="243">
        <f>'RKA P&amp;L'!W22</f>
        <v>4.2377200799999999</v>
      </c>
      <c r="S5" s="243">
        <f>'RKA P&amp;L'!X22</f>
        <v>4.2377200799999999</v>
      </c>
      <c r="T5" s="243">
        <f>'RKA P&amp;L'!Y22</f>
        <v>4.2377200799999999</v>
      </c>
      <c r="U5" s="243">
        <f>'RKA P&amp;L'!Z22</f>
        <v>4.2493302719999999</v>
      </c>
      <c r="V5" s="243">
        <f>'RKA P&amp;L'!AA22</f>
        <v>4.2377200799999999</v>
      </c>
      <c r="W5" s="243">
        <f>'RKA P&amp;L'!AB22</f>
        <v>4.2377200799999999</v>
      </c>
      <c r="X5" s="243">
        <f>'RKA P&amp;L'!AC22</f>
        <v>4.2377200799999999</v>
      </c>
      <c r="Y5" s="243">
        <f>'RKA P&amp;L'!AD22</f>
        <v>4.2493302719999999</v>
      </c>
      <c r="Z5" s="243">
        <f>'RKA P&amp;L'!AE22</f>
        <v>5.4175304604221086</v>
      </c>
    </row>
    <row r="6" spans="4:26" x14ac:dyDescent="0.2">
      <c r="D6" s="151" t="s">
        <v>185</v>
      </c>
      <c r="E6" s="151" t="e">
        <f>E5/D5-1</f>
        <v>#VALUE!</v>
      </c>
      <c r="F6" s="151" t="e">
        <f>F5/E5-1</f>
        <v>#DIV/0!</v>
      </c>
      <c r="G6" s="151" t="e">
        <f>G5/F5-1</f>
        <v>#DIV/0!</v>
      </c>
      <c r="H6" s="240" t="e">
        <f t="shared" ref="H6:V6" si="0">H5/G5-1</f>
        <v>#DIV/0!</v>
      </c>
      <c r="I6" s="240">
        <f t="shared" si="0"/>
        <v>2.73972602739736E-3</v>
      </c>
      <c r="J6" s="240">
        <f t="shared" si="0"/>
        <v>-2.732240437158473E-3</v>
      </c>
      <c r="K6" s="240">
        <f t="shared" si="0"/>
        <v>0</v>
      </c>
      <c r="L6" s="241">
        <f t="shared" si="0"/>
        <v>-8.0645161290322509E-2</v>
      </c>
      <c r="M6" s="241">
        <f t="shared" si="0"/>
        <v>2.73972602739736E-3</v>
      </c>
      <c r="N6" s="241">
        <f t="shared" si="0"/>
        <v>-0.21778632601540293</v>
      </c>
      <c r="O6" s="241">
        <f t="shared" si="0"/>
        <v>-0.38490214352283314</v>
      </c>
      <c r="P6" s="241">
        <f t="shared" si="0"/>
        <v>0</v>
      </c>
      <c r="Q6" s="241">
        <f t="shared" si="0"/>
        <v>2.73972602739736E-3</v>
      </c>
      <c r="R6" s="241">
        <f t="shared" si="0"/>
        <v>-2.732240437158473E-3</v>
      </c>
      <c r="S6" s="241">
        <f t="shared" si="0"/>
        <v>0</v>
      </c>
      <c r="T6" s="241">
        <f t="shared" si="0"/>
        <v>0</v>
      </c>
      <c r="U6" s="241">
        <f t="shared" si="0"/>
        <v>2.73972602739736E-3</v>
      </c>
      <c r="V6" s="241">
        <f t="shared" si="0"/>
        <v>-2.732240437158473E-3</v>
      </c>
      <c r="W6" s="241">
        <f t="shared" ref="W6" si="1">W5/V5-1</f>
        <v>0</v>
      </c>
      <c r="X6" s="241">
        <f t="shared" ref="X6" si="2">X5/W5-1</f>
        <v>0</v>
      </c>
      <c r="Y6" s="241">
        <f t="shared" ref="Y6" si="3">Y5/X5-1</f>
        <v>2.73972602739736E-3</v>
      </c>
      <c r="Z6" s="241">
        <f t="shared" ref="Z6" si="4">Z5/Y5-1</f>
        <v>0.27491395435174804</v>
      </c>
    </row>
    <row r="7" spans="4:26" ht="15" x14ac:dyDescent="0.25">
      <c r="D7" s="7" t="s">
        <v>186</v>
      </c>
      <c r="E7" s="150">
        <f>'RKA P&amp;L'!J27</f>
        <v>0</v>
      </c>
      <c r="F7" s="150">
        <f>'RKA P&amp;L'!K27</f>
        <v>0</v>
      </c>
      <c r="G7" s="150">
        <f>'RKA P&amp;L'!L27</f>
        <v>0</v>
      </c>
      <c r="H7" s="243">
        <f>'RKA P&amp;L'!M27</f>
        <v>8.5049725439999992</v>
      </c>
      <c r="I7" s="243">
        <f>'RKA P&amp;L'!N27</f>
        <v>8.4786902495999996</v>
      </c>
      <c r="J7" s="243">
        <f>'RKA P&amp;L'!O27</f>
        <v>8.3974336439999995</v>
      </c>
      <c r="K7" s="243">
        <f>'RKA P&amp;L'!P27</f>
        <v>8.3395986989999997</v>
      </c>
      <c r="L7" s="243">
        <f>'RKA P&amp;L'!Q27</f>
        <v>7.50837744675</v>
      </c>
      <c r="M7" s="243">
        <f>'RKA P&amp;L'!R27</f>
        <v>7.4686791814875004</v>
      </c>
      <c r="N7" s="243">
        <f>'RKA P&amp;L'!S27</f>
        <v>5.4835307816818739</v>
      </c>
      <c r="O7" s="243">
        <f>'RKA P&amp;L'!T27</f>
        <v>2.7614466005659679</v>
      </c>
      <c r="P7" s="243">
        <f>'RKA P&amp;L'!U27</f>
        <v>2.6876329265942664</v>
      </c>
      <c r="Q7" s="243">
        <f>'RKA P&amp;L'!V27</f>
        <v>2.6217387609239795</v>
      </c>
      <c r="R7" s="243">
        <f>'RKA P&amp;L'!W27</f>
        <v>2.5287489933701783</v>
      </c>
      <c r="S7" s="243">
        <f>'RKA P&amp;L'!X27</f>
        <v>2.4433004390386874</v>
      </c>
      <c r="T7" s="243">
        <f>'RKA P&amp;L'!Y27</f>
        <v>2.3535794569906217</v>
      </c>
      <c r="U7" s="243">
        <f>'RKA P&amp;L'!Z27</f>
        <v>2.2709826178401529</v>
      </c>
      <c r="V7" s="243">
        <f>'RKA P&amp;L'!AA27</f>
        <v>2.1604550431321603</v>
      </c>
      <c r="W7" s="243">
        <f>'RKA P&amp;L'!AB27</f>
        <v>2.0565917912887683</v>
      </c>
      <c r="X7" s="243">
        <f>'RKA P&amp;L'!AC27</f>
        <v>1.9475353768532067</v>
      </c>
      <c r="Y7" s="243">
        <f>'RKA P&amp;L'!AD27</f>
        <v>1.8446363336958669</v>
      </c>
      <c r="Z7" s="243">
        <f>'RKA P&amp;L'!AE27</f>
        <v>3.944078955485891</v>
      </c>
    </row>
    <row r="8" spans="4:26" x14ac:dyDescent="0.2">
      <c r="D8" s="151" t="s">
        <v>187</v>
      </c>
      <c r="E8" s="151" t="e">
        <f t="shared" ref="E8" si="5">E7/E$5</f>
        <v>#DIV/0!</v>
      </c>
      <c r="F8" s="151" t="e">
        <f t="shared" ref="F8:V8" si="6">F7/F$5</f>
        <v>#DIV/0!</v>
      </c>
      <c r="G8" s="151" t="e">
        <f t="shared" si="6"/>
        <v>#DIV/0!</v>
      </c>
      <c r="H8" s="241">
        <f t="shared" si="6"/>
        <v>0.89018783283900815</v>
      </c>
      <c r="I8" s="241">
        <f t="shared" si="6"/>
        <v>0.88501225938674832</v>
      </c>
      <c r="J8" s="241">
        <f t="shared" si="6"/>
        <v>0.87893208570500647</v>
      </c>
      <c r="K8" s="241">
        <f t="shared" si="6"/>
        <v>0.87287868999025686</v>
      </c>
      <c r="L8" s="241">
        <f t="shared" si="6"/>
        <v>0.85481408277834592</v>
      </c>
      <c r="M8" s="241">
        <f t="shared" si="6"/>
        <v>0.84797130389289921</v>
      </c>
      <c r="N8" s="241">
        <f t="shared" si="6"/>
        <v>0.795925159299121</v>
      </c>
      <c r="O8" s="241">
        <f t="shared" si="6"/>
        <v>0.65163497079447685</v>
      </c>
      <c r="P8" s="241">
        <f t="shared" si="6"/>
        <v>0.63421671933420065</v>
      </c>
      <c r="Q8" s="241">
        <f t="shared" si="6"/>
        <v>0.61697693356511585</v>
      </c>
      <c r="R8" s="241">
        <f t="shared" si="6"/>
        <v>0.59672393306595617</v>
      </c>
      <c r="S8" s="241">
        <f t="shared" si="6"/>
        <v>0.57656012971925397</v>
      </c>
      <c r="T8" s="241">
        <f t="shared" si="6"/>
        <v>0.55538813620521665</v>
      </c>
      <c r="U8" s="241">
        <f t="shared" si="6"/>
        <v>0.53443306885423303</v>
      </c>
      <c r="V8" s="241">
        <f t="shared" si="6"/>
        <v>0.50981542016625137</v>
      </c>
      <c r="W8" s="241">
        <f t="shared" ref="W8:Z8" si="7">W7/W$5</f>
        <v>0.48530619117456392</v>
      </c>
      <c r="X8" s="241">
        <f t="shared" si="7"/>
        <v>0.45957150073329212</v>
      </c>
      <c r="Y8" s="241">
        <f t="shared" si="7"/>
        <v>0.43410048539900054</v>
      </c>
      <c r="Z8" s="241">
        <f t="shared" si="7"/>
        <v>0.72802155600221341</v>
      </c>
    </row>
    <row r="9" spans="4:26" ht="15" x14ac:dyDescent="0.25">
      <c r="D9" s="7" t="s">
        <v>157</v>
      </c>
      <c r="E9" s="150">
        <f>'RKA P&amp;L'!J30</f>
        <v>0</v>
      </c>
      <c r="F9" s="150">
        <f>'RKA P&amp;L'!L30</f>
        <v>0</v>
      </c>
      <c r="G9" s="150">
        <f>'RKA P&amp;L'!L30</f>
        <v>0</v>
      </c>
      <c r="H9" s="243">
        <f>'RKA P&amp;L'!M30</f>
        <v>6.0293114076363628</v>
      </c>
      <c r="I9" s="243">
        <f>'RKA P&amp;L'!N30</f>
        <v>6.0030291132363631</v>
      </c>
      <c r="J9" s="243">
        <f>'RKA P&amp;L'!O30</f>
        <v>5.921772507636363</v>
      </c>
      <c r="K9" s="243">
        <f>'RKA P&amp;L'!P30</f>
        <v>5.8639375626363632</v>
      </c>
      <c r="L9" s="243">
        <f>'RKA P&amp;L'!Q30</f>
        <v>5.0327163103863635</v>
      </c>
      <c r="M9" s="243">
        <f>'RKA P&amp;L'!R30</f>
        <v>4.9930180451238639</v>
      </c>
      <c r="N9" s="243">
        <f>'RKA P&amp;L'!S30</f>
        <v>3.0078696453182374</v>
      </c>
      <c r="O9" s="243">
        <f>'RKA P&amp;L'!T30</f>
        <v>0.28578546420233142</v>
      </c>
      <c r="P9" s="243">
        <f>'RKA P&amp;L'!U30</f>
        <v>0.21197179023062995</v>
      </c>
      <c r="Q9" s="243">
        <f>'RKA P&amp;L'!V30</f>
        <v>0.14607762456034301</v>
      </c>
      <c r="R9" s="243">
        <f>'RKA P&amp;L'!W30</f>
        <v>5.3087857006541839E-2</v>
      </c>
      <c r="S9" s="243">
        <f>'RKA P&amp;L'!X30</f>
        <v>-3.2360697324949061E-2</v>
      </c>
      <c r="T9" s="243">
        <f>'RKA P&amp;L'!Y30</f>
        <v>-0.12208167937301484</v>
      </c>
      <c r="U9" s="243">
        <f>'RKA P&amp;L'!Z30</f>
        <v>-0.20467851852348362</v>
      </c>
      <c r="V9" s="243">
        <f>'RKA P&amp;L'!AA30</f>
        <v>-0.31520609323147619</v>
      </c>
      <c r="W9" s="243">
        <f>'RKA P&amp;L'!AB30</f>
        <v>-0.41906934507486815</v>
      </c>
      <c r="X9" s="243">
        <f>'RKA P&amp;L'!AC30</f>
        <v>-0.52812575951042984</v>
      </c>
      <c r="Y9" s="243">
        <f>'RKA P&amp;L'!AD30</f>
        <v>1.8446363336958669</v>
      </c>
      <c r="Z9" s="243">
        <f>'RKA P&amp;L'!AE30</f>
        <v>3.944078955485891</v>
      </c>
    </row>
    <row r="10" spans="4:26" x14ac:dyDescent="0.2">
      <c r="D10" s="151" t="s">
        <v>187</v>
      </c>
      <c r="E10" s="151" t="e">
        <f t="shared" ref="E10" si="8">E9/E$5</f>
        <v>#DIV/0!</v>
      </c>
      <c r="F10" s="151" t="e">
        <f t="shared" ref="F10:V10" si="9">F9/F$5</f>
        <v>#DIV/0!</v>
      </c>
      <c r="G10" s="151" t="e">
        <f t="shared" si="9"/>
        <v>#DIV/0!</v>
      </c>
      <c r="H10" s="241">
        <f t="shared" si="9"/>
        <v>0.63106842822928744</v>
      </c>
      <c r="I10" s="241">
        <f t="shared" si="9"/>
        <v>0.62660083129235467</v>
      </c>
      <c r="J10" s="241">
        <f t="shared" si="9"/>
        <v>0.61981268109528576</v>
      </c>
      <c r="K10" s="241">
        <f t="shared" si="9"/>
        <v>0.61375928538053615</v>
      </c>
      <c r="L10" s="241">
        <f t="shared" si="9"/>
        <v>0.57296490583443915</v>
      </c>
      <c r="M10" s="241">
        <f t="shared" si="9"/>
        <v>0.56689220666741846</v>
      </c>
      <c r="N10" s="241">
        <f t="shared" si="9"/>
        <v>0.43658715924388852</v>
      </c>
      <c r="O10" s="241">
        <f t="shared" si="9"/>
        <v>6.7438494947106423E-2</v>
      </c>
      <c r="P10" s="241">
        <f t="shared" si="9"/>
        <v>5.0020243486830297E-2</v>
      </c>
      <c r="Q10" s="241">
        <f t="shared" si="9"/>
        <v>3.4376622952301088E-2</v>
      </c>
      <c r="R10" s="241">
        <f t="shared" si="9"/>
        <v>1.2527457218585763E-2</v>
      </c>
      <c r="S10" s="241">
        <f t="shared" si="9"/>
        <v>-7.636346128116386E-3</v>
      </c>
      <c r="T10" s="241">
        <f t="shared" si="9"/>
        <v>-2.8808339642153721E-2</v>
      </c>
      <c r="U10" s="241">
        <f t="shared" si="9"/>
        <v>-4.8167241758581676E-2</v>
      </c>
      <c r="V10" s="241">
        <f t="shared" si="9"/>
        <v>-7.4381055681119038E-2</v>
      </c>
      <c r="W10" s="241">
        <f t="shared" ref="W10:Z10" si="10">W9/W$5</f>
        <v>-9.8890284672806458E-2</v>
      </c>
      <c r="X10" s="241">
        <f t="shared" si="10"/>
        <v>-0.12462497511407829</v>
      </c>
      <c r="Y10" s="241">
        <f t="shared" si="10"/>
        <v>0.43410048539900054</v>
      </c>
      <c r="Z10" s="241">
        <f t="shared" si="10"/>
        <v>0.72802155600221341</v>
      </c>
    </row>
    <row r="11" spans="4:26" hidden="1" x14ac:dyDescent="0.2">
      <c r="D11" s="152" t="s">
        <v>188</v>
      </c>
      <c r="E11" s="9">
        <f>'RKA P&amp;L'!J37</f>
        <v>0</v>
      </c>
      <c r="F11" s="9">
        <f>'RKA P&amp;L'!K37</f>
        <v>0</v>
      </c>
      <c r="G11" s="139">
        <f>'RKA P&amp;L'!L36</f>
        <v>0</v>
      </c>
      <c r="H11" s="242">
        <f>1-$B$36</f>
        <v>0.74829999999999997</v>
      </c>
      <c r="I11" s="242">
        <f t="shared" ref="I11:Z11" si="11">1-$B$36</f>
        <v>0.74829999999999997</v>
      </c>
      <c r="J11" s="242">
        <f t="shared" si="11"/>
        <v>0.74829999999999997</v>
      </c>
      <c r="K11" s="242">
        <f t="shared" si="11"/>
        <v>0.74829999999999997</v>
      </c>
      <c r="L11" s="242">
        <f t="shared" si="11"/>
        <v>0.74829999999999997</v>
      </c>
      <c r="M11" s="242">
        <f t="shared" si="11"/>
        <v>0.74829999999999997</v>
      </c>
      <c r="N11" s="242">
        <f t="shared" si="11"/>
        <v>0.74829999999999997</v>
      </c>
      <c r="O11" s="242">
        <f t="shared" si="11"/>
        <v>0.74829999999999997</v>
      </c>
      <c r="P11" s="242">
        <f t="shared" si="11"/>
        <v>0.74829999999999997</v>
      </c>
      <c r="Q11" s="242">
        <f t="shared" si="11"/>
        <v>0.74829999999999997</v>
      </c>
      <c r="R11" s="242">
        <f t="shared" si="11"/>
        <v>0.74829999999999997</v>
      </c>
      <c r="S11" s="242">
        <f t="shared" si="11"/>
        <v>0.74829999999999997</v>
      </c>
      <c r="T11" s="242">
        <f t="shared" si="11"/>
        <v>0.74829999999999997</v>
      </c>
      <c r="U11" s="242">
        <f t="shared" si="11"/>
        <v>0.74829999999999997</v>
      </c>
      <c r="V11" s="242">
        <f t="shared" si="11"/>
        <v>0.74829999999999997</v>
      </c>
      <c r="W11" s="242">
        <f t="shared" si="11"/>
        <v>0.74829999999999997</v>
      </c>
      <c r="X11" s="242">
        <f t="shared" si="11"/>
        <v>0.74829999999999997</v>
      </c>
      <c r="Y11" s="242">
        <f t="shared" si="11"/>
        <v>0.74829999999999997</v>
      </c>
      <c r="Z11" s="242">
        <f t="shared" si="11"/>
        <v>0.74829999999999997</v>
      </c>
    </row>
    <row r="12" spans="4:26" ht="15" x14ac:dyDescent="0.25">
      <c r="D12" s="7" t="s">
        <v>189</v>
      </c>
      <c r="E12" s="150">
        <f t="shared" ref="E12" si="12">E9-E11</f>
        <v>0</v>
      </c>
      <c r="F12" s="150">
        <f t="shared" ref="F12" si="13">F9-F11</f>
        <v>0</v>
      </c>
      <c r="G12" s="150">
        <f>G9*(1-G11)</f>
        <v>0</v>
      </c>
      <c r="H12" s="243">
        <f>H9*H11</f>
        <v>4.51173372633429</v>
      </c>
      <c r="I12" s="243">
        <f t="shared" ref="I12:Z12" si="14">I9*I11</f>
        <v>4.4920666854347706</v>
      </c>
      <c r="J12" s="243">
        <f t="shared" si="14"/>
        <v>4.4312623674642904</v>
      </c>
      <c r="K12" s="243">
        <f t="shared" si="14"/>
        <v>4.3879844781207904</v>
      </c>
      <c r="L12" s="243">
        <f t="shared" si="14"/>
        <v>3.7659816150621155</v>
      </c>
      <c r="M12" s="243">
        <f t="shared" si="14"/>
        <v>3.7362754031661871</v>
      </c>
      <c r="N12" s="243">
        <f t="shared" si="14"/>
        <v>2.2507888555916371</v>
      </c>
      <c r="O12" s="243">
        <f t="shared" si="14"/>
        <v>0.21385326286260459</v>
      </c>
      <c r="P12" s="243">
        <f t="shared" si="14"/>
        <v>0.15861849062958039</v>
      </c>
      <c r="Q12" s="243">
        <f t="shared" si="14"/>
        <v>0.10930988645850467</v>
      </c>
      <c r="R12" s="243">
        <f t="shared" si="14"/>
        <v>3.9725643397995253E-2</v>
      </c>
      <c r="S12" s="243">
        <f t="shared" si="14"/>
        <v>-2.4215509808259383E-2</v>
      </c>
      <c r="T12" s="243">
        <f t="shared" si="14"/>
        <v>-9.1353720674826999E-2</v>
      </c>
      <c r="U12" s="243">
        <f t="shared" si="14"/>
        <v>-0.1531609354111228</v>
      </c>
      <c r="V12" s="243">
        <f t="shared" si="14"/>
        <v>-0.23586871956511363</v>
      </c>
      <c r="W12" s="243">
        <f t="shared" si="14"/>
        <v>-0.31358959091952382</v>
      </c>
      <c r="X12" s="243">
        <f t="shared" si="14"/>
        <v>-0.39519650584165461</v>
      </c>
      <c r="Y12" s="243">
        <f t="shared" si="14"/>
        <v>1.3803413685046171</v>
      </c>
      <c r="Z12" s="243">
        <f t="shared" si="14"/>
        <v>2.951354282390092</v>
      </c>
    </row>
    <row r="13" spans="4:26" x14ac:dyDescent="0.2">
      <c r="D13" s="151" t="s">
        <v>187</v>
      </c>
      <c r="E13" s="151" t="e">
        <f t="shared" ref="E13" si="15">E12/E$5</f>
        <v>#DIV/0!</v>
      </c>
      <c r="F13" s="151" t="e">
        <f t="shared" ref="F13:V13" si="16">F12/F$5</f>
        <v>#DIV/0!</v>
      </c>
      <c r="G13" s="151" t="e">
        <f>G12/G$5</f>
        <v>#DIV/0!</v>
      </c>
      <c r="H13" s="241">
        <f t="shared" si="16"/>
        <v>0.47222850484397572</v>
      </c>
      <c r="I13" s="241">
        <f t="shared" si="16"/>
        <v>0.46888540205606899</v>
      </c>
      <c r="J13" s="241">
        <f t="shared" si="16"/>
        <v>0.46380582926360231</v>
      </c>
      <c r="K13" s="241">
        <f t="shared" si="16"/>
        <v>0.45927607325025516</v>
      </c>
      <c r="L13" s="241">
        <f t="shared" si="16"/>
        <v>0.42874963903591079</v>
      </c>
      <c r="M13" s="241">
        <f t="shared" si="16"/>
        <v>0.42420543824922918</v>
      </c>
      <c r="N13" s="241">
        <f t="shared" si="16"/>
        <v>0.3266981712622018</v>
      </c>
      <c r="O13" s="241">
        <f t="shared" si="16"/>
        <v>5.0464225768919735E-2</v>
      </c>
      <c r="P13" s="241">
        <f t="shared" si="16"/>
        <v>3.7430148201195106E-2</v>
      </c>
      <c r="Q13" s="241">
        <f t="shared" si="16"/>
        <v>2.57240269552069E-2</v>
      </c>
      <c r="R13" s="241">
        <f t="shared" si="16"/>
        <v>9.3742962366677261E-3</v>
      </c>
      <c r="S13" s="241">
        <f t="shared" si="16"/>
        <v>-5.7142778076694914E-3</v>
      </c>
      <c r="T13" s="241">
        <f t="shared" si="16"/>
        <v>-2.155728055422363E-2</v>
      </c>
      <c r="U13" s="241">
        <f t="shared" si="16"/>
        <v>-3.6043547007946666E-2</v>
      </c>
      <c r="V13" s="241">
        <f t="shared" si="16"/>
        <v>-5.5659343966181371E-2</v>
      </c>
      <c r="W13" s="241">
        <f t="shared" ref="W13:Z13" si="17">W12/W$5</f>
        <v>-7.3999600020661069E-2</v>
      </c>
      <c r="X13" s="241">
        <f t="shared" si="17"/>
        <v>-9.3256868877864774E-2</v>
      </c>
      <c r="Y13" s="241">
        <f t="shared" si="17"/>
        <v>0.32483739322407207</v>
      </c>
      <c r="Z13" s="241">
        <f t="shared" si="17"/>
        <v>0.54477853035645618</v>
      </c>
    </row>
    <row r="14" spans="4:26" ht="15" x14ac:dyDescent="0.25">
      <c r="D14" s="8" t="s">
        <v>190</v>
      </c>
      <c r="E14" s="45">
        <f>'Depreciation Schedule'!E75</f>
        <v>2.4756611363636365</v>
      </c>
      <c r="F14" s="45">
        <f>'Depreciation Schedule'!F75</f>
        <v>2.4756611363636365</v>
      </c>
      <c r="G14" s="45">
        <f>'Depreciation Schedule'!G75</f>
        <v>2.2867999999999999</v>
      </c>
      <c r="H14" s="92">
        <f>'Depreciation Schedule'!H75</f>
        <v>2.4756611363636365</v>
      </c>
      <c r="I14" s="92">
        <f>'Depreciation Schedule'!I75</f>
        <v>2.4756611363636365</v>
      </c>
      <c r="J14" s="92">
        <f>'Depreciation Schedule'!J75</f>
        <v>2.4756611363636365</v>
      </c>
      <c r="K14" s="92">
        <f>'Depreciation Schedule'!K75</f>
        <v>2.4756611363636365</v>
      </c>
      <c r="L14" s="92">
        <f>'Depreciation Schedule'!L75</f>
        <v>2.4756611363636365</v>
      </c>
      <c r="M14" s="92">
        <f>'Depreciation Schedule'!M75</f>
        <v>2.4756611363636365</v>
      </c>
      <c r="N14" s="92">
        <f>'Depreciation Schedule'!N75</f>
        <v>2.4756611363636365</v>
      </c>
      <c r="O14" s="92">
        <f>'Depreciation Schedule'!O75</f>
        <v>2.4756611363636365</v>
      </c>
      <c r="P14" s="92">
        <f>'Depreciation Schedule'!P75</f>
        <v>2.4756611363636365</v>
      </c>
      <c r="Q14" s="92">
        <f>'Depreciation Schedule'!Q75</f>
        <v>2.4756611363636365</v>
      </c>
      <c r="R14" s="92">
        <f>'Depreciation Schedule'!R75</f>
        <v>2.4756611363636365</v>
      </c>
      <c r="S14" s="92">
        <f>'Depreciation Schedule'!S75</f>
        <v>2.4756611363636365</v>
      </c>
      <c r="T14" s="92">
        <f>'Depreciation Schedule'!T75</f>
        <v>2.4756611363636365</v>
      </c>
      <c r="U14" s="92">
        <f>'Depreciation Schedule'!U75</f>
        <v>2.4756611363636365</v>
      </c>
      <c r="V14" s="92">
        <f>'Depreciation Schedule'!V75</f>
        <v>2.4756611363636365</v>
      </c>
      <c r="W14" s="92">
        <f>'Depreciation Schedule'!W75</f>
        <v>2.4756611363636365</v>
      </c>
      <c r="X14" s="92">
        <f>'Depreciation Schedule'!X75</f>
        <v>2.4756611363636365</v>
      </c>
      <c r="Y14" s="92">
        <f>'Depreciation Schedule'!Y75</f>
        <v>0</v>
      </c>
      <c r="Z14" s="92">
        <f>'Depreciation Schedule'!Z75</f>
        <v>0</v>
      </c>
    </row>
    <row r="15" spans="4:26" x14ac:dyDescent="0.2">
      <c r="D15" s="151" t="s">
        <v>187</v>
      </c>
      <c r="E15" s="151" t="e">
        <f t="shared" ref="E15" si="18">E14/E$5</f>
        <v>#DIV/0!</v>
      </c>
      <c r="F15" s="151" t="e">
        <f t="shared" ref="F15:V15" si="19">F14/F$5</f>
        <v>#DIV/0!</v>
      </c>
      <c r="G15" s="151" t="e">
        <f t="shared" si="19"/>
        <v>#DIV/0!</v>
      </c>
      <c r="H15" s="241">
        <f t="shared" si="19"/>
        <v>0.25911940460972072</v>
      </c>
      <c r="I15" s="241">
        <f t="shared" si="19"/>
        <v>0.25841142809439366</v>
      </c>
      <c r="J15" s="241">
        <f t="shared" si="19"/>
        <v>0.25911940460972072</v>
      </c>
      <c r="K15" s="241">
        <f t="shared" si="19"/>
        <v>0.25911940460972072</v>
      </c>
      <c r="L15" s="241">
        <f t="shared" si="19"/>
        <v>0.28184917694390677</v>
      </c>
      <c r="M15" s="241">
        <f t="shared" si="19"/>
        <v>0.2810790972254808</v>
      </c>
      <c r="N15" s="241">
        <f t="shared" si="19"/>
        <v>0.35933800005523248</v>
      </c>
      <c r="O15" s="241">
        <f t="shared" si="19"/>
        <v>0.58419647584737044</v>
      </c>
      <c r="P15" s="241">
        <f t="shared" si="19"/>
        <v>0.58419647584737044</v>
      </c>
      <c r="Q15" s="241">
        <f t="shared" si="19"/>
        <v>0.5826003106128147</v>
      </c>
      <c r="R15" s="241">
        <f t="shared" si="19"/>
        <v>0.58419647584737044</v>
      </c>
      <c r="S15" s="241">
        <f t="shared" si="19"/>
        <v>0.58419647584737044</v>
      </c>
      <c r="T15" s="241">
        <f t="shared" si="19"/>
        <v>0.58419647584737044</v>
      </c>
      <c r="U15" s="241">
        <f t="shared" si="19"/>
        <v>0.5826003106128147</v>
      </c>
      <c r="V15" s="241">
        <f t="shared" si="19"/>
        <v>0.58419647584737044</v>
      </c>
      <c r="W15" s="241">
        <f t="shared" ref="W15:Z15" si="20">W14/W$5</f>
        <v>0.58419647584737044</v>
      </c>
      <c r="X15" s="241">
        <f t="shared" si="20"/>
        <v>0.58419647584737044</v>
      </c>
      <c r="Y15" s="241">
        <f t="shared" si="20"/>
        <v>0</v>
      </c>
      <c r="Z15" s="241">
        <f t="shared" si="20"/>
        <v>0</v>
      </c>
    </row>
    <row r="16" spans="4:26" ht="15" x14ac:dyDescent="0.25">
      <c r="D16" s="8" t="s">
        <v>191</v>
      </c>
      <c r="E16" s="45" t="str">
        <f>'RKA P&amp;L'!J93</f>
        <v>-</v>
      </c>
      <c r="F16" s="45" t="str">
        <f>'RKA P&amp;L'!K93</f>
        <v>-</v>
      </c>
      <c r="G16" s="45">
        <f>'RKA P&amp;L'!L93</f>
        <v>0</v>
      </c>
      <c r="H16" s="92">
        <f>'RKA P&amp;L'!M93</f>
        <v>-0.21312770513454726</v>
      </c>
      <c r="I16" s="92">
        <f>'RKA P&amp;L'!N93</f>
        <v>-3.2722072309468331E-2</v>
      </c>
      <c r="J16" s="92">
        <f>'RKA P&amp;L'!O93</f>
        <v>-3.8441321469644407E-2</v>
      </c>
      <c r="K16" s="92">
        <f>'RKA P&amp;L'!P93</f>
        <v>-3.8272020312913213E-2</v>
      </c>
      <c r="L16" s="92">
        <f>'RKA P&amp;L'!Q93</f>
        <v>-0.44167346869505941</v>
      </c>
      <c r="M16" s="92">
        <f>'RKA P&amp;L'!R93</f>
        <v>-3.9773883405110677E-2</v>
      </c>
      <c r="N16" s="92">
        <f>'RKA P&amp;L'!S93</f>
        <v>-1.0337166246139269</v>
      </c>
      <c r="O16" s="92">
        <f>'RKA P&amp;L'!T93</f>
        <v>-1.4283072212435122</v>
      </c>
      <c r="P16" s="92">
        <f>'RKA P&amp;L'!U93</f>
        <v>-4.8845873884996838E-2</v>
      </c>
      <c r="Q16" s="92">
        <f>'RKA P&amp;L'!V93</f>
        <v>-4.8345403865683423E-2</v>
      </c>
      <c r="R16" s="92">
        <f>'RKA P&amp;L'!W93</f>
        <v>-5.6795339671772416E-2</v>
      </c>
      <c r="S16" s="92">
        <f>'RKA P&amp;L'!X93</f>
        <v>-5.654520475611946E-2</v>
      </c>
      <c r="T16" s="92">
        <f>'RKA P&amp;L'!Y93</f>
        <v>-5.9372464993925345E-2</v>
      </c>
      <c r="U16" s="92">
        <f>'RKA P&amp;L'!Z93</f>
        <v>-5.8764140557512112E-2</v>
      </c>
      <c r="V16" s="92">
        <f>'RKA P&amp;L'!AA93</f>
        <v>-6.9035090341912131E-2</v>
      </c>
      <c r="W16" s="92">
        <f>'RKA P&amp;L'!AB93</f>
        <v>-6.8731049788593124E-2</v>
      </c>
      <c r="X16" s="92">
        <f>'RKA P&amp;L'!AC93</f>
        <v>-7.2167602278022436E-2</v>
      </c>
      <c r="Y16" s="92">
        <f>'RKA P&amp;L'!AD93</f>
        <v>-7.1428180123534357E-2</v>
      </c>
      <c r="Z16" s="92">
        <f>'RKA P&amp;L'!AE93</f>
        <v>-8.3912583779909067E-2</v>
      </c>
    </row>
    <row r="17" spans="1:26" x14ac:dyDescent="0.2">
      <c r="D17" s="151" t="s">
        <v>187</v>
      </c>
      <c r="E17" s="151" t="e">
        <f t="shared" ref="E17" si="21">E16/E$5</f>
        <v>#VALUE!</v>
      </c>
      <c r="F17" s="151" t="e">
        <f t="shared" ref="F17:V17" si="22">F16/F$5</f>
        <v>#VALUE!</v>
      </c>
      <c r="G17" s="151" t="e">
        <f>G16/G$5</f>
        <v>#DIV/0!</v>
      </c>
      <c r="H17" s="241">
        <f t="shared" si="22"/>
        <v>-2.2307384176744709E-2</v>
      </c>
      <c r="I17" s="241">
        <f t="shared" si="22"/>
        <v>-3.4155552678416744E-3</v>
      </c>
      <c r="J17" s="241">
        <f t="shared" si="22"/>
        <v>-4.0235281740764184E-3</v>
      </c>
      <c r="K17" s="241">
        <f t="shared" si="22"/>
        <v>-4.0058079722735335E-3</v>
      </c>
      <c r="L17" s="241">
        <f t="shared" si="22"/>
        <v>-5.0283660312457998E-2</v>
      </c>
      <c r="M17" s="241">
        <f t="shared" si="22"/>
        <v>-4.5158067380260108E-3</v>
      </c>
      <c r="N17" s="241">
        <f t="shared" si="22"/>
        <v>-0.15004220854644995</v>
      </c>
      <c r="O17" s="241">
        <f t="shared" si="22"/>
        <v>-0.33704614610682643</v>
      </c>
      <c r="P17" s="241">
        <f t="shared" si="22"/>
        <v>-1.1526451243329135E-2</v>
      </c>
      <c r="Q17" s="241">
        <f t="shared" si="22"/>
        <v>-1.1377181996006411E-2</v>
      </c>
      <c r="R17" s="241">
        <f t="shared" si="22"/>
        <v>-1.3402333943626691E-2</v>
      </c>
      <c r="S17" s="241">
        <f t="shared" si="22"/>
        <v>-1.3343308120558889E-2</v>
      </c>
      <c r="T17" s="241">
        <f t="shared" si="22"/>
        <v>-1.4010473526586811E-2</v>
      </c>
      <c r="U17" s="241">
        <f t="shared" si="22"/>
        <v>-1.3829035823533209E-2</v>
      </c>
      <c r="V17" s="241">
        <f t="shared" si="22"/>
        <v>-1.6290620673065345E-2</v>
      </c>
      <c r="W17" s="241">
        <f t="shared" ref="W17:Z17" si="23">W16/W$5</f>
        <v>-1.621887441621513E-2</v>
      </c>
      <c r="X17" s="241">
        <f t="shared" si="23"/>
        <v>-1.7029818137025803E-2</v>
      </c>
      <c r="Y17" s="241">
        <f t="shared" si="23"/>
        <v>-1.680927947497849E-2</v>
      </c>
      <c r="Z17" s="241">
        <f t="shared" si="23"/>
        <v>-1.5489083890332385E-2</v>
      </c>
    </row>
    <row r="18" spans="1:26" ht="15" x14ac:dyDescent="0.25">
      <c r="D18" s="8" t="s">
        <v>192</v>
      </c>
      <c r="E18" s="45">
        <f>'Depreciation Schedule'!E73</f>
        <v>0</v>
      </c>
      <c r="F18" s="45">
        <f>'Depreciation Schedule'!F73</f>
        <v>0</v>
      </c>
      <c r="G18" s="45">
        <f>'Depreciation Schedule'!G73</f>
        <v>0</v>
      </c>
      <c r="H18" s="92">
        <f>'Depreciation Schedule'!H73</f>
        <v>0</v>
      </c>
      <c r="I18" s="92">
        <f>'Depreciation Schedule'!I73</f>
        <v>0</v>
      </c>
      <c r="J18" s="92">
        <f>'Depreciation Schedule'!J73</f>
        <v>0</v>
      </c>
      <c r="K18" s="92">
        <f>'Depreciation Schedule'!K73</f>
        <v>0</v>
      </c>
      <c r="L18" s="92">
        <f>'Depreciation Schedule'!L73</f>
        <v>0</v>
      </c>
      <c r="M18" s="92">
        <f>'Depreciation Schedule'!M73</f>
        <v>0</v>
      </c>
      <c r="N18" s="92">
        <f>'Depreciation Schedule'!N73</f>
        <v>0</v>
      </c>
      <c r="O18" s="92">
        <f>'Depreciation Schedule'!O73</f>
        <v>0</v>
      </c>
      <c r="P18" s="92">
        <f>'Depreciation Schedule'!P73</f>
        <v>0</v>
      </c>
      <c r="Q18" s="92">
        <f>'Depreciation Schedule'!Q73</f>
        <v>0</v>
      </c>
      <c r="R18" s="92">
        <f>'Depreciation Schedule'!R73</f>
        <v>0</v>
      </c>
      <c r="S18" s="92">
        <f>'Depreciation Schedule'!S73</f>
        <v>0</v>
      </c>
      <c r="T18" s="92">
        <f>'Depreciation Schedule'!T73</f>
        <v>0</v>
      </c>
      <c r="U18" s="92">
        <f>'Depreciation Schedule'!U73</f>
        <v>0</v>
      </c>
      <c r="V18" s="92">
        <f>'Depreciation Schedule'!V73</f>
        <v>0</v>
      </c>
      <c r="W18" s="92">
        <f>'Depreciation Schedule'!W73</f>
        <v>0</v>
      </c>
      <c r="X18" s="92">
        <f>'Depreciation Schedule'!X73</f>
        <v>0</v>
      </c>
      <c r="Y18" s="92">
        <f>'Depreciation Schedule'!Y73</f>
        <v>0</v>
      </c>
      <c r="Z18" s="92">
        <f>'Depreciation Schedule'!Z73</f>
        <v>0</v>
      </c>
    </row>
    <row r="19" spans="1:26" x14ac:dyDescent="0.2">
      <c r="D19" s="151" t="s">
        <v>187</v>
      </c>
      <c r="E19" s="151" t="e">
        <f t="shared" ref="E19" si="24">E18/E$5</f>
        <v>#DIV/0!</v>
      </c>
      <c r="F19" s="151" t="e">
        <f t="shared" ref="F19:V19" si="25">F18/F$5</f>
        <v>#DIV/0!</v>
      </c>
      <c r="G19" s="151" t="e">
        <f>G18/G$5</f>
        <v>#DIV/0!</v>
      </c>
      <c r="H19" s="241">
        <f>H18/H$5</f>
        <v>0</v>
      </c>
      <c r="I19" s="241">
        <f t="shared" si="25"/>
        <v>0</v>
      </c>
      <c r="J19" s="241">
        <f t="shared" si="25"/>
        <v>0</v>
      </c>
      <c r="K19" s="241">
        <f t="shared" si="25"/>
        <v>0</v>
      </c>
      <c r="L19" s="241">
        <f t="shared" si="25"/>
        <v>0</v>
      </c>
      <c r="M19" s="241">
        <f t="shared" si="25"/>
        <v>0</v>
      </c>
      <c r="N19" s="241">
        <f t="shared" si="25"/>
        <v>0</v>
      </c>
      <c r="O19" s="241">
        <f t="shared" si="25"/>
        <v>0</v>
      </c>
      <c r="P19" s="241">
        <f t="shared" si="25"/>
        <v>0</v>
      </c>
      <c r="Q19" s="241">
        <f t="shared" si="25"/>
        <v>0</v>
      </c>
      <c r="R19" s="241">
        <f t="shared" si="25"/>
        <v>0</v>
      </c>
      <c r="S19" s="241">
        <f t="shared" si="25"/>
        <v>0</v>
      </c>
      <c r="T19" s="241">
        <f t="shared" si="25"/>
        <v>0</v>
      </c>
      <c r="U19" s="241">
        <f t="shared" si="25"/>
        <v>0</v>
      </c>
      <c r="V19" s="241">
        <f t="shared" si="25"/>
        <v>0</v>
      </c>
      <c r="W19" s="241">
        <f t="shared" ref="W19:Z19" si="26">W18/W$5</f>
        <v>0</v>
      </c>
      <c r="X19" s="241">
        <f t="shared" si="26"/>
        <v>0</v>
      </c>
      <c r="Y19" s="241">
        <f t="shared" si="26"/>
        <v>0</v>
      </c>
      <c r="Z19" s="241">
        <f t="shared" si="26"/>
        <v>0</v>
      </c>
    </row>
    <row r="20" spans="1:26" ht="15" x14ac:dyDescent="0.25">
      <c r="D20" s="29" t="s">
        <v>193</v>
      </c>
      <c r="E20" s="183" t="e">
        <f t="shared" ref="E20" si="27">E12+E14-E16-E18</f>
        <v>#VALUE!</v>
      </c>
      <c r="F20" s="183" t="e">
        <f t="shared" ref="F20" si="28">F12+F14-F16-F18</f>
        <v>#VALUE!</v>
      </c>
      <c r="G20" s="183">
        <f>G12+G14-G16-G18</f>
        <v>2.2867999999999999</v>
      </c>
      <c r="H20" s="244">
        <f t="shared" ref="H20:Z20" si="29">H12+H14-H16-H18</f>
        <v>7.2005225678324738</v>
      </c>
      <c r="I20" s="244">
        <f t="shared" si="29"/>
        <v>7.0004498941078754</v>
      </c>
      <c r="J20" s="244">
        <f t="shared" si="29"/>
        <v>6.9453648252975713</v>
      </c>
      <c r="K20" s="244">
        <f t="shared" si="29"/>
        <v>6.9019176347973401</v>
      </c>
      <c r="L20" s="244">
        <f t="shared" si="29"/>
        <v>6.6833162201208118</v>
      </c>
      <c r="M20" s="244">
        <f t="shared" si="29"/>
        <v>6.2517104229349343</v>
      </c>
      <c r="N20" s="244">
        <f t="shared" si="29"/>
        <v>5.7601666165692009</v>
      </c>
      <c r="O20" s="244">
        <f t="shared" si="29"/>
        <v>4.1178216204697531</v>
      </c>
      <c r="P20" s="244">
        <f t="shared" si="29"/>
        <v>2.6831255008782136</v>
      </c>
      <c r="Q20" s="244">
        <f t="shared" si="29"/>
        <v>2.6333164266878244</v>
      </c>
      <c r="R20" s="244">
        <f t="shared" si="29"/>
        <v>2.5721821194334042</v>
      </c>
      <c r="S20" s="244">
        <f t="shared" si="29"/>
        <v>2.5079908313114965</v>
      </c>
      <c r="T20" s="244">
        <f t="shared" si="29"/>
        <v>2.4436798806827347</v>
      </c>
      <c r="U20" s="244">
        <f t="shared" si="29"/>
        <v>2.3812643415100254</v>
      </c>
      <c r="V20" s="244">
        <f t="shared" si="29"/>
        <v>2.3088275071404349</v>
      </c>
      <c r="W20" s="244">
        <f t="shared" si="29"/>
        <v>2.2308025952327055</v>
      </c>
      <c r="X20" s="244">
        <f t="shared" si="29"/>
        <v>2.1526322328000043</v>
      </c>
      <c r="Y20" s="244">
        <f t="shared" si="29"/>
        <v>1.4517695486281514</v>
      </c>
      <c r="Z20" s="244">
        <f t="shared" si="29"/>
        <v>3.0352668661700011</v>
      </c>
    </row>
    <row r="21" spans="1:26" x14ac:dyDescent="0.2">
      <c r="D21" s="151" t="s">
        <v>185</v>
      </c>
      <c r="E21" s="151" t="e">
        <f>E20/D20-1</f>
        <v>#VALUE!</v>
      </c>
      <c r="F21" s="151" t="e">
        <f>F20/E20-1</f>
        <v>#VALUE!</v>
      </c>
      <c r="G21" s="151" t="e">
        <f>G20/F20-1</f>
        <v>#VALUE!</v>
      </c>
      <c r="H21" s="241">
        <f>H20/G20-1</f>
        <v>2.1487329752634574</v>
      </c>
      <c r="I21" s="241">
        <f>I20/H20-1</f>
        <v>-2.7785854684825306E-2</v>
      </c>
      <c r="J21" s="241">
        <f t="shared" ref="J21:V21" si="30">J20/I20-1</f>
        <v>-7.8687898125902045E-3</v>
      </c>
      <c r="K21" s="241">
        <f t="shared" si="30"/>
        <v>-6.2555663515299065E-3</v>
      </c>
      <c r="L21" s="241">
        <f t="shared" si="30"/>
        <v>-3.1672562068026933E-2</v>
      </c>
      <c r="M21" s="241">
        <f t="shared" si="30"/>
        <v>-6.4579586386543264E-2</v>
      </c>
      <c r="N21" s="241">
        <f t="shared" si="30"/>
        <v>-7.8625491763416155E-2</v>
      </c>
      <c r="O21" s="241">
        <f t="shared" si="30"/>
        <v>-0.28512109204883396</v>
      </c>
      <c r="P21" s="241">
        <f t="shared" si="30"/>
        <v>-0.34841143007740882</v>
      </c>
      <c r="Q21" s="241">
        <f t="shared" si="30"/>
        <v>-1.8563825722682781E-2</v>
      </c>
      <c r="R21" s="241">
        <f t="shared" si="30"/>
        <v>-2.3215708767409526E-2</v>
      </c>
      <c r="S21" s="241">
        <f t="shared" si="30"/>
        <v>-2.4955965457083451E-2</v>
      </c>
      <c r="T21" s="241">
        <f t="shared" si="30"/>
        <v>-2.564241855506777E-2</v>
      </c>
      <c r="U21" s="241">
        <f t="shared" si="30"/>
        <v>-2.554161846897518E-2</v>
      </c>
      <c r="V21" s="241">
        <f t="shared" si="30"/>
        <v>-3.0419484769866556E-2</v>
      </c>
      <c r="W21" s="241">
        <f t="shared" ref="W21" si="31">W20/V20-1</f>
        <v>-3.379417113943084E-2</v>
      </c>
      <c r="X21" s="241">
        <f t="shared" ref="X21" si="32">X20/W20-1</f>
        <v>-3.5041362512197916E-2</v>
      </c>
      <c r="Y21" s="241">
        <f t="shared" ref="Y21" si="33">Y20/X20-1</f>
        <v>-0.32558403311661654</v>
      </c>
      <c r="Z21" s="241">
        <f t="shared" ref="Z21" si="34">Z20/Y20-1</f>
        <v>1.0907360049245929</v>
      </c>
    </row>
    <row r="22" spans="1:26" x14ac:dyDescent="0.2"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</row>
    <row r="23" spans="1:26" x14ac:dyDescent="0.2">
      <c r="D23" s="8" t="s">
        <v>194</v>
      </c>
      <c r="E23" s="45">
        <f t="shared" ref="E23:V23" si="35">(E3-$B$31)/365</f>
        <v>-3.0712328767123287</v>
      </c>
      <c r="F23" s="45">
        <f t="shared" si="35"/>
        <v>-2.0712328767123287</v>
      </c>
      <c r="G23" s="45">
        <f>(G3-$B$31)/365</f>
        <v>-1.0712328767123287</v>
      </c>
      <c r="H23" s="45">
        <f t="shared" si="35"/>
        <v>-7.1232876712328766E-2</v>
      </c>
      <c r="I23" s="45">
        <f t="shared" si="35"/>
        <v>0.93150684931506844</v>
      </c>
      <c r="J23" s="45">
        <f t="shared" si="35"/>
        <v>1.9315068493150684</v>
      </c>
      <c r="K23" s="45">
        <f t="shared" si="35"/>
        <v>2.9315068493150687</v>
      </c>
      <c r="L23" s="45">
        <f t="shared" si="35"/>
        <v>3.9315068493150687</v>
      </c>
      <c r="M23" s="45">
        <f t="shared" si="35"/>
        <v>4.934246575342466</v>
      </c>
      <c r="N23" s="45">
        <f t="shared" si="35"/>
        <v>5.934246575342466</v>
      </c>
      <c r="O23" s="45">
        <f t="shared" si="35"/>
        <v>6.934246575342466</v>
      </c>
      <c r="P23" s="45">
        <f t="shared" si="35"/>
        <v>7.934246575342466</v>
      </c>
      <c r="Q23" s="45">
        <f t="shared" si="35"/>
        <v>8.9369863013698634</v>
      </c>
      <c r="R23" s="45">
        <f t="shared" si="35"/>
        <v>9.9369863013698634</v>
      </c>
      <c r="S23" s="45">
        <f t="shared" si="35"/>
        <v>10.936986301369863</v>
      </c>
      <c r="T23" s="45">
        <f t="shared" si="35"/>
        <v>11.936986301369863</v>
      </c>
      <c r="U23" s="45">
        <f t="shared" si="35"/>
        <v>12.93972602739726</v>
      </c>
      <c r="V23" s="45">
        <f t="shared" si="35"/>
        <v>13.93972602739726</v>
      </c>
      <c r="W23" s="45">
        <f t="shared" ref="W23:Z23" si="36">(W3-$B$31)/365</f>
        <v>14.93972602739726</v>
      </c>
      <c r="X23" s="45">
        <f t="shared" si="36"/>
        <v>15.93972602739726</v>
      </c>
      <c r="Y23" s="45">
        <f t="shared" si="36"/>
        <v>16.942465753424656</v>
      </c>
      <c r="Z23" s="45">
        <f t="shared" si="36"/>
        <v>17.942465753424656</v>
      </c>
    </row>
    <row r="25" spans="1:26" x14ac:dyDescent="0.2">
      <c r="C25" s="56" t="s">
        <v>195</v>
      </c>
      <c r="D25" s="153" t="s">
        <v>196</v>
      </c>
      <c r="E25" s="154" t="s">
        <v>197</v>
      </c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2">
      <c r="C26" s="8" t="s">
        <v>198</v>
      </c>
      <c r="D26" s="157">
        <f>B49</f>
        <v>8.3310761281505399E-2</v>
      </c>
      <c r="E26" s="45" t="e">
        <f t="shared" ref="E26:N28" si="37">E$20/(1+$D26)^E$23</f>
        <v>#VALUE!</v>
      </c>
      <c r="F26" s="45" t="e">
        <f t="shared" si="37"/>
        <v>#VALUE!</v>
      </c>
      <c r="G26" s="45">
        <f t="shared" si="37"/>
        <v>2.4914765339350384</v>
      </c>
      <c r="H26" s="45">
        <f t="shared" si="37"/>
        <v>7.2416841038448689</v>
      </c>
      <c r="I26" s="45">
        <f t="shared" si="37"/>
        <v>6.4976040157014454</v>
      </c>
      <c r="J26" s="45">
        <f t="shared" si="37"/>
        <v>5.9507169741308328</v>
      </c>
      <c r="K26" s="45">
        <f t="shared" si="37"/>
        <v>5.4587216158220384</v>
      </c>
      <c r="L26" s="45">
        <f t="shared" si="37"/>
        <v>4.87932927979036</v>
      </c>
      <c r="M26" s="45">
        <f t="shared" si="37"/>
        <v>4.2122942321117351</v>
      </c>
      <c r="N26" s="45">
        <f t="shared" si="37"/>
        <v>3.5826289790277634</v>
      </c>
      <c r="O26" s="45">
        <f t="shared" ref="O26:Z28" si="38">O$20/(1+$D26)^O$23</f>
        <v>2.3641839291726909</v>
      </c>
      <c r="P26" s="45">
        <f t="shared" si="38"/>
        <v>1.4220067597420494</v>
      </c>
      <c r="Q26" s="45">
        <f t="shared" si="38"/>
        <v>1.2879987783560616</v>
      </c>
      <c r="R26" s="45">
        <f t="shared" si="38"/>
        <v>1.1613444810025693</v>
      </c>
      <c r="S26" s="45">
        <f t="shared" si="38"/>
        <v>1.0452790175474338</v>
      </c>
      <c r="T26" s="45">
        <f t="shared" si="38"/>
        <v>0.94015085225207584</v>
      </c>
      <c r="U26" s="45">
        <f t="shared" si="38"/>
        <v>0.84549796825824575</v>
      </c>
      <c r="V26" s="45">
        <f t="shared" si="38"/>
        <v>0.75673424929343625</v>
      </c>
      <c r="W26" s="45">
        <f t="shared" si="38"/>
        <v>0.67493194815199309</v>
      </c>
      <c r="X26" s="45">
        <f t="shared" si="38"/>
        <v>0.60119536919886218</v>
      </c>
      <c r="Y26" s="45">
        <f t="shared" si="38"/>
        <v>0.37419260393667009</v>
      </c>
      <c r="Z26" s="45">
        <f t="shared" si="38"/>
        <v>0.7221731545446991</v>
      </c>
    </row>
    <row r="27" spans="1:26" x14ac:dyDescent="0.2">
      <c r="C27" s="8" t="s">
        <v>199</v>
      </c>
      <c r="D27" s="157">
        <f>B50</f>
        <v>0.1033107612815054</v>
      </c>
      <c r="E27" s="45" t="e">
        <f t="shared" si="37"/>
        <v>#VALUE!</v>
      </c>
      <c r="F27" s="45" t="e">
        <f t="shared" si="37"/>
        <v>#VALUE!</v>
      </c>
      <c r="G27" s="45">
        <f t="shared" si="37"/>
        <v>2.5407827291921197</v>
      </c>
      <c r="H27" s="45">
        <f t="shared" si="37"/>
        <v>7.2511269201206296</v>
      </c>
      <c r="I27" s="45">
        <f t="shared" si="37"/>
        <v>6.3878190891669151</v>
      </c>
      <c r="J27" s="45">
        <f t="shared" si="37"/>
        <v>5.7441247795247481</v>
      </c>
      <c r="K27" s="45">
        <f t="shared" si="37"/>
        <v>5.1736937825249223</v>
      </c>
      <c r="L27" s="45">
        <f t="shared" si="37"/>
        <v>4.540723992629216</v>
      </c>
      <c r="M27" s="45">
        <f t="shared" si="37"/>
        <v>3.848727055616906</v>
      </c>
      <c r="N27" s="45">
        <f t="shared" si="37"/>
        <v>3.214070887958179</v>
      </c>
      <c r="O27" s="45">
        <f t="shared" si="38"/>
        <v>2.0825243141763714</v>
      </c>
      <c r="P27" s="45">
        <f t="shared" si="38"/>
        <v>1.2298883390995827</v>
      </c>
      <c r="Q27" s="45">
        <f t="shared" si="38"/>
        <v>1.0937370165908342</v>
      </c>
      <c r="R27" s="45">
        <f t="shared" si="38"/>
        <v>0.96830845310040614</v>
      </c>
      <c r="S27" s="45">
        <f t="shared" si="38"/>
        <v>0.85573658295184174</v>
      </c>
      <c r="T27" s="45">
        <f t="shared" si="38"/>
        <v>0.75571947322479516</v>
      </c>
      <c r="U27" s="45">
        <f t="shared" si="38"/>
        <v>0.66728148398470655</v>
      </c>
      <c r="V27" s="45">
        <f t="shared" si="38"/>
        <v>0.58640153594980182</v>
      </c>
      <c r="W27" s="45">
        <f t="shared" si="38"/>
        <v>0.51353127511363705</v>
      </c>
      <c r="X27" s="45">
        <f t="shared" si="38"/>
        <v>0.44913587080892675</v>
      </c>
      <c r="Y27" s="45">
        <f t="shared" si="38"/>
        <v>0.27446738910987223</v>
      </c>
      <c r="Z27" s="45">
        <f t="shared" si="38"/>
        <v>0.52010627715000179</v>
      </c>
    </row>
    <row r="28" spans="1:26" x14ac:dyDescent="0.2">
      <c r="C28" s="8" t="s">
        <v>200</v>
      </c>
      <c r="D28" s="157">
        <f>B51</f>
        <v>0.12331076128150541</v>
      </c>
      <c r="E28" s="45" t="e">
        <f t="shared" si="37"/>
        <v>#VALUE!</v>
      </c>
      <c r="F28" s="45" t="e">
        <f t="shared" si="37"/>
        <v>#VALUE!</v>
      </c>
      <c r="G28" s="45">
        <f t="shared" si="37"/>
        <v>2.5901526358998943</v>
      </c>
      <c r="H28" s="45">
        <f t="shared" si="37"/>
        <v>7.2604120753898078</v>
      </c>
      <c r="I28" s="45">
        <f t="shared" si="37"/>
        <v>6.2818119393037799</v>
      </c>
      <c r="J28" s="45">
        <f t="shared" si="37"/>
        <v>5.5482257415580145</v>
      </c>
      <c r="K28" s="45">
        <f t="shared" si="37"/>
        <v>4.9082752852901095</v>
      </c>
      <c r="L28" s="45">
        <f t="shared" si="37"/>
        <v>4.2310799428714141</v>
      </c>
      <c r="M28" s="45">
        <f t="shared" si="37"/>
        <v>3.522246927293875</v>
      </c>
      <c r="N28" s="45">
        <f t="shared" si="37"/>
        <v>2.8890567440312518</v>
      </c>
      <c r="O28" s="45">
        <f t="shared" si="38"/>
        <v>1.8386058438769244</v>
      </c>
      <c r="P28" s="45">
        <f t="shared" si="38"/>
        <v>1.0665032275630961</v>
      </c>
      <c r="Q28" s="45">
        <f t="shared" si="38"/>
        <v>0.93150665096239549</v>
      </c>
      <c r="R28" s="45">
        <f t="shared" si="38"/>
        <v>0.80999941886137428</v>
      </c>
      <c r="S28" s="45">
        <f t="shared" si="38"/>
        <v>0.7030869182121986</v>
      </c>
      <c r="T28" s="45">
        <f t="shared" si="38"/>
        <v>0.60985623283202106</v>
      </c>
      <c r="U28" s="45">
        <f t="shared" si="38"/>
        <v>0.52887432832780867</v>
      </c>
      <c r="V28" s="45">
        <f t="shared" si="38"/>
        <v>0.45649544313727231</v>
      </c>
      <c r="W28" s="45">
        <f t="shared" si="38"/>
        <v>0.39265052308796289</v>
      </c>
      <c r="X28" s="45">
        <f t="shared" si="38"/>
        <v>0.33729892637686748</v>
      </c>
      <c r="Y28" s="45">
        <f t="shared" si="38"/>
        <v>0.20244382166281397</v>
      </c>
      <c r="Z28" s="45">
        <f t="shared" si="38"/>
        <v>0.3767938503875054</v>
      </c>
    </row>
    <row r="30" spans="1:26" x14ac:dyDescent="0.2">
      <c r="A30" s="247" t="s">
        <v>201</v>
      </c>
      <c r="B30" s="247"/>
    </row>
    <row r="31" spans="1:26" x14ac:dyDescent="0.2">
      <c r="A31" s="7" t="s">
        <v>202</v>
      </c>
      <c r="B31" s="158">
        <v>45042</v>
      </c>
    </row>
    <row r="32" spans="1:26" x14ac:dyDescent="0.2">
      <c r="A32" s="7" t="s">
        <v>87</v>
      </c>
      <c r="B32" s="159">
        <f>'RKA CAPM'!C32</f>
        <v>0.15</v>
      </c>
    </row>
    <row r="33" spans="1:6" x14ac:dyDescent="0.2">
      <c r="A33" s="7" t="s">
        <v>126</v>
      </c>
      <c r="B33" s="159">
        <f>Assumptions!C36</f>
        <v>0.12</v>
      </c>
    </row>
    <row r="34" spans="1:6" x14ac:dyDescent="0.2">
      <c r="A34" s="7" t="s">
        <v>196</v>
      </c>
      <c r="B34" s="159">
        <f>D45</f>
        <v>0.1033107612815054</v>
      </c>
      <c r="D34" s="160"/>
    </row>
    <row r="35" spans="1:6" x14ac:dyDescent="0.2">
      <c r="A35" s="7" t="s">
        <v>203</v>
      </c>
      <c r="B35" s="161">
        <v>0.02</v>
      </c>
    </row>
    <row r="36" spans="1:6" x14ac:dyDescent="0.2">
      <c r="A36" s="7" t="s">
        <v>71</v>
      </c>
      <c r="B36" s="159">
        <v>0.25169999999999998</v>
      </c>
    </row>
    <row r="38" spans="1:6" outlineLevel="1" x14ac:dyDescent="0.2">
      <c r="A38" s="248" t="s">
        <v>204</v>
      </c>
      <c r="B38" s="248"/>
      <c r="C38" s="248"/>
      <c r="D38" s="248"/>
    </row>
    <row r="39" spans="1:6" outlineLevel="1" x14ac:dyDescent="0.2">
      <c r="A39" s="162" t="s">
        <v>95</v>
      </c>
      <c r="B39" s="162" t="s">
        <v>205</v>
      </c>
      <c r="C39" s="162" t="s">
        <v>206</v>
      </c>
      <c r="D39" s="162" t="s">
        <v>196</v>
      </c>
    </row>
    <row r="40" spans="1:6" outlineLevel="1" x14ac:dyDescent="0.2">
      <c r="A40" s="249" t="s">
        <v>207</v>
      </c>
      <c r="B40" s="250"/>
      <c r="C40" s="250"/>
      <c r="D40" s="251"/>
    </row>
    <row r="41" spans="1:6" outlineLevel="1" x14ac:dyDescent="0.2">
      <c r="A41" s="7" t="str">
        <f>[95]Assumptions!B71</f>
        <v>Equity</v>
      </c>
      <c r="B41" s="163">
        <v>3.3319999999999999</v>
      </c>
      <c r="C41" s="164">
        <f>B41/$B$43</f>
        <v>5.8380859768544062E-2</v>
      </c>
      <c r="D41" s="165">
        <f>B32</f>
        <v>0.15</v>
      </c>
      <c r="E41" s="17"/>
    </row>
    <row r="42" spans="1:6" outlineLevel="1" x14ac:dyDescent="0.2">
      <c r="A42" s="7" t="str">
        <f>[95]Assumptions!B72</f>
        <v>Debt</v>
      </c>
      <c r="B42" s="163">
        <f>'RKA CAPM'!C10</f>
        <v>53.741500000000002</v>
      </c>
      <c r="C42" s="164">
        <f>B42/$B$43</f>
        <v>0.94161914023145588</v>
      </c>
      <c r="D42" s="165">
        <f>B33</f>
        <v>0.12</v>
      </c>
      <c r="E42" s="17"/>
    </row>
    <row r="43" spans="1:6" outlineLevel="1" x14ac:dyDescent="0.2">
      <c r="A43" s="29"/>
      <c r="B43" s="166">
        <f>SUM(B41:B42)</f>
        <v>57.073500000000003</v>
      </c>
      <c r="C43" s="167"/>
      <c r="D43" s="168">
        <f>D41*C41+(D42*(1-B36))*C42</f>
        <v>9.3310761281505408E-2</v>
      </c>
      <c r="F43" s="17"/>
    </row>
    <row r="44" spans="1:6" outlineLevel="1" x14ac:dyDescent="0.2">
      <c r="A44" s="245" t="s">
        <v>263</v>
      </c>
      <c r="B44" s="166"/>
      <c r="C44" s="167"/>
      <c r="D44" s="168">
        <v>0.01</v>
      </c>
      <c r="F44" s="17"/>
    </row>
    <row r="45" spans="1:6" outlineLevel="1" x14ac:dyDescent="0.2">
      <c r="A45" s="29" t="s">
        <v>208</v>
      </c>
      <c r="B45" s="166"/>
      <c r="C45" s="167"/>
      <c r="D45" s="168">
        <f>D43+D44</f>
        <v>0.1033107612815054</v>
      </c>
      <c r="F45" s="17"/>
    </row>
    <row r="47" spans="1:6" x14ac:dyDescent="0.2">
      <c r="A47" s="247" t="s">
        <v>209</v>
      </c>
      <c r="B47" s="247"/>
      <c r="C47" s="247"/>
      <c r="D47" s="169"/>
    </row>
    <row r="48" spans="1:6" ht="24" x14ac:dyDescent="0.2">
      <c r="A48" s="153" t="s">
        <v>210</v>
      </c>
      <c r="B48" s="153" t="s">
        <v>211</v>
      </c>
      <c r="C48" s="170" t="s">
        <v>212</v>
      </c>
    </row>
    <row r="49" spans="1:3" x14ac:dyDescent="0.2">
      <c r="A49" s="7" t="s">
        <v>198</v>
      </c>
      <c r="B49" s="157">
        <f>B50-$B$35</f>
        <v>8.3310761281505399E-2</v>
      </c>
      <c r="C49" s="171">
        <f>SUM(I26:Z26)</f>
        <v>42.776984208040965</v>
      </c>
    </row>
    <row r="50" spans="1:3" x14ac:dyDescent="0.2">
      <c r="A50" s="7" t="s">
        <v>199</v>
      </c>
      <c r="B50" s="157">
        <f>B34</f>
        <v>0.1033107612815054</v>
      </c>
      <c r="C50" s="171">
        <f t="shared" ref="C50:C51" si="39">SUM(I27:Z27)</f>
        <v>38.905997598681665</v>
      </c>
    </row>
    <row r="51" spans="1:3" x14ac:dyDescent="0.2">
      <c r="A51" s="7" t="s">
        <v>200</v>
      </c>
      <c r="B51" s="157">
        <f>B50+B35</f>
        <v>0.12331076128150541</v>
      </c>
      <c r="C51" s="171">
        <f t="shared" si="39"/>
        <v>35.634811765636684</v>
      </c>
    </row>
    <row r="53" spans="1:3" ht="15" x14ac:dyDescent="0.25">
      <c r="A53" s="185" t="s">
        <v>213</v>
      </c>
      <c r="B53"/>
    </row>
    <row r="54" spans="1:3" ht="15" customHeight="1" x14ac:dyDescent="0.25">
      <c r="A54" s="172">
        <f>C50</f>
        <v>38.905997598681665</v>
      </c>
      <c r="B54"/>
    </row>
    <row r="57" spans="1:3" x14ac:dyDescent="0.2">
      <c r="A57" s="185" t="s">
        <v>220</v>
      </c>
    </row>
    <row r="58" spans="1:3" x14ac:dyDescent="0.2">
      <c r="A58" s="172">
        <f>MAX(0,(A54-B42+Assumptions!C79))</f>
        <v>0</v>
      </c>
    </row>
  </sheetData>
  <mergeCells count="5">
    <mergeCell ref="D3:D4"/>
    <mergeCell ref="A30:B30"/>
    <mergeCell ref="A38:D38"/>
    <mergeCell ref="A40:D40"/>
    <mergeCell ref="A47:C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30"/>
  <sheetViews>
    <sheetView topLeftCell="A13" workbookViewId="0">
      <selection activeCell="H15" sqref="H15"/>
    </sheetView>
  </sheetViews>
  <sheetFormatPr defaultRowHeight="15" x14ac:dyDescent="0.25"/>
  <cols>
    <col min="1" max="1" width="54.7109375" bestFit="1" customWidth="1"/>
    <col min="2" max="2" width="12.85546875" customWidth="1"/>
    <col min="3" max="3" width="11.28515625" bestFit="1" customWidth="1"/>
    <col min="4" max="4" width="11.7109375" bestFit="1" customWidth="1"/>
    <col min="5" max="5" width="9.7109375" bestFit="1" customWidth="1"/>
    <col min="6" max="6" width="10.7109375" customWidth="1"/>
    <col min="7" max="7" width="11.5703125" customWidth="1"/>
    <col min="8" max="8" width="12.28515625" customWidth="1"/>
    <col min="9" max="13" width="8.42578125" bestFit="1" customWidth="1"/>
  </cols>
  <sheetData>
    <row r="2" spans="1:20" x14ac:dyDescent="0.25">
      <c r="A2" s="94" t="s">
        <v>95</v>
      </c>
    </row>
    <row r="3" spans="1:20" ht="45" x14ac:dyDescent="0.25">
      <c r="A3" s="89" t="s">
        <v>227</v>
      </c>
      <c r="B3" s="94" t="s">
        <v>96</v>
      </c>
      <c r="C3" s="94" t="s">
        <v>97</v>
      </c>
      <c r="D3" s="94" t="s">
        <v>98</v>
      </c>
      <c r="E3" s="94" t="s">
        <v>99</v>
      </c>
      <c r="F3" s="94" t="s">
        <v>100</v>
      </c>
    </row>
    <row r="4" spans="1:20" x14ac:dyDescent="0.25">
      <c r="A4" s="89" t="s">
        <v>228</v>
      </c>
      <c r="B4" s="89" t="s">
        <v>59</v>
      </c>
      <c r="C4" s="89">
        <f>Assumptions!E35</f>
        <v>28.5336</v>
      </c>
      <c r="D4" s="90">
        <f>Assumptions!C35</f>
        <v>0.12</v>
      </c>
      <c r="E4" s="91">
        <f>F4*4</f>
        <v>28</v>
      </c>
      <c r="F4" s="92">
        <v>7</v>
      </c>
    </row>
    <row r="5" spans="1:20" x14ac:dyDescent="0.25">
      <c r="A5" s="123" t="s">
        <v>101</v>
      </c>
      <c r="B5" s="89" t="s">
        <v>59</v>
      </c>
      <c r="C5" s="89">
        <v>0</v>
      </c>
      <c r="D5" s="90">
        <f>Assumptions!$C$38</f>
        <v>0.12</v>
      </c>
      <c r="E5" s="91">
        <f>F5*4</f>
        <v>28</v>
      </c>
      <c r="F5" s="92">
        <v>7</v>
      </c>
    </row>
    <row r="6" spans="1:20" x14ac:dyDescent="0.25">
      <c r="B6" s="174" t="str">
        <f>[96]Assumptions!C75</f>
        <v>INR Crore</v>
      </c>
      <c r="C6" s="175">
        <f>SUM(C4:C5)</f>
        <v>28.5336</v>
      </c>
      <c r="D6" s="176">
        <f>SUMPRODUCT(C4:C5,D4:D5)/C6</f>
        <v>0.12</v>
      </c>
      <c r="E6" s="177"/>
      <c r="F6" s="177">
        <f>F5</f>
        <v>7</v>
      </c>
    </row>
    <row r="8" spans="1:20" x14ac:dyDescent="0.25">
      <c r="A8" s="94" t="s">
        <v>95</v>
      </c>
    </row>
    <row r="9" spans="1:20" x14ac:dyDescent="0.25">
      <c r="A9" s="2" t="s">
        <v>102</v>
      </c>
      <c r="B9" s="95">
        <f>Assumptions!M4</f>
        <v>45016</v>
      </c>
      <c r="C9" s="95">
        <f>Assumptions!N4</f>
        <v>45382</v>
      </c>
      <c r="D9" s="95">
        <f>Assumptions!O4</f>
        <v>45747</v>
      </c>
      <c r="E9" s="95">
        <f>Assumptions!P4</f>
        <v>46112</v>
      </c>
      <c r="F9" s="95">
        <f>Assumptions!Q4</f>
        <v>46477</v>
      </c>
      <c r="G9" s="95">
        <f>Assumptions!R4</f>
        <v>46843</v>
      </c>
      <c r="H9" s="95">
        <f>Assumptions!S4</f>
        <v>47208</v>
      </c>
      <c r="I9" s="95">
        <f>Assumptions!T4</f>
        <v>47573</v>
      </c>
      <c r="J9" s="95">
        <f>Assumptions!U4</f>
        <v>47938</v>
      </c>
      <c r="K9" s="95">
        <f>Assumptions!V4</f>
        <v>48304</v>
      </c>
      <c r="L9" s="95">
        <f>Assumptions!W4</f>
        <v>48669</v>
      </c>
      <c r="M9" s="95">
        <f>Assumptions!X4</f>
        <v>49034</v>
      </c>
      <c r="N9" s="95">
        <f>Assumptions!Y4</f>
        <v>49399</v>
      </c>
      <c r="O9" s="95">
        <f>Assumptions!Z4</f>
        <v>49765</v>
      </c>
      <c r="P9" s="95">
        <f>Assumptions!AA4</f>
        <v>50130</v>
      </c>
      <c r="Q9" s="95">
        <f>Assumptions!AB4</f>
        <v>50495</v>
      </c>
      <c r="R9" s="95">
        <f>Assumptions!AC4</f>
        <v>50860</v>
      </c>
      <c r="S9" s="95">
        <f>Assumptions!AD4</f>
        <v>51226</v>
      </c>
      <c r="T9" s="95">
        <f>Assumptions!AE4</f>
        <v>51591</v>
      </c>
    </row>
    <row r="10" spans="1:20" x14ac:dyDescent="0.25">
      <c r="A10" s="2" t="s">
        <v>103</v>
      </c>
      <c r="B10" s="93">
        <f>$C$6</f>
        <v>28.5336</v>
      </c>
      <c r="C10" s="93">
        <f>B13</f>
        <v>24.457371428571427</v>
      </c>
      <c r="D10" s="93">
        <f>C13</f>
        <v>20.381142857142855</v>
      </c>
      <c r="E10" s="93">
        <f t="shared" ref="E10:H10" si="0">D13</f>
        <v>16.304914285714283</v>
      </c>
      <c r="F10" s="93">
        <f t="shared" si="0"/>
        <v>12.22868571428571</v>
      </c>
      <c r="G10" s="93">
        <f t="shared" si="0"/>
        <v>8.1524571428571377</v>
      </c>
      <c r="H10" s="93">
        <f t="shared" si="0"/>
        <v>4.0762285714285662</v>
      </c>
      <c r="I10" s="146">
        <v>0</v>
      </c>
      <c r="J10" s="146">
        <f t="shared" ref="J10" si="1">I13</f>
        <v>0</v>
      </c>
      <c r="K10" s="146">
        <f t="shared" ref="K10" si="2">J13</f>
        <v>0</v>
      </c>
      <c r="L10" s="146">
        <f t="shared" ref="L10" si="3">K13</f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</row>
    <row r="11" spans="1:20" x14ac:dyDescent="0.25">
      <c r="A11" s="2" t="s">
        <v>104</v>
      </c>
      <c r="B11" s="93">
        <f>$C$6/$F$6</f>
        <v>4.0762285714285715</v>
      </c>
      <c r="C11" s="93">
        <f>$C$6/$F$6</f>
        <v>4.0762285714285715</v>
      </c>
      <c r="D11" s="93">
        <f t="shared" ref="D11:H11" si="4">$C$6/$F$6</f>
        <v>4.0762285714285715</v>
      </c>
      <c r="E11" s="93">
        <f t="shared" si="4"/>
        <v>4.0762285714285715</v>
      </c>
      <c r="F11" s="93">
        <f t="shared" si="4"/>
        <v>4.0762285714285715</v>
      </c>
      <c r="G11" s="93">
        <f t="shared" si="4"/>
        <v>4.0762285714285715</v>
      </c>
      <c r="H11" s="93">
        <f t="shared" si="4"/>
        <v>4.0762285714285715</v>
      </c>
      <c r="I11" s="146">
        <v>0</v>
      </c>
      <c r="J11" s="146">
        <v>0</v>
      </c>
      <c r="K11" s="146">
        <v>0</v>
      </c>
      <c r="L11" s="146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</row>
    <row r="12" spans="1:20" x14ac:dyDescent="0.25">
      <c r="A12" s="2" t="s">
        <v>105</v>
      </c>
      <c r="B12" s="93">
        <f>B10*$D$6</f>
        <v>3.424032</v>
      </c>
      <c r="C12" s="93">
        <f>C10*$D$6</f>
        <v>2.9348845714285714</v>
      </c>
      <c r="D12" s="93">
        <f t="shared" ref="D12:G12" si="5">D10*$D$6</f>
        <v>2.4457371428571424</v>
      </c>
      <c r="E12" s="93">
        <f t="shared" si="5"/>
        <v>1.9565897142857138</v>
      </c>
      <c r="F12" s="93">
        <f t="shared" si="5"/>
        <v>1.4674422857142853</v>
      </c>
      <c r="G12" s="93">
        <f t="shared" si="5"/>
        <v>0.97829485714285647</v>
      </c>
      <c r="H12" s="93">
        <f t="shared" ref="H12:L12" si="6">H10*$D$6</f>
        <v>0.4891474285714279</v>
      </c>
      <c r="I12" s="146">
        <f t="shared" si="6"/>
        <v>0</v>
      </c>
      <c r="J12" s="146">
        <f t="shared" si="6"/>
        <v>0</v>
      </c>
      <c r="K12" s="146">
        <f t="shared" si="6"/>
        <v>0</v>
      </c>
      <c r="L12" s="146">
        <f t="shared" si="6"/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</row>
    <row r="13" spans="1:20" x14ac:dyDescent="0.25">
      <c r="B13" s="93">
        <f>B10-B11</f>
        <v>24.457371428571427</v>
      </c>
      <c r="C13" s="93">
        <f>C10-C11</f>
        <v>20.381142857142855</v>
      </c>
      <c r="D13" s="93">
        <f t="shared" ref="D13:G13" si="7">D10-D11</f>
        <v>16.304914285714283</v>
      </c>
      <c r="E13" s="93">
        <f t="shared" si="7"/>
        <v>12.22868571428571</v>
      </c>
      <c r="F13" s="93">
        <f t="shared" si="7"/>
        <v>8.1524571428571377</v>
      </c>
      <c r="G13" s="93">
        <f t="shared" si="7"/>
        <v>4.0762285714285662</v>
      </c>
      <c r="H13" s="146">
        <v>0</v>
      </c>
      <c r="I13" s="146">
        <f t="shared" ref="I13:L13" si="8">I10-I11</f>
        <v>0</v>
      </c>
      <c r="J13" s="146">
        <f t="shared" si="8"/>
        <v>0</v>
      </c>
      <c r="K13" s="146">
        <f t="shared" si="8"/>
        <v>0</v>
      </c>
      <c r="L13" s="146">
        <f t="shared" si="8"/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</row>
    <row r="14" spans="1:20" x14ac:dyDescent="0.25">
      <c r="A14" s="98" t="s">
        <v>107</v>
      </c>
    </row>
    <row r="15" spans="1:20" x14ac:dyDescent="0.25">
      <c r="B15" s="92">
        <f t="shared" ref="B15:M15" si="9">SUMIF($A$9:$A$13,"Interest Expense",B10:B14)</f>
        <v>3.424032</v>
      </c>
      <c r="C15" s="92">
        <f t="shared" si="9"/>
        <v>2.9348845714285714</v>
      </c>
      <c r="D15" s="92">
        <f t="shared" si="9"/>
        <v>2.4457371428571424</v>
      </c>
      <c r="E15" s="92">
        <f t="shared" si="9"/>
        <v>1.9565897142857138</v>
      </c>
      <c r="F15" s="92">
        <f t="shared" si="9"/>
        <v>1.4674422857142853</v>
      </c>
      <c r="G15" s="92">
        <f t="shared" si="9"/>
        <v>0.97829485714285647</v>
      </c>
      <c r="H15" s="92">
        <f t="shared" si="9"/>
        <v>0.4891474285714279</v>
      </c>
      <c r="I15" s="92">
        <f t="shared" si="9"/>
        <v>0</v>
      </c>
      <c r="J15" s="92">
        <f t="shared" si="9"/>
        <v>0</v>
      </c>
      <c r="K15" s="92">
        <f t="shared" si="9"/>
        <v>0</v>
      </c>
      <c r="L15" s="92">
        <f t="shared" si="9"/>
        <v>0</v>
      </c>
      <c r="M15" s="92">
        <f t="shared" si="9"/>
        <v>0</v>
      </c>
    </row>
    <row r="16" spans="1:20" x14ac:dyDescent="0.25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</row>
    <row r="17" spans="1:20" x14ac:dyDescent="0.25">
      <c r="A17" s="98" t="s">
        <v>226</v>
      </c>
    </row>
    <row r="18" spans="1:20" ht="45" x14ac:dyDescent="0.25">
      <c r="A18" s="94" t="s">
        <v>95</v>
      </c>
      <c r="B18" s="94" t="s">
        <v>96</v>
      </c>
      <c r="C18" s="94" t="s">
        <v>97</v>
      </c>
      <c r="D18" s="94" t="s">
        <v>98</v>
      </c>
      <c r="E18" s="94" t="s">
        <v>99</v>
      </c>
      <c r="F18" s="94" t="s">
        <v>100</v>
      </c>
    </row>
    <row r="19" spans="1:20" x14ac:dyDescent="0.25">
      <c r="A19" s="89" t="s">
        <v>249</v>
      </c>
      <c r="B19" s="89" t="s">
        <v>59</v>
      </c>
      <c r="C19" s="2">
        <f>Assumptions!D37</f>
        <v>25.207899999999999</v>
      </c>
      <c r="D19" s="96">
        <f>Assumptions!C37</f>
        <v>0.12</v>
      </c>
      <c r="E19" s="2">
        <f>F19*4</f>
        <v>28</v>
      </c>
      <c r="F19" s="2">
        <v>7</v>
      </c>
    </row>
    <row r="20" spans="1:20" x14ac:dyDescent="0.25">
      <c r="A20" s="89" t="s">
        <v>228</v>
      </c>
      <c r="B20" s="89" t="s">
        <v>59</v>
      </c>
      <c r="C20" s="2">
        <v>0</v>
      </c>
      <c r="D20" s="2">
        <v>0</v>
      </c>
      <c r="E20" s="2">
        <f t="shared" ref="E20:E21" si="10">F20*4</f>
        <v>28</v>
      </c>
      <c r="F20" s="2">
        <v>7</v>
      </c>
    </row>
    <row r="21" spans="1:20" ht="21.75" customHeight="1" x14ac:dyDescent="0.25">
      <c r="A21" s="123" t="s">
        <v>101</v>
      </c>
      <c r="B21" s="89" t="s">
        <v>59</v>
      </c>
      <c r="C21" s="2">
        <f>SUM(C19:C20)</f>
        <v>25.207899999999999</v>
      </c>
      <c r="D21" s="101">
        <f>SUMPRODUCT(C19:C20,D19:D20)/C21</f>
        <v>0.12</v>
      </c>
      <c r="E21" s="2">
        <f t="shared" si="10"/>
        <v>28</v>
      </c>
      <c r="F21" s="2">
        <v>7</v>
      </c>
    </row>
    <row r="24" spans="1:20" x14ac:dyDescent="0.25">
      <c r="A24" s="94" t="s">
        <v>95</v>
      </c>
      <c r="B24" s="95">
        <f>Assumptions!M4</f>
        <v>45016</v>
      </c>
      <c r="C24" s="95">
        <f>Assumptions!N4</f>
        <v>45382</v>
      </c>
      <c r="D24" s="95">
        <f>Assumptions!O4</f>
        <v>45747</v>
      </c>
      <c r="E24" s="95">
        <f>Assumptions!P4</f>
        <v>46112</v>
      </c>
      <c r="F24" s="95">
        <f>Assumptions!Q4</f>
        <v>46477</v>
      </c>
      <c r="G24" s="95">
        <f>Assumptions!R4</f>
        <v>46843</v>
      </c>
      <c r="H24" s="95">
        <f>Assumptions!S4</f>
        <v>47208</v>
      </c>
      <c r="I24" s="95">
        <f>Assumptions!T4</f>
        <v>47573</v>
      </c>
      <c r="J24" s="95">
        <f>Assumptions!U4</f>
        <v>47938</v>
      </c>
      <c r="K24" s="95">
        <f>Assumptions!V4</f>
        <v>48304</v>
      </c>
      <c r="L24" s="95">
        <f>Assumptions!W4</f>
        <v>48669</v>
      </c>
      <c r="M24" s="95">
        <f>Assumptions!X4</f>
        <v>49034</v>
      </c>
      <c r="N24" s="95">
        <f>Assumptions!Y4</f>
        <v>49399</v>
      </c>
      <c r="O24" s="95">
        <f>Assumptions!Z4</f>
        <v>49765</v>
      </c>
      <c r="P24" s="95">
        <f>Assumptions!AA4</f>
        <v>50130</v>
      </c>
      <c r="Q24" s="95">
        <f>Assumptions!AB4</f>
        <v>50495</v>
      </c>
      <c r="R24" s="95">
        <f>Assumptions!AC4</f>
        <v>50860</v>
      </c>
      <c r="S24" s="95">
        <f>Assumptions!AD4</f>
        <v>51226</v>
      </c>
      <c r="T24" s="95">
        <f>Assumptions!AE4</f>
        <v>51591</v>
      </c>
    </row>
    <row r="25" spans="1:20" x14ac:dyDescent="0.25">
      <c r="A25" s="2" t="s">
        <v>102</v>
      </c>
      <c r="B25" s="92">
        <f>$C$21</f>
        <v>25.207899999999999</v>
      </c>
      <c r="C25" s="92">
        <f>B28</f>
        <v>21.606771428571427</v>
      </c>
      <c r="D25" s="92">
        <f t="shared" ref="D25:H25" si="11">C28</f>
        <v>18.005642857142856</v>
      </c>
      <c r="E25" s="92">
        <f t="shared" si="11"/>
        <v>14.404514285714285</v>
      </c>
      <c r="F25" s="92">
        <f t="shared" si="11"/>
        <v>10.803385714285714</v>
      </c>
      <c r="G25" s="92">
        <f t="shared" si="11"/>
        <v>7.2022571428571425</v>
      </c>
      <c r="H25" s="92">
        <f t="shared" si="11"/>
        <v>3.6011285714285712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2" t="s">
        <v>103</v>
      </c>
      <c r="B26" s="92">
        <f>$C$21/$F$21</f>
        <v>3.6011285714285712</v>
      </c>
      <c r="C26" s="92">
        <f t="shared" ref="C26:H26" si="12">$C$21/$F$21</f>
        <v>3.6011285714285712</v>
      </c>
      <c r="D26" s="92">
        <f t="shared" si="12"/>
        <v>3.6011285714285712</v>
      </c>
      <c r="E26" s="92">
        <f t="shared" si="12"/>
        <v>3.6011285714285712</v>
      </c>
      <c r="F26" s="92">
        <f t="shared" si="12"/>
        <v>3.6011285714285712</v>
      </c>
      <c r="G26" s="92">
        <f t="shared" si="12"/>
        <v>3.6011285714285712</v>
      </c>
      <c r="H26" s="92">
        <f t="shared" si="12"/>
        <v>3.6011285714285712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 t="s">
        <v>104</v>
      </c>
      <c r="B27" s="92">
        <f>B25*$D$21</f>
        <v>3.0249479999999997</v>
      </c>
      <c r="C27" s="92">
        <f t="shared" ref="C27:H27" si="13">C25*$D$21</f>
        <v>2.592812571428571</v>
      </c>
      <c r="D27" s="92">
        <f t="shared" si="13"/>
        <v>2.1606771428571427</v>
      </c>
      <c r="E27" s="92">
        <f t="shared" si="13"/>
        <v>1.7285417142857142</v>
      </c>
      <c r="F27" s="92">
        <f t="shared" si="13"/>
        <v>1.2964062857142855</v>
      </c>
      <c r="G27" s="92">
        <f t="shared" si="13"/>
        <v>0.86427085714285712</v>
      </c>
      <c r="H27" s="92">
        <f t="shared" si="13"/>
        <v>0.43213542857142856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2" t="s">
        <v>105</v>
      </c>
      <c r="B28" s="92">
        <f>B25-B26</f>
        <v>21.606771428571427</v>
      </c>
      <c r="C28" s="92">
        <f>C25-C26</f>
        <v>18.005642857142856</v>
      </c>
      <c r="D28" s="92">
        <f t="shared" ref="D28:H28" si="14">D25-D26</f>
        <v>14.404514285714285</v>
      </c>
      <c r="E28" s="92">
        <f t="shared" si="14"/>
        <v>10.803385714285714</v>
      </c>
      <c r="F28" s="92">
        <f t="shared" si="14"/>
        <v>7.2022571428571425</v>
      </c>
      <c r="G28" s="92">
        <f t="shared" si="14"/>
        <v>3.6011285714285712</v>
      </c>
      <c r="H28" s="92">
        <f t="shared" si="14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30" spans="1:20" x14ac:dyDescent="0.25">
      <c r="B30" s="116">
        <f>SUMIF($A$25:$A$29,"Interest Expense",B25:B29)</f>
        <v>3.0249479999999997</v>
      </c>
      <c r="C30" s="116">
        <f t="shared" ref="C30:H30" si="15">SUMIF($A$25:$A$29,"Interest Expense",C25:C29)</f>
        <v>2.592812571428571</v>
      </c>
      <c r="D30" s="116">
        <f t="shared" si="15"/>
        <v>2.1606771428571427</v>
      </c>
      <c r="E30" s="116">
        <f t="shared" si="15"/>
        <v>1.7285417142857142</v>
      </c>
      <c r="F30" s="116">
        <f t="shared" si="15"/>
        <v>1.2964062857142855</v>
      </c>
      <c r="G30" s="116">
        <f t="shared" si="15"/>
        <v>0.86427085714285712</v>
      </c>
      <c r="H30" s="116">
        <f t="shared" si="15"/>
        <v>0.43213542857142856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workbookViewId="0">
      <pane ySplit="2" topLeftCell="A3" activePane="bottomLeft" state="frozen"/>
      <selection pane="bottomLeft" activeCell="C10" sqref="C10"/>
    </sheetView>
  </sheetViews>
  <sheetFormatPr defaultColWidth="9.140625" defaultRowHeight="12.75" x14ac:dyDescent="0.2"/>
  <cols>
    <col min="1" max="1" width="6.140625" style="62" customWidth="1"/>
    <col min="2" max="2" width="35" style="62" bestFit="1" customWidth="1"/>
    <col min="3" max="3" width="15.140625" style="62" customWidth="1"/>
    <col min="4" max="4" width="9" style="62" bestFit="1" customWidth="1"/>
    <col min="5" max="5" width="10.7109375" style="62" customWidth="1"/>
    <col min="6" max="6" width="12.85546875" style="62" bestFit="1" customWidth="1"/>
    <col min="7" max="7" width="9.85546875" style="62" bestFit="1" customWidth="1"/>
    <col min="8" max="8" width="14.28515625" style="62" customWidth="1"/>
    <col min="9" max="9" width="12" style="62" bestFit="1" customWidth="1"/>
    <col min="10" max="10" width="13.28515625" style="62" bestFit="1" customWidth="1"/>
    <col min="11" max="11" width="15.140625" style="62" bestFit="1" customWidth="1"/>
    <col min="12" max="13" width="9.140625" style="62"/>
    <col min="14" max="14" width="13.7109375" style="62" bestFit="1" customWidth="1"/>
    <col min="15" max="16384" width="9.140625" style="62"/>
  </cols>
  <sheetData>
    <row r="1" spans="1:17" ht="15" x14ac:dyDescent="0.25">
      <c r="A1" s="62" t="s">
        <v>89</v>
      </c>
      <c r="N1"/>
      <c r="O1"/>
      <c r="P1"/>
      <c r="Q1"/>
    </row>
    <row r="2" spans="1:17" ht="38.25" x14ac:dyDescent="0.2">
      <c r="A2" s="63" t="s">
        <v>69</v>
      </c>
      <c r="B2" s="63" t="s">
        <v>70</v>
      </c>
      <c r="C2" s="63" t="s">
        <v>251</v>
      </c>
      <c r="D2" s="63" t="s">
        <v>71</v>
      </c>
      <c r="E2" s="63" t="s">
        <v>72</v>
      </c>
      <c r="F2" s="63" t="s">
        <v>92</v>
      </c>
      <c r="G2" s="63" t="s">
        <v>73</v>
      </c>
      <c r="H2" s="63" t="s">
        <v>74</v>
      </c>
      <c r="I2" s="63" t="s">
        <v>75</v>
      </c>
      <c r="J2" s="63" t="s">
        <v>76</v>
      </c>
      <c r="K2" s="63" t="s">
        <v>77</v>
      </c>
    </row>
    <row r="3" spans="1:17" ht="15" x14ac:dyDescent="0.25">
      <c r="A3" s="64">
        <v>1</v>
      </c>
      <c r="B3" s="2" t="s">
        <v>88</v>
      </c>
      <c r="C3" s="84">
        <v>17.66</v>
      </c>
      <c r="D3" s="65">
        <v>0.1333</v>
      </c>
      <c r="E3" s="70">
        <v>287.31</v>
      </c>
      <c r="F3" s="66">
        <v>56.05</v>
      </c>
      <c r="G3" s="66">
        <v>230.26</v>
      </c>
      <c r="H3" s="67">
        <f>N3/$N$6</f>
        <v>0.74445603280934236</v>
      </c>
      <c r="I3" s="66">
        <f>F3/G3</f>
        <v>0.24342048119517068</v>
      </c>
      <c r="J3" s="202">
        <v>1.2</v>
      </c>
      <c r="K3" s="66">
        <f>J3/(1+(1-D3)*I3)</f>
        <v>0.99093907518915914</v>
      </c>
      <c r="L3" s="62">
        <f>K3/AVERAGE($K$3:$K$5)</f>
        <v>1.098010921485717</v>
      </c>
      <c r="N3" s="68">
        <f>IFERROR(1/IF(L3=0,,ABS(E3-$N$1)),0)</f>
        <v>3.4805610664439108E-3</v>
      </c>
      <c r="O3" s="69">
        <f>IFERROR(1/IF(L3=0,,E3-$N$1),0)</f>
        <v>3.4805610664439108E-3</v>
      </c>
      <c r="P3"/>
    </row>
    <row r="4" spans="1:17" ht="15" x14ac:dyDescent="0.25">
      <c r="A4" s="64">
        <v>2</v>
      </c>
      <c r="B4" s="2" t="s">
        <v>90</v>
      </c>
      <c r="C4" s="84">
        <v>518.24</v>
      </c>
      <c r="D4" s="65">
        <v>0</v>
      </c>
      <c r="E4" s="87">
        <v>4465.88</v>
      </c>
      <c r="F4" s="66">
        <v>764.29</v>
      </c>
      <c r="G4" s="66">
        <v>1315.53</v>
      </c>
      <c r="H4" s="67">
        <f>N4/$N$6</f>
        <v>4.7894180494427112E-2</v>
      </c>
      <c r="I4" s="66">
        <f>F4/G4</f>
        <v>0.58097496826374162</v>
      </c>
      <c r="J4" s="70">
        <v>1.22</v>
      </c>
      <c r="K4" s="66">
        <f>J4/(1+(1-D4)*I4)</f>
        <v>0.77167572193747536</v>
      </c>
      <c r="L4" s="62">
        <f t="shared" ref="L4:L5" si="0">K4/AVERAGE($K$3:$K$5)</f>
        <v>0.85505596837119535</v>
      </c>
      <c r="N4" s="68">
        <f>IFERROR(1/IF(L4=0,,ABS(E4-$N$1)),0)</f>
        <v>2.2392003367757306E-4</v>
      </c>
      <c r="O4" s="69"/>
      <c r="P4"/>
    </row>
    <row r="5" spans="1:17" ht="15" x14ac:dyDescent="0.25">
      <c r="A5" s="64">
        <v>3</v>
      </c>
      <c r="B5" s="2" t="s">
        <v>91</v>
      </c>
      <c r="C5" s="86">
        <v>29.78</v>
      </c>
      <c r="D5" s="65">
        <v>0</v>
      </c>
      <c r="E5" s="70">
        <v>1030.05</v>
      </c>
      <c r="F5" s="66">
        <v>283.75</v>
      </c>
      <c r="G5" s="66">
        <v>734.2</v>
      </c>
      <c r="H5" s="67">
        <f>N5/$N$6</f>
        <v>0.20764978669623047</v>
      </c>
      <c r="I5" s="66">
        <f>F5/G5</f>
        <v>0.38647507491146826</v>
      </c>
      <c r="J5" s="70">
        <v>1.31</v>
      </c>
      <c r="K5" s="66">
        <f>J5/(1+(1-D5)*I5)</f>
        <v>0.94484208458175745</v>
      </c>
      <c r="L5" s="62">
        <f t="shared" si="0"/>
        <v>1.0469331101430874</v>
      </c>
      <c r="N5" s="68">
        <f>IFERROR(1/IF(L5=0,,ABS(E5-$N$1)),0)</f>
        <v>9.7082665890005349E-4</v>
      </c>
      <c r="O5" s="69"/>
      <c r="P5"/>
    </row>
    <row r="6" spans="1:17" x14ac:dyDescent="0.2">
      <c r="A6" s="71"/>
      <c r="B6" s="71" t="s">
        <v>78</v>
      </c>
      <c r="C6" s="85"/>
      <c r="D6" s="72">
        <f>0.3*1.12*1.04</f>
        <v>0.34944000000000003</v>
      </c>
      <c r="E6" s="71"/>
      <c r="F6" s="71"/>
      <c r="G6" s="71"/>
      <c r="H6" s="72">
        <f>SUM(H3:H5)</f>
        <v>0.99999999999999989</v>
      </c>
      <c r="I6" s="73">
        <f>AVERAGE(I3:I5)</f>
        <v>0.40362350812346021</v>
      </c>
      <c r="J6" s="73">
        <f>AVERAGE(J3:J5)</f>
        <v>1.2433333333333334</v>
      </c>
      <c r="K6" s="73">
        <f>SUMPRODUCT(H3:H5,K3:K5)</f>
        <v>0.97086560630574448</v>
      </c>
      <c r="N6" s="68">
        <f>SUM(N3:N5)</f>
        <v>4.6753077590215375E-3</v>
      </c>
      <c r="P6" s="74"/>
    </row>
    <row r="7" spans="1:17" x14ac:dyDescent="0.2">
      <c r="D7" s="75"/>
    </row>
    <row r="8" spans="1:17" x14ac:dyDescent="0.2">
      <c r="D8" s="75"/>
    </row>
    <row r="9" spans="1:17" x14ac:dyDescent="0.2">
      <c r="B9" s="106" t="s">
        <v>93</v>
      </c>
      <c r="C9" s="107" t="s">
        <v>122</v>
      </c>
      <c r="D9" s="75"/>
    </row>
    <row r="10" spans="1:17" x14ac:dyDescent="0.2">
      <c r="B10" s="105" t="s">
        <v>92</v>
      </c>
      <c r="C10" s="188">
        <f>Assumptions!E35+Assumptions!D37</f>
        <v>53.741500000000002</v>
      </c>
      <c r="D10" s="75"/>
    </row>
    <row r="11" spans="1:17" x14ac:dyDescent="0.2">
      <c r="B11" s="105" t="s">
        <v>73</v>
      </c>
      <c r="C11" s="188">
        <v>-14.1488</v>
      </c>
      <c r="D11" s="75"/>
    </row>
    <row r="12" spans="1:17" x14ac:dyDescent="0.2">
      <c r="B12" s="71" t="s">
        <v>94</v>
      </c>
      <c r="C12" s="85">
        <f>C10/C11</f>
        <v>-3.7983079837159339</v>
      </c>
      <c r="D12" s="75"/>
    </row>
    <row r="13" spans="1:17" x14ac:dyDescent="0.2">
      <c r="B13" s="62" t="s">
        <v>101</v>
      </c>
      <c r="C13" s="201"/>
      <c r="D13" s="75"/>
    </row>
    <row r="14" spans="1:17" x14ac:dyDescent="0.2">
      <c r="D14" s="75"/>
      <c r="F14" s="75"/>
      <c r="H14" s="75"/>
    </row>
    <row r="15" spans="1:17" x14ac:dyDescent="0.2">
      <c r="D15" s="75"/>
    </row>
    <row r="16" spans="1:17" x14ac:dyDescent="0.2">
      <c r="D16" s="75"/>
      <c r="F16" s="75"/>
    </row>
    <row r="17" spans="2:10" ht="15" x14ac:dyDescent="0.25">
      <c r="B17" s="76" t="s">
        <v>79</v>
      </c>
      <c r="C17"/>
      <c r="E17" s="75"/>
    </row>
    <row r="18" spans="2:10" ht="15" x14ac:dyDescent="0.25">
      <c r="B18"/>
      <c r="C18"/>
      <c r="J18" s="75"/>
    </row>
    <row r="19" spans="2:10" ht="15" x14ac:dyDescent="0.25">
      <c r="B19" s="77" t="s">
        <v>80</v>
      </c>
      <c r="C19" s="78">
        <f>K6</f>
        <v>0.97086560630574448</v>
      </c>
    </row>
    <row r="20" spans="2:10" ht="15" x14ac:dyDescent="0.25">
      <c r="B20"/>
      <c r="C20"/>
    </row>
    <row r="21" spans="2:10" ht="15" x14ac:dyDescent="0.25">
      <c r="B21" t="s">
        <v>81</v>
      </c>
      <c r="C21" s="79">
        <f>C12</f>
        <v>-3.7983079837159339</v>
      </c>
      <c r="E21" s="111"/>
    </row>
    <row r="22" spans="2:10" ht="15" x14ac:dyDescent="0.25">
      <c r="B22" t="s">
        <v>82</v>
      </c>
      <c r="C22" s="80">
        <f>Assumptions!C65</f>
        <v>0.25168000000000001</v>
      </c>
    </row>
    <row r="23" spans="2:10" ht="15" x14ac:dyDescent="0.25">
      <c r="B23"/>
      <c r="C23"/>
      <c r="H23" s="88"/>
    </row>
    <row r="24" spans="2:10" ht="15" x14ac:dyDescent="0.25">
      <c r="B24" s="77" t="s">
        <v>83</v>
      </c>
      <c r="C24" s="81">
        <f>C19*(1+((1-C22)*C21))</f>
        <v>-1.7886740850936376</v>
      </c>
    </row>
    <row r="25" spans="2:10" ht="15" x14ac:dyDescent="0.25">
      <c r="B25"/>
      <c r="C25"/>
    </row>
    <row r="26" spans="2:10" ht="15" x14ac:dyDescent="0.25">
      <c r="B26"/>
      <c r="C26"/>
    </row>
    <row r="27" spans="2:10" ht="15" x14ac:dyDescent="0.25">
      <c r="B27" s="76" t="s">
        <v>84</v>
      </c>
      <c r="C27" s="186"/>
    </row>
    <row r="28" spans="2:10" ht="15" x14ac:dyDescent="0.25">
      <c r="B28"/>
      <c r="C28"/>
    </row>
    <row r="29" spans="2:10" ht="15" x14ac:dyDescent="0.25">
      <c r="B29" t="s">
        <v>85</v>
      </c>
      <c r="C29" s="80">
        <v>7.1029999999999996E-2</v>
      </c>
    </row>
    <row r="30" spans="2:10" ht="15" x14ac:dyDescent="0.25">
      <c r="B30" t="s">
        <v>86</v>
      </c>
      <c r="C30" s="204">
        <f>C31-C29</f>
        <v>3.8970000000000005E-2</v>
      </c>
    </row>
    <row r="31" spans="2:10" ht="15" x14ac:dyDescent="0.25">
      <c r="B31" t="s">
        <v>252</v>
      </c>
      <c r="C31" s="203">
        <v>0.11</v>
      </c>
    </row>
    <row r="32" spans="2:10" ht="15" x14ac:dyDescent="0.25">
      <c r="B32" s="82" t="s">
        <v>87</v>
      </c>
      <c r="C32" s="83">
        <f>C35</f>
        <v>0.15</v>
      </c>
    </row>
    <row r="33" spans="1:3" ht="15" x14ac:dyDescent="0.25">
      <c r="C33"/>
    </row>
    <row r="35" spans="1:3" ht="30" x14ac:dyDescent="0.2">
      <c r="A35" s="228" t="s">
        <v>254</v>
      </c>
      <c r="B35" s="229" t="s">
        <v>255</v>
      </c>
      <c r="C35" s="88">
        <v>0.15</v>
      </c>
    </row>
    <row r="36" spans="1:3" ht="15" x14ac:dyDescent="0.25">
      <c r="B36"/>
    </row>
  </sheetData>
  <hyperlinks>
    <hyperlink ref="A35" r:id="rId1" xr:uid="{9E26DA27-E4B7-4A83-944C-F28D69AFCA90}"/>
  </hyperlinks>
  <pageMargins left="0.7" right="0.7" top="0.75" bottom="0.75" header="0.3" footer="0.3"/>
  <pageSetup paperSize="9" orientation="portrait" verticalDpi="0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5"/>
  <sheetViews>
    <sheetView topLeftCell="A50" zoomScaleNormal="100" workbookViewId="0">
      <pane ySplit="4" topLeftCell="A54" activePane="bottomLeft" state="frozen"/>
      <selection activeCell="A50" sqref="A50"/>
      <selection pane="bottomLeft" activeCell="H75" sqref="H75"/>
    </sheetView>
  </sheetViews>
  <sheetFormatPr defaultColWidth="9.140625" defaultRowHeight="12" outlineLevelRow="1" x14ac:dyDescent="0.2"/>
  <cols>
    <col min="1" max="1" width="26" style="5" bestFit="1" customWidth="1"/>
    <col min="2" max="2" width="16.85546875" style="5" bestFit="1" customWidth="1"/>
    <col min="3" max="3" width="33.140625" style="5" bestFit="1" customWidth="1"/>
    <col min="4" max="4" width="14" style="5" hidden="1" customWidth="1"/>
    <col min="5" max="5" width="9.28515625" style="5" hidden="1" customWidth="1"/>
    <col min="6" max="6" width="10.28515625" style="5" hidden="1" customWidth="1"/>
    <col min="7" max="8" width="17.7109375" style="5" bestFit="1" customWidth="1"/>
    <col min="9" max="10" width="14.42578125" style="5" bestFit="1" customWidth="1"/>
    <col min="11" max="11" width="14" style="5" bestFit="1" customWidth="1"/>
    <col min="12" max="12" width="14.7109375" style="5" bestFit="1" customWidth="1"/>
    <col min="13" max="26" width="19.42578125" style="5" bestFit="1" customWidth="1"/>
    <col min="27" max="29" width="8.140625" style="5" bestFit="1" customWidth="1"/>
    <col min="30" max="37" width="8.140625" style="5" customWidth="1"/>
    <col min="38" max="16384" width="9.140625" style="5"/>
  </cols>
  <sheetData>
    <row r="1" spans="1:15" customFormat="1" ht="15" hidden="1" outlineLevel="1" x14ac:dyDescent="0.25">
      <c r="A1" s="5"/>
      <c r="B1" s="5"/>
      <c r="C1" s="5"/>
      <c r="D1" s="30"/>
      <c r="E1" s="5"/>
      <c r="F1" s="5"/>
      <c r="G1" s="5"/>
      <c r="H1" s="5"/>
      <c r="I1" s="5"/>
      <c r="J1" s="5"/>
      <c r="K1" s="5"/>
      <c r="L1" s="5"/>
      <c r="M1" s="5"/>
    </row>
    <row r="2" spans="1:15" customFormat="1" ht="15" hidden="1" outlineLevel="1" x14ac:dyDescent="0.25">
      <c r="A2" s="5"/>
      <c r="B2" s="5"/>
      <c r="C2" s="6" t="s">
        <v>3</v>
      </c>
      <c r="D2" s="30"/>
      <c r="E2" s="5"/>
      <c r="F2" s="5"/>
      <c r="G2" s="5"/>
      <c r="H2" s="5"/>
      <c r="I2" s="5"/>
      <c r="J2" s="5"/>
      <c r="K2" s="5"/>
      <c r="L2" s="5"/>
      <c r="M2" s="5"/>
    </row>
    <row r="3" spans="1:15" ht="15" hidden="1" outlineLevel="1" x14ac:dyDescent="0.25">
      <c r="C3" t="s">
        <v>4</v>
      </c>
      <c r="D3" s="31" t="s">
        <v>5</v>
      </c>
      <c r="E3"/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2</v>
      </c>
      <c r="L3" t="s">
        <v>11</v>
      </c>
      <c r="M3" t="s">
        <v>12</v>
      </c>
      <c r="N3" t="s">
        <v>13</v>
      </c>
      <c r="O3" t="s">
        <v>14</v>
      </c>
    </row>
    <row r="4" spans="1:15" hidden="1" outlineLevel="1" x14ac:dyDescent="0.2">
      <c r="C4" s="7" t="s">
        <v>15</v>
      </c>
      <c r="D4" s="32"/>
      <c r="E4" s="8"/>
      <c r="F4" s="8"/>
      <c r="G4" s="8"/>
      <c r="H4" s="8"/>
      <c r="I4" s="8"/>
      <c r="J4" s="8" t="s">
        <v>16</v>
      </c>
      <c r="K4" s="8"/>
      <c r="L4" s="8"/>
      <c r="M4" s="8"/>
      <c r="N4" s="8"/>
      <c r="O4" s="8"/>
    </row>
    <row r="5" spans="1:15" ht="14.25" hidden="1" customHeight="1" outlineLevel="1" x14ac:dyDescent="0.2">
      <c r="C5" s="8" t="s">
        <v>17</v>
      </c>
      <c r="D5" s="33">
        <v>7216.69</v>
      </c>
      <c r="E5" s="9"/>
      <c r="F5" s="10">
        <v>35785.82</v>
      </c>
      <c r="G5" s="9">
        <v>8840.35</v>
      </c>
      <c r="H5" s="9">
        <v>452268.38</v>
      </c>
      <c r="I5" s="9"/>
      <c r="J5" s="9">
        <v>8180.53</v>
      </c>
      <c r="K5" s="9">
        <v>36.409999999999997</v>
      </c>
      <c r="L5" s="9">
        <v>51.51</v>
      </c>
      <c r="M5" s="9">
        <v>176.81</v>
      </c>
      <c r="N5" s="9">
        <v>75.33</v>
      </c>
      <c r="O5" s="9">
        <f>SUM(D5:N5)</f>
        <v>512631.83</v>
      </c>
    </row>
    <row r="6" spans="1:15" hidden="1" outlineLevel="1" x14ac:dyDescent="0.2">
      <c r="C6" s="11" t="s">
        <v>18</v>
      </c>
      <c r="D6" s="32">
        <v>131.44</v>
      </c>
      <c r="E6" s="8"/>
      <c r="F6" s="9">
        <v>6825.14</v>
      </c>
      <c r="G6" s="8"/>
      <c r="H6" s="8">
        <v>148.41999999999999</v>
      </c>
      <c r="I6" s="8"/>
      <c r="J6" s="9">
        <v>7771.89</v>
      </c>
      <c r="K6" s="8">
        <v>1.82</v>
      </c>
      <c r="L6" s="8">
        <v>0.42</v>
      </c>
      <c r="M6" s="8">
        <v>1.22</v>
      </c>
      <c r="N6" s="8"/>
      <c r="O6" s="9">
        <f>SUM(D6:N6)</f>
        <v>14880.349999999999</v>
      </c>
    </row>
    <row r="7" spans="1:15" hidden="1" outlineLevel="1" x14ac:dyDescent="0.2">
      <c r="C7" s="12" t="s">
        <v>19</v>
      </c>
      <c r="D7" s="32"/>
      <c r="E7" s="8"/>
      <c r="F7" s="8">
        <v>22.02</v>
      </c>
      <c r="G7" s="8"/>
      <c r="H7" s="9">
        <v>2116.39</v>
      </c>
      <c r="I7" s="9"/>
      <c r="J7" s="8"/>
      <c r="K7" s="8"/>
      <c r="L7" s="8"/>
      <c r="M7" s="8"/>
      <c r="N7" s="8"/>
      <c r="O7" s="9">
        <f>SUM(D7:N7)</f>
        <v>2138.41</v>
      </c>
    </row>
    <row r="8" spans="1:15" hidden="1" outlineLevel="1" x14ac:dyDescent="0.2">
      <c r="C8" s="13" t="s">
        <v>20</v>
      </c>
      <c r="D8" s="32"/>
      <c r="E8" s="8"/>
      <c r="F8" s="8"/>
      <c r="G8" s="8"/>
      <c r="H8" s="9">
        <v>1299.96</v>
      </c>
      <c r="I8" s="9"/>
      <c r="J8" s="8">
        <v>744.38</v>
      </c>
      <c r="K8" s="8"/>
      <c r="L8" s="8"/>
      <c r="M8" s="8"/>
      <c r="N8" s="8"/>
      <c r="O8" s="9">
        <f>SUM(D8:N8)</f>
        <v>2044.3400000000001</v>
      </c>
    </row>
    <row r="9" spans="1:15" hidden="1" outlineLevel="1" x14ac:dyDescent="0.2">
      <c r="C9" s="8" t="s">
        <v>21</v>
      </c>
      <c r="D9" s="33">
        <f>SUM(D5:D6)-D7-D8</f>
        <v>7348.1299999999992</v>
      </c>
      <c r="E9" s="9"/>
      <c r="F9" s="9">
        <f t="shared" ref="F9:O9" si="0">SUM(F5:F6)-F7-F8</f>
        <v>42588.94</v>
      </c>
      <c r="G9" s="9">
        <f t="shared" si="0"/>
        <v>8840.35</v>
      </c>
      <c r="H9" s="9">
        <f t="shared" si="0"/>
        <v>449000.44999999995</v>
      </c>
      <c r="I9" s="9"/>
      <c r="J9" s="9">
        <f t="shared" si="0"/>
        <v>15208.04</v>
      </c>
      <c r="K9" s="9">
        <f t="shared" si="0"/>
        <v>38.229999999999997</v>
      </c>
      <c r="L9" s="9">
        <f t="shared" si="0"/>
        <v>51.93</v>
      </c>
      <c r="M9" s="9">
        <f t="shared" si="0"/>
        <v>178.03</v>
      </c>
      <c r="N9" s="9">
        <f t="shared" si="0"/>
        <v>75.33</v>
      </c>
      <c r="O9" s="9">
        <f t="shared" si="0"/>
        <v>523329.43</v>
      </c>
    </row>
    <row r="10" spans="1:15" hidden="1" outlineLevel="1" x14ac:dyDescent="0.2">
      <c r="C10" s="14" t="s">
        <v>18</v>
      </c>
      <c r="D10" s="32">
        <v>893.49</v>
      </c>
      <c r="E10" s="8"/>
      <c r="F10" s="9">
        <v>20771.2</v>
      </c>
      <c r="G10" s="8">
        <v>378.99</v>
      </c>
      <c r="H10" s="9">
        <v>269627.37</v>
      </c>
      <c r="I10" s="9"/>
      <c r="J10" s="8"/>
      <c r="K10" s="9">
        <v>1.05</v>
      </c>
      <c r="L10" s="8">
        <v>1.1200000000000001</v>
      </c>
      <c r="M10" s="9">
        <v>12.05</v>
      </c>
      <c r="N10" s="8">
        <v>6.51</v>
      </c>
      <c r="O10" s="9">
        <f>SUM(D10:N10)</f>
        <v>291691.77999999997</v>
      </c>
    </row>
    <row r="11" spans="1:15" hidden="1" outlineLevel="1" x14ac:dyDescent="0.2">
      <c r="C11" s="12"/>
      <c r="D11" s="32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idden="1" outlineLevel="1" x14ac:dyDescent="0.2">
      <c r="C12" s="13" t="s">
        <v>20</v>
      </c>
      <c r="D12" s="32"/>
      <c r="E12" s="8"/>
      <c r="F12" s="8"/>
      <c r="G12" s="8"/>
      <c r="H12" s="9">
        <v>706.15</v>
      </c>
      <c r="I12" s="9"/>
      <c r="J12" s="8"/>
      <c r="K12" s="8"/>
      <c r="L12" s="8"/>
      <c r="M12" s="8"/>
      <c r="N12" s="8">
        <v>3.47</v>
      </c>
      <c r="O12" s="9">
        <f>SUM(D12:N12)</f>
        <v>709.62</v>
      </c>
    </row>
    <row r="13" spans="1:15" hidden="1" outlineLevel="1" x14ac:dyDescent="0.2">
      <c r="C13" s="8" t="s">
        <v>22</v>
      </c>
      <c r="D13" s="33">
        <f>SUM(D9:D10)-D11-D12</f>
        <v>8241.619999999999</v>
      </c>
      <c r="E13" s="9"/>
      <c r="F13" s="9">
        <f t="shared" ref="F13:O13" si="1">SUM(F9:F10)-F11-F12</f>
        <v>63360.14</v>
      </c>
      <c r="G13" s="9">
        <f t="shared" si="1"/>
        <v>9219.34</v>
      </c>
      <c r="H13" s="9">
        <f t="shared" si="1"/>
        <v>717921.66999999993</v>
      </c>
      <c r="I13" s="9"/>
      <c r="J13" s="9">
        <f t="shared" si="1"/>
        <v>15208.04</v>
      </c>
      <c r="K13" s="9">
        <f t="shared" si="1"/>
        <v>39.279999999999994</v>
      </c>
      <c r="L13" s="9">
        <f t="shared" si="1"/>
        <v>53.05</v>
      </c>
      <c r="M13" s="9">
        <f t="shared" si="1"/>
        <v>190.08</v>
      </c>
      <c r="N13" s="9">
        <f t="shared" si="1"/>
        <v>78.37</v>
      </c>
      <c r="O13" s="9">
        <f t="shared" si="1"/>
        <v>814311.59</v>
      </c>
    </row>
    <row r="14" spans="1:15" hidden="1" outlineLevel="1" x14ac:dyDescent="0.2">
      <c r="C14" s="14" t="s">
        <v>18</v>
      </c>
      <c r="D14" s="34">
        <v>43.27</v>
      </c>
      <c r="E14" s="15"/>
      <c r="F14" s="9">
        <v>59088.59</v>
      </c>
      <c r="G14" s="8">
        <v>378.99</v>
      </c>
      <c r="H14" s="9">
        <v>373366.79</v>
      </c>
      <c r="I14" s="9">
        <v>2418.4499999999998</v>
      </c>
      <c r="J14" s="8"/>
      <c r="K14" s="9">
        <v>0.6</v>
      </c>
      <c r="L14" s="8">
        <v>6.02</v>
      </c>
      <c r="M14" s="9">
        <v>0.28000000000000003</v>
      </c>
      <c r="N14" s="8"/>
      <c r="O14" s="9">
        <f>SUM(D14:N14)</f>
        <v>435302.99</v>
      </c>
    </row>
    <row r="15" spans="1:15" hidden="1" outlineLevel="1" x14ac:dyDescent="0.2">
      <c r="C15" s="12" t="s">
        <v>19</v>
      </c>
      <c r="D15" s="32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hidden="1" outlineLevel="1" x14ac:dyDescent="0.2">
      <c r="C16" s="13" t="s">
        <v>20</v>
      </c>
      <c r="D16" s="32"/>
      <c r="E16" s="8"/>
      <c r="F16" s="8"/>
      <c r="G16" s="8"/>
      <c r="H16" s="9"/>
      <c r="I16" s="9"/>
      <c r="J16" s="8"/>
      <c r="K16" s="8"/>
      <c r="L16" s="8"/>
      <c r="M16" s="8"/>
      <c r="N16" s="8">
        <v>9.09</v>
      </c>
      <c r="O16" s="9">
        <f>SUM(D16:N16)</f>
        <v>9.09</v>
      </c>
    </row>
    <row r="17" spans="3:15" hidden="1" outlineLevel="1" x14ac:dyDescent="0.2">
      <c r="C17" s="8" t="s">
        <v>23</v>
      </c>
      <c r="D17" s="33">
        <f t="shared" ref="D17:N17" si="2">SUM(D13:D14)-D15-D16</f>
        <v>8284.89</v>
      </c>
      <c r="E17" s="9"/>
      <c r="F17" s="9">
        <f t="shared" si="2"/>
        <v>122448.73</v>
      </c>
      <c r="G17" s="9">
        <f t="shared" si="2"/>
        <v>9598.33</v>
      </c>
      <c r="H17" s="9">
        <f t="shared" si="2"/>
        <v>1091288.46</v>
      </c>
      <c r="I17" s="9">
        <f t="shared" si="2"/>
        <v>2418.4499999999998</v>
      </c>
      <c r="J17" s="9">
        <f t="shared" si="2"/>
        <v>15208.04</v>
      </c>
      <c r="K17" s="9">
        <f t="shared" si="2"/>
        <v>39.879999999999995</v>
      </c>
      <c r="L17" s="9">
        <f t="shared" si="2"/>
        <v>59.069999999999993</v>
      </c>
      <c r="M17" s="9">
        <f t="shared" si="2"/>
        <v>190.36</v>
      </c>
      <c r="N17" s="9">
        <f t="shared" si="2"/>
        <v>69.28</v>
      </c>
      <c r="O17" s="9">
        <f>SUM(D17:N17)</f>
        <v>1249605.49</v>
      </c>
    </row>
    <row r="18" spans="3:15" hidden="1" outlineLevel="1" x14ac:dyDescent="0.2">
      <c r="C18" s="8"/>
      <c r="D18" s="32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3:15" hidden="1" outlineLevel="1" x14ac:dyDescent="0.2">
      <c r="C19" s="7" t="s">
        <v>24</v>
      </c>
      <c r="D19" s="32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3:15" hidden="1" outlineLevel="1" x14ac:dyDescent="0.2">
      <c r="C20" s="8" t="s">
        <v>25</v>
      </c>
      <c r="D20" s="32"/>
      <c r="E20" s="8"/>
      <c r="F20" s="8">
        <v>891.28</v>
      </c>
      <c r="G20" s="8">
        <v>274.19</v>
      </c>
      <c r="H20" s="9">
        <v>2484.2600000000002</v>
      </c>
      <c r="I20" s="9"/>
      <c r="J20" s="8">
        <v>530.86</v>
      </c>
      <c r="K20" s="8">
        <v>12.24</v>
      </c>
      <c r="L20" s="8">
        <v>6.01</v>
      </c>
      <c r="M20" s="8">
        <v>40.17</v>
      </c>
      <c r="N20" s="8">
        <v>9.9600000000000009</v>
      </c>
      <c r="O20" s="9">
        <f t="shared" ref="O20:O29" si="3">SUM(D20:N20)</f>
        <v>4248.97</v>
      </c>
    </row>
    <row r="21" spans="3:15" hidden="1" outlineLevel="1" x14ac:dyDescent="0.2">
      <c r="C21" s="14" t="s">
        <v>26</v>
      </c>
      <c r="D21" s="32"/>
      <c r="E21" s="8"/>
      <c r="F21" s="8">
        <v>1252.18</v>
      </c>
      <c r="G21" s="8">
        <v>280.74</v>
      </c>
      <c r="H21" s="16">
        <v>10725.99</v>
      </c>
      <c r="I21" s="16"/>
      <c r="J21" s="8">
        <v>530.86</v>
      </c>
      <c r="K21" s="8">
        <v>11.78</v>
      </c>
      <c r="L21" s="8">
        <v>6.15</v>
      </c>
      <c r="M21" s="8">
        <v>35.200000000000003</v>
      </c>
      <c r="N21" s="8">
        <v>12.39</v>
      </c>
      <c r="O21" s="9">
        <f t="shared" si="3"/>
        <v>12855.29</v>
      </c>
    </row>
    <row r="22" spans="3:15" hidden="1" outlineLevel="1" x14ac:dyDescent="0.2">
      <c r="C22" s="13" t="s">
        <v>27</v>
      </c>
      <c r="D22" s="32"/>
      <c r="E22" s="8"/>
      <c r="F22" s="8"/>
      <c r="G22" s="8"/>
      <c r="H22" s="8">
        <v>22.75</v>
      </c>
      <c r="I22" s="8"/>
      <c r="J22" s="8">
        <v>630.03</v>
      </c>
      <c r="K22" s="8"/>
      <c r="L22" s="8"/>
      <c r="M22" s="8"/>
      <c r="N22" s="8"/>
      <c r="O22" s="9">
        <f t="shared" si="3"/>
        <v>652.78</v>
      </c>
    </row>
    <row r="23" spans="3:15" hidden="1" outlineLevel="1" x14ac:dyDescent="0.2">
      <c r="C23" s="8" t="s">
        <v>21</v>
      </c>
      <c r="D23" s="32"/>
      <c r="E23" s="8"/>
      <c r="F23" s="9">
        <f>SUM(F20:F21)-F22</f>
        <v>2143.46</v>
      </c>
      <c r="G23" s="9">
        <f t="shared" ref="G23:N23" si="4">SUM(G20:G21)-G22</f>
        <v>554.93000000000006</v>
      </c>
      <c r="H23" s="9">
        <f t="shared" si="4"/>
        <v>13187.5</v>
      </c>
      <c r="I23" s="9"/>
      <c r="J23" s="9">
        <f t="shared" si="4"/>
        <v>431.69000000000005</v>
      </c>
      <c r="K23" s="9">
        <f t="shared" si="4"/>
        <v>24.02</v>
      </c>
      <c r="L23" s="9">
        <f t="shared" si="4"/>
        <v>12.16</v>
      </c>
      <c r="M23" s="9">
        <f t="shared" si="4"/>
        <v>75.37</v>
      </c>
      <c r="N23" s="9">
        <f t="shared" si="4"/>
        <v>22.35</v>
      </c>
      <c r="O23" s="9">
        <f t="shared" si="3"/>
        <v>16451.48</v>
      </c>
    </row>
    <row r="24" spans="3:15" hidden="1" outlineLevel="1" x14ac:dyDescent="0.2">
      <c r="C24" s="14" t="s">
        <v>26</v>
      </c>
      <c r="D24" s="32"/>
      <c r="E24" s="8"/>
      <c r="F24" s="9">
        <v>1379.83</v>
      </c>
      <c r="G24" s="8">
        <v>285.27999999999997</v>
      </c>
      <c r="H24" s="9">
        <v>13087.89</v>
      </c>
      <c r="I24" s="9"/>
      <c r="J24" s="8">
        <v>361.19</v>
      </c>
      <c r="K24" s="9">
        <v>9.02</v>
      </c>
      <c r="L24" s="8">
        <v>6.06</v>
      </c>
      <c r="M24" s="9">
        <v>39.130000000000003</v>
      </c>
      <c r="N24" s="8">
        <v>10.58</v>
      </c>
      <c r="O24" s="9">
        <f t="shared" si="3"/>
        <v>15178.98</v>
      </c>
    </row>
    <row r="25" spans="3:15" hidden="1" outlineLevel="1" x14ac:dyDescent="0.2">
      <c r="C25" s="13" t="s">
        <v>27</v>
      </c>
      <c r="D25" s="32"/>
      <c r="E25" s="8"/>
      <c r="F25" s="9"/>
      <c r="G25" s="8"/>
      <c r="H25" s="9">
        <v>24</v>
      </c>
      <c r="I25" s="9"/>
      <c r="J25" s="8"/>
      <c r="K25" s="8"/>
      <c r="L25" s="8"/>
      <c r="M25" s="8"/>
      <c r="N25" s="8">
        <v>0.95</v>
      </c>
      <c r="O25" s="9">
        <f t="shared" si="3"/>
        <v>24.95</v>
      </c>
    </row>
    <row r="26" spans="3:15" hidden="1" outlineLevel="1" x14ac:dyDescent="0.2">
      <c r="C26" s="8" t="s">
        <v>28</v>
      </c>
      <c r="D26" s="32"/>
      <c r="E26" s="8"/>
      <c r="F26" s="9">
        <f t="shared" ref="F26:N26" si="5">SUM(F23:F24)-F25</f>
        <v>3523.29</v>
      </c>
      <c r="G26" s="9">
        <f t="shared" si="5"/>
        <v>840.21</v>
      </c>
      <c r="H26" s="9">
        <f t="shared" si="5"/>
        <v>26251.39</v>
      </c>
      <c r="I26" s="9"/>
      <c r="J26" s="9">
        <f t="shared" si="5"/>
        <v>792.88000000000011</v>
      </c>
      <c r="K26" s="9">
        <f t="shared" si="5"/>
        <v>33.04</v>
      </c>
      <c r="L26" s="9">
        <f t="shared" si="5"/>
        <v>18.22</v>
      </c>
      <c r="M26" s="9">
        <f t="shared" si="5"/>
        <v>114.5</v>
      </c>
      <c r="N26" s="9">
        <f t="shared" si="5"/>
        <v>31.98</v>
      </c>
      <c r="O26" s="9">
        <f t="shared" si="3"/>
        <v>31605.510000000002</v>
      </c>
    </row>
    <row r="27" spans="3:15" hidden="1" outlineLevel="1" x14ac:dyDescent="0.2">
      <c r="C27" s="14" t="s">
        <v>26</v>
      </c>
      <c r="D27" s="32"/>
      <c r="E27" s="8"/>
      <c r="F27" s="9">
        <v>4835.26</v>
      </c>
      <c r="G27" s="8">
        <v>293.14</v>
      </c>
      <c r="H27" s="9">
        <v>17342.169999999998</v>
      </c>
      <c r="I27" s="9">
        <v>483.69</v>
      </c>
      <c r="J27" s="8">
        <v>361.19</v>
      </c>
      <c r="K27" s="9">
        <v>2.44</v>
      </c>
      <c r="L27" s="8">
        <v>6.06</v>
      </c>
      <c r="M27" s="9">
        <v>38.43</v>
      </c>
      <c r="N27" s="8">
        <v>8.85</v>
      </c>
      <c r="O27" s="9">
        <f t="shared" si="3"/>
        <v>23371.229999999996</v>
      </c>
    </row>
    <row r="28" spans="3:15" hidden="1" outlineLevel="1" x14ac:dyDescent="0.2">
      <c r="C28" s="13" t="s">
        <v>27</v>
      </c>
      <c r="D28" s="32"/>
      <c r="E28" s="8"/>
      <c r="F28" s="9"/>
      <c r="G28" s="8"/>
      <c r="H28" s="9"/>
      <c r="I28" s="9"/>
      <c r="J28" s="8"/>
      <c r="K28" s="8"/>
      <c r="L28" s="8"/>
      <c r="M28" s="8"/>
      <c r="N28" s="8">
        <v>4.57</v>
      </c>
      <c r="O28" s="9">
        <f t="shared" si="3"/>
        <v>4.57</v>
      </c>
    </row>
    <row r="29" spans="3:15" hidden="1" outlineLevel="1" x14ac:dyDescent="0.2">
      <c r="C29" s="8" t="s">
        <v>29</v>
      </c>
      <c r="D29" s="32"/>
      <c r="E29" s="8"/>
      <c r="F29" s="9">
        <f t="shared" ref="F29:N29" si="6">SUM(F26:F27)-F28</f>
        <v>8358.5499999999993</v>
      </c>
      <c r="G29" s="9">
        <f t="shared" si="6"/>
        <v>1133.3499999999999</v>
      </c>
      <c r="H29" s="9">
        <f t="shared" si="6"/>
        <v>43593.56</v>
      </c>
      <c r="I29" s="9">
        <f t="shared" si="6"/>
        <v>483.69</v>
      </c>
      <c r="J29" s="9">
        <f t="shared" si="6"/>
        <v>1154.0700000000002</v>
      </c>
      <c r="K29" s="9">
        <f t="shared" si="6"/>
        <v>35.479999999999997</v>
      </c>
      <c r="L29" s="9">
        <f t="shared" si="6"/>
        <v>24.279999999999998</v>
      </c>
      <c r="M29" s="9">
        <f t="shared" si="6"/>
        <v>152.93</v>
      </c>
      <c r="N29" s="9">
        <f t="shared" si="6"/>
        <v>36.26</v>
      </c>
      <c r="O29" s="9">
        <f t="shared" si="3"/>
        <v>54972.170000000006</v>
      </c>
    </row>
    <row r="30" spans="3:15" hidden="1" outlineLevel="1" x14ac:dyDescent="0.2">
      <c r="C30" s="8"/>
      <c r="D30" s="32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3:15" hidden="1" outlineLevel="1" x14ac:dyDescent="0.2">
      <c r="C31" s="8" t="s">
        <v>30</v>
      </c>
      <c r="D31" s="32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3:15" hidden="1" outlineLevel="1" x14ac:dyDescent="0.2">
      <c r="C32" s="14" t="s">
        <v>31</v>
      </c>
      <c r="D32" s="33">
        <f>D9-D23</f>
        <v>7348.1299999999992</v>
      </c>
      <c r="E32" s="9"/>
      <c r="F32" s="9">
        <f t="shared" ref="F32:N32" si="7">F9-F23</f>
        <v>40445.480000000003</v>
      </c>
      <c r="G32" s="9">
        <f t="shared" si="7"/>
        <v>8285.42</v>
      </c>
      <c r="H32" s="9">
        <f t="shared" si="7"/>
        <v>435812.94999999995</v>
      </c>
      <c r="I32" s="9">
        <f t="shared" si="7"/>
        <v>0</v>
      </c>
      <c r="J32" s="9">
        <f t="shared" si="7"/>
        <v>14776.35</v>
      </c>
      <c r="K32" s="9">
        <f t="shared" si="7"/>
        <v>14.209999999999997</v>
      </c>
      <c r="L32" s="9">
        <f t="shared" si="7"/>
        <v>39.769999999999996</v>
      </c>
      <c r="M32" s="9">
        <f t="shared" si="7"/>
        <v>102.66</v>
      </c>
      <c r="N32" s="9">
        <f t="shared" si="7"/>
        <v>52.98</v>
      </c>
      <c r="O32" s="9">
        <f>SUM(D32:N32)</f>
        <v>506877.94999999995</v>
      </c>
    </row>
    <row r="33" spans="3:15" hidden="1" outlineLevel="1" x14ac:dyDescent="0.2">
      <c r="C33" s="13" t="s">
        <v>32</v>
      </c>
      <c r="D33" s="33">
        <f>D13-D26</f>
        <v>8241.619999999999</v>
      </c>
      <c r="E33" s="9"/>
      <c r="F33" s="9">
        <f t="shared" ref="F33:N33" si="8">F13-F26</f>
        <v>59836.85</v>
      </c>
      <c r="G33" s="9">
        <f t="shared" si="8"/>
        <v>8379.130000000001</v>
      </c>
      <c r="H33" s="9">
        <f t="shared" si="8"/>
        <v>691670.27999999991</v>
      </c>
      <c r="I33" s="9">
        <f t="shared" si="8"/>
        <v>0</v>
      </c>
      <c r="J33" s="9">
        <f t="shared" si="8"/>
        <v>14415.16</v>
      </c>
      <c r="K33" s="9">
        <f t="shared" si="8"/>
        <v>6.2399999999999949</v>
      </c>
      <c r="L33" s="9">
        <f t="shared" si="8"/>
        <v>34.83</v>
      </c>
      <c r="M33" s="9">
        <f t="shared" si="8"/>
        <v>75.580000000000013</v>
      </c>
      <c r="N33" s="9">
        <f t="shared" si="8"/>
        <v>46.39</v>
      </c>
      <c r="O33" s="9">
        <f>SUM(D33:N33)</f>
        <v>782706.07999999984</v>
      </c>
    </row>
    <row r="34" spans="3:15" hidden="1" outlineLevel="1" x14ac:dyDescent="0.2">
      <c r="C34" s="13" t="s">
        <v>33</v>
      </c>
      <c r="D34" s="33">
        <f>D17-D29</f>
        <v>8284.89</v>
      </c>
      <c r="E34" s="9"/>
      <c r="F34" s="9">
        <f t="shared" ref="F34:N34" si="9">F17-F29</f>
        <v>114090.18</v>
      </c>
      <c r="G34" s="9">
        <f t="shared" si="9"/>
        <v>8464.98</v>
      </c>
      <c r="H34" s="9">
        <f t="shared" si="9"/>
        <v>1047694.8999999999</v>
      </c>
      <c r="I34" s="9">
        <f t="shared" si="9"/>
        <v>1934.7599999999998</v>
      </c>
      <c r="J34" s="9">
        <f t="shared" si="9"/>
        <v>14053.970000000001</v>
      </c>
      <c r="K34" s="9">
        <f t="shared" si="9"/>
        <v>4.3999999999999986</v>
      </c>
      <c r="L34" s="9">
        <f t="shared" si="9"/>
        <v>34.789999999999992</v>
      </c>
      <c r="M34" s="9">
        <f t="shared" si="9"/>
        <v>37.430000000000007</v>
      </c>
      <c r="N34" s="9">
        <f t="shared" si="9"/>
        <v>33.020000000000003</v>
      </c>
      <c r="O34" s="9">
        <f>SUM(D34:N34)</f>
        <v>1194633.3199999998</v>
      </c>
    </row>
    <row r="35" spans="3:15" hidden="1" outlineLevel="1" x14ac:dyDescent="0.2">
      <c r="D35" s="30"/>
    </row>
    <row r="36" spans="3:15" hidden="1" outlineLevel="1" x14ac:dyDescent="0.2">
      <c r="C36" s="5" t="s">
        <v>34</v>
      </c>
      <c r="D36" s="35" t="e">
        <f>D21/D9/(1-100%)</f>
        <v>#DIV/0!</v>
      </c>
      <c r="E36" s="17"/>
      <c r="F36" s="17">
        <f t="shared" ref="F36:O36" si="10">F21/F9/(1-5%)</f>
        <v>3.094897901958386E-2</v>
      </c>
      <c r="G36" s="17">
        <f t="shared" si="10"/>
        <v>3.3428064440173093E-2</v>
      </c>
      <c r="H36" s="17">
        <f t="shared" si="10"/>
        <v>2.5145889696711183E-2</v>
      </c>
      <c r="I36" s="17" t="e">
        <f t="shared" si="10"/>
        <v>#DIV/0!</v>
      </c>
      <c r="J36" s="17">
        <f t="shared" si="10"/>
        <v>3.6743722399467646E-2</v>
      </c>
      <c r="K36" s="17">
        <f t="shared" si="10"/>
        <v>0.32435260266806176</v>
      </c>
      <c r="L36" s="17">
        <f t="shared" si="10"/>
        <v>0.12466174100763174</v>
      </c>
      <c r="M36" s="17">
        <f t="shared" si="10"/>
        <v>0.20812577418944769</v>
      </c>
      <c r="N36" s="17">
        <f t="shared" si="10"/>
        <v>0.17313295185394792</v>
      </c>
      <c r="O36" s="17">
        <f t="shared" si="10"/>
        <v>2.5857296446191298E-2</v>
      </c>
    </row>
    <row r="37" spans="3:15" hidden="1" outlineLevel="1" x14ac:dyDescent="0.2">
      <c r="D37" s="35" t="e">
        <f>D24/D9/(1-100%)</f>
        <v>#DIV/0!</v>
      </c>
      <c r="E37" s="17"/>
      <c r="F37" s="17">
        <f t="shared" ref="F37:O37" si="11">F24/F9/(1-5%)</f>
        <v>3.4103986424150197E-2</v>
      </c>
      <c r="G37" s="17">
        <f t="shared" si="11"/>
        <v>3.3968647942910088E-2</v>
      </c>
      <c r="H37" s="17">
        <f t="shared" si="11"/>
        <v>3.0683101354997473E-2</v>
      </c>
      <c r="I37" s="17" t="e">
        <f t="shared" si="11"/>
        <v>#DIV/0!</v>
      </c>
      <c r="J37" s="17">
        <f t="shared" si="11"/>
        <v>2.4999934245307085E-2</v>
      </c>
      <c r="K37" s="17">
        <f t="shared" si="11"/>
        <v>0.24835827470848193</v>
      </c>
      <c r="L37" s="17">
        <f t="shared" si="11"/>
        <v>0.12283742284654443</v>
      </c>
      <c r="M37" s="17">
        <f t="shared" si="11"/>
        <v>0.23136254386457636</v>
      </c>
      <c r="N37" s="17">
        <f t="shared" si="11"/>
        <v>0.14784072886317748</v>
      </c>
      <c r="O37" s="17">
        <f t="shared" si="11"/>
        <v>3.0531196543275862E-2</v>
      </c>
    </row>
    <row r="38" spans="3:15" hidden="1" outlineLevel="1" x14ac:dyDescent="0.2">
      <c r="D38" s="35" t="e">
        <f>D27/D13/(1-100%)</f>
        <v>#DIV/0!</v>
      </c>
      <c r="E38" s="17"/>
      <c r="F38" s="17">
        <f t="shared" ref="F38:O38" si="12">F27/F13/(1-5%)</f>
        <v>8.0330431220970361E-2</v>
      </c>
      <c r="G38" s="17">
        <f t="shared" si="12"/>
        <v>3.346968666440673E-2</v>
      </c>
      <c r="H38" s="17">
        <f t="shared" si="12"/>
        <v>2.542744780147629E-2</v>
      </c>
      <c r="I38" s="17" t="e">
        <f t="shared" si="12"/>
        <v>#DIV/0!</v>
      </c>
      <c r="J38" s="17">
        <f t="shared" si="12"/>
        <v>2.4999934245307085E-2</v>
      </c>
      <c r="K38" s="17">
        <f t="shared" si="12"/>
        <v>6.5387501339907825E-2</v>
      </c>
      <c r="L38" s="17">
        <f t="shared" si="12"/>
        <v>0.12024405972518479</v>
      </c>
      <c r="M38" s="17">
        <f t="shared" si="12"/>
        <v>0.21281897926634766</v>
      </c>
      <c r="N38" s="17">
        <f t="shared" si="12"/>
        <v>0.11886933104101327</v>
      </c>
      <c r="O38" s="17">
        <f t="shared" si="12"/>
        <v>3.021115631774577E-2</v>
      </c>
    </row>
    <row r="39" spans="3:15" hidden="1" outlineLevel="1" x14ac:dyDescent="0.2">
      <c r="D39" s="30"/>
    </row>
    <row r="40" spans="3:15" hidden="1" outlineLevel="1" x14ac:dyDescent="0.2">
      <c r="C40" s="5" t="s">
        <v>35</v>
      </c>
      <c r="D40" s="36" t="e">
        <f>1/D36</f>
        <v>#DIV/0!</v>
      </c>
      <c r="E40" s="18"/>
      <c r="F40" s="18">
        <f t="shared" ref="F40:O40" si="13">1/F36</f>
        <v>32.311243591176989</v>
      </c>
      <c r="G40" s="18">
        <f t="shared" si="13"/>
        <v>29.914983614732492</v>
      </c>
      <c r="H40" s="18">
        <f t="shared" si="13"/>
        <v>39.767930745786636</v>
      </c>
      <c r="I40" s="18" t="e">
        <f t="shared" si="13"/>
        <v>#DIV/0!</v>
      </c>
      <c r="J40" s="18">
        <f t="shared" si="13"/>
        <v>27.215533285612029</v>
      </c>
      <c r="K40" s="18">
        <f t="shared" si="13"/>
        <v>3.0830645161290318</v>
      </c>
      <c r="L40" s="18">
        <f t="shared" si="13"/>
        <v>8.0217073170731705</v>
      </c>
      <c r="M40" s="18">
        <f t="shared" si="13"/>
        <v>4.8047869318181808</v>
      </c>
      <c r="N40" s="18">
        <f t="shared" si="13"/>
        <v>5.775907990314769</v>
      </c>
      <c r="O40" s="18">
        <f t="shared" si="13"/>
        <v>38.673803430338786</v>
      </c>
    </row>
    <row r="41" spans="3:15" hidden="1" outlineLevel="1" x14ac:dyDescent="0.2">
      <c r="D41" s="36" t="e">
        <f t="shared" ref="D41:O42" si="14">1/D37</f>
        <v>#DIV/0!</v>
      </c>
      <c r="E41" s="18"/>
      <c r="F41" s="18">
        <f t="shared" si="14"/>
        <v>29.32208532935217</v>
      </c>
      <c r="G41" s="18">
        <f t="shared" si="14"/>
        <v>29.438910894559736</v>
      </c>
      <c r="H41" s="18">
        <f t="shared" si="14"/>
        <v>32.591229564123779</v>
      </c>
      <c r="I41" s="18" t="e">
        <f t="shared" si="14"/>
        <v>#DIV/0!</v>
      </c>
      <c r="J41" s="18">
        <f t="shared" si="14"/>
        <v>40.000105207785381</v>
      </c>
      <c r="K41" s="18">
        <f t="shared" si="14"/>
        <v>4.0264412416851441</v>
      </c>
      <c r="L41" s="18">
        <f t="shared" si="14"/>
        <v>8.1408415841584159</v>
      </c>
      <c r="M41" s="18">
        <f t="shared" si="14"/>
        <v>4.3222208024533604</v>
      </c>
      <c r="N41" s="18">
        <f t="shared" si="14"/>
        <v>6.7640359168241959</v>
      </c>
      <c r="O41" s="18">
        <f t="shared" si="14"/>
        <v>32.753383857149821</v>
      </c>
    </row>
    <row r="42" spans="3:15" hidden="1" outlineLevel="1" x14ac:dyDescent="0.2">
      <c r="D42" s="36" t="e">
        <f t="shared" si="14"/>
        <v>#DIV/0!</v>
      </c>
      <c r="E42" s="18"/>
      <c r="F42" s="18">
        <f t="shared" si="14"/>
        <v>12.448582496080872</v>
      </c>
      <c r="G42" s="18">
        <f t="shared" si="14"/>
        <v>29.877781947192471</v>
      </c>
      <c r="H42" s="18">
        <f t="shared" si="14"/>
        <v>39.32758048733232</v>
      </c>
      <c r="I42" s="18" t="e">
        <f t="shared" si="14"/>
        <v>#DIV/0!</v>
      </c>
      <c r="J42" s="18">
        <f t="shared" si="14"/>
        <v>40.000105207785381</v>
      </c>
      <c r="K42" s="18">
        <f t="shared" si="14"/>
        <v>15.293442622950817</v>
      </c>
      <c r="L42" s="18">
        <f t="shared" si="14"/>
        <v>8.3164191419141904</v>
      </c>
      <c r="M42" s="18">
        <f t="shared" si="14"/>
        <v>4.6988290398126473</v>
      </c>
      <c r="N42" s="18">
        <f t="shared" si="14"/>
        <v>8.4125988700564971</v>
      </c>
      <c r="O42" s="18">
        <f t="shared" si="14"/>
        <v>33.100355030522572</v>
      </c>
    </row>
    <row r="43" spans="3:15" hidden="1" outlineLevel="1" x14ac:dyDescent="0.2">
      <c r="D43" s="30"/>
    </row>
    <row r="44" spans="3:15" hidden="1" outlineLevel="1" x14ac:dyDescent="0.2">
      <c r="C44" s="5" t="s">
        <v>36</v>
      </c>
      <c r="D44" s="36">
        <f>D32/D9</f>
        <v>1</v>
      </c>
      <c r="E44" s="18"/>
      <c r="F44" s="18">
        <f t="shared" ref="F44:O44" si="15">F32/F9</f>
        <v>0.94967097091404484</v>
      </c>
      <c r="G44" s="18">
        <f t="shared" si="15"/>
        <v>0.93722759845481229</v>
      </c>
      <c r="H44" s="18">
        <f t="shared" si="15"/>
        <v>0.97062920538275632</v>
      </c>
      <c r="I44" s="18" t="e">
        <f t="shared" si="15"/>
        <v>#DIV/0!</v>
      </c>
      <c r="J44" s="18">
        <f t="shared" si="15"/>
        <v>0.97161435661663165</v>
      </c>
      <c r="K44" s="18">
        <f t="shared" si="15"/>
        <v>0.37169761967041587</v>
      </c>
      <c r="L44" s="18">
        <f t="shared" si="15"/>
        <v>0.76583862892355081</v>
      </c>
      <c r="M44" s="18">
        <f t="shared" si="15"/>
        <v>0.57664438577767785</v>
      </c>
      <c r="N44" s="18">
        <f t="shared" si="15"/>
        <v>0.70330545599362804</v>
      </c>
      <c r="O44" s="18">
        <f t="shared" si="15"/>
        <v>0.96856381648553558</v>
      </c>
    </row>
    <row r="45" spans="3:15" hidden="1" outlineLevel="1" x14ac:dyDescent="0.2">
      <c r="D45" s="36">
        <f>D33/D13</f>
        <v>1</v>
      </c>
      <c r="E45" s="18"/>
      <c r="F45" s="18">
        <f t="shared" ref="F45:O45" si="16">F33/F13</f>
        <v>0.94439264180918792</v>
      </c>
      <c r="G45" s="18">
        <f t="shared" si="16"/>
        <v>0.90886440894901377</v>
      </c>
      <c r="H45" s="18">
        <f t="shared" si="16"/>
        <v>0.96343418635071987</v>
      </c>
      <c r="I45" s="18" t="e">
        <f t="shared" si="16"/>
        <v>#DIV/0!</v>
      </c>
      <c r="J45" s="18">
        <f t="shared" si="16"/>
        <v>0.94786441908358998</v>
      </c>
      <c r="K45" s="18">
        <f t="shared" si="16"/>
        <v>0.15885947046843166</v>
      </c>
      <c r="L45" s="18">
        <f t="shared" si="16"/>
        <v>0.65655042412818099</v>
      </c>
      <c r="M45" s="18">
        <f t="shared" si="16"/>
        <v>0.3976220538720539</v>
      </c>
      <c r="N45" s="18">
        <f t="shared" si="16"/>
        <v>0.59193568967717236</v>
      </c>
      <c r="O45" s="18">
        <f t="shared" si="16"/>
        <v>0.96118744914339227</v>
      </c>
    </row>
    <row r="46" spans="3:15" hidden="1" outlineLevel="1" x14ac:dyDescent="0.2">
      <c r="D46" s="36">
        <f>D34/D17</f>
        <v>1</v>
      </c>
      <c r="E46" s="18"/>
      <c r="F46" s="18">
        <f t="shared" ref="F46:O46" si="17">F34/F17</f>
        <v>0.93173836919337583</v>
      </c>
      <c r="G46" s="18">
        <f t="shared" si="17"/>
        <v>0.88192216771042464</v>
      </c>
      <c r="H46" s="18">
        <f t="shared" si="17"/>
        <v>0.96005312839100299</v>
      </c>
      <c r="I46" s="18">
        <f t="shared" si="17"/>
        <v>0.79999999999999993</v>
      </c>
      <c r="J46" s="18">
        <f t="shared" si="17"/>
        <v>0.92411448155054832</v>
      </c>
      <c r="K46" s="18">
        <f t="shared" si="17"/>
        <v>0.11033099297893678</v>
      </c>
      <c r="L46" s="18">
        <f t="shared" si="17"/>
        <v>0.58896224818012521</v>
      </c>
      <c r="M46" s="18">
        <f t="shared" si="17"/>
        <v>0.19662744274007146</v>
      </c>
      <c r="N46" s="18">
        <f t="shared" si="17"/>
        <v>0.47661662817551964</v>
      </c>
      <c r="O46" s="18">
        <f t="shared" si="17"/>
        <v>0.95600837989276111</v>
      </c>
    </row>
    <row r="47" spans="3:15" hidden="1" outlineLevel="1" x14ac:dyDescent="0.2">
      <c r="D47" s="30"/>
    </row>
    <row r="48" spans="3:15" hidden="1" outlineLevel="1" x14ac:dyDescent="0.2">
      <c r="D48" s="30"/>
    </row>
    <row r="49" spans="1:26" hidden="1" outlineLevel="1" x14ac:dyDescent="0.2">
      <c r="D49" s="30"/>
    </row>
    <row r="50" spans="1:26" outlineLevel="1" x14ac:dyDescent="0.2">
      <c r="A50" s="5" t="str">
        <f>Assumptions!A1</f>
        <v>Plant Year</v>
      </c>
      <c r="D50" s="5">
        <f>Assumptions!I1</f>
        <v>4</v>
      </c>
      <c r="E50" s="5">
        <f>Assumptions!J1</f>
        <v>5</v>
      </c>
      <c r="F50" s="5">
        <f>Assumptions!K1</f>
        <v>6</v>
      </c>
      <c r="G50" s="30">
        <f>Assumptions!L1</f>
        <v>7</v>
      </c>
      <c r="H50" s="5">
        <f>Assumptions!M1</f>
        <v>8</v>
      </c>
      <c r="I50" s="5">
        <f>Assumptions!N1</f>
        <v>9</v>
      </c>
      <c r="J50" s="5">
        <f>Assumptions!O1</f>
        <v>10</v>
      </c>
      <c r="K50" s="5">
        <f>Assumptions!P1</f>
        <v>11</v>
      </c>
      <c r="L50" s="5">
        <f>Assumptions!Q1</f>
        <v>12</v>
      </c>
      <c r="M50" s="5">
        <f>Assumptions!R1</f>
        <v>13</v>
      </c>
      <c r="N50" s="5">
        <f>Assumptions!S1</f>
        <v>14</v>
      </c>
      <c r="O50" s="5">
        <f>Assumptions!T1</f>
        <v>15</v>
      </c>
      <c r="P50" s="5">
        <f>Assumptions!U1</f>
        <v>16</v>
      </c>
      <c r="Q50" s="5">
        <f>Assumptions!V1</f>
        <v>17</v>
      </c>
      <c r="R50" s="5">
        <f>Assumptions!W1</f>
        <v>18</v>
      </c>
      <c r="S50" s="5">
        <f>Assumptions!X1</f>
        <v>19</v>
      </c>
      <c r="T50" s="5">
        <f>Assumptions!Y1</f>
        <v>20</v>
      </c>
      <c r="U50" s="5">
        <f>Assumptions!Z1</f>
        <v>21</v>
      </c>
      <c r="V50" s="5">
        <f>Assumptions!AA1</f>
        <v>22</v>
      </c>
      <c r="W50" s="5">
        <f>Assumptions!AB1</f>
        <v>23</v>
      </c>
      <c r="X50" s="5">
        <f>Assumptions!AC1</f>
        <v>24</v>
      </c>
      <c r="Y50" s="5">
        <f>Assumptions!AD1</f>
        <v>25</v>
      </c>
      <c r="Z50" s="5">
        <f>Assumptions!AE1</f>
        <v>26</v>
      </c>
    </row>
    <row r="51" spans="1:26" outlineLevel="1" x14ac:dyDescent="0.2">
      <c r="A51" s="5" t="s">
        <v>37</v>
      </c>
      <c r="D51" s="5">
        <f>Assumptions!I3</f>
        <v>365</v>
      </c>
      <c r="E51" s="5">
        <f>Assumptions!J3</f>
        <v>366</v>
      </c>
      <c r="F51" s="5">
        <f>Assumptions!K3</f>
        <v>365</v>
      </c>
      <c r="G51" s="30">
        <f>Assumptions!L3</f>
        <v>365</v>
      </c>
      <c r="H51" s="5">
        <f>Assumptions!M3</f>
        <v>365</v>
      </c>
      <c r="I51" s="5">
        <f>Assumptions!N3</f>
        <v>366</v>
      </c>
      <c r="J51" s="5">
        <f>Assumptions!O3</f>
        <v>365</v>
      </c>
      <c r="K51" s="5">
        <f>Assumptions!P3</f>
        <v>365</v>
      </c>
      <c r="L51" s="5">
        <f>Assumptions!Q3</f>
        <v>365</v>
      </c>
      <c r="M51" s="5">
        <f>Assumptions!R3</f>
        <v>366</v>
      </c>
      <c r="N51" s="5">
        <f>Assumptions!S3</f>
        <v>365</v>
      </c>
      <c r="O51" s="5">
        <f>Assumptions!T3</f>
        <v>365</v>
      </c>
      <c r="P51" s="5">
        <f>Assumptions!U3</f>
        <v>365</v>
      </c>
      <c r="Q51" s="5">
        <f>Assumptions!V3</f>
        <v>366</v>
      </c>
      <c r="R51" s="5">
        <f>Assumptions!W3</f>
        <v>365</v>
      </c>
      <c r="S51" s="5">
        <f>Assumptions!X3</f>
        <v>365</v>
      </c>
      <c r="T51" s="5">
        <f>Assumptions!Y3</f>
        <v>365</v>
      </c>
      <c r="U51" s="5">
        <f>Assumptions!Z3</f>
        <v>366</v>
      </c>
      <c r="V51" s="5">
        <f>Assumptions!AA3</f>
        <v>365</v>
      </c>
      <c r="W51" s="5">
        <f>Assumptions!AB3</f>
        <v>365</v>
      </c>
      <c r="X51" s="5">
        <f>Assumptions!AC3</f>
        <v>365</v>
      </c>
      <c r="Y51" s="5">
        <f>Assumptions!AD3</f>
        <v>366</v>
      </c>
      <c r="Z51" s="5">
        <f>Assumptions!AE3</f>
        <v>213</v>
      </c>
    </row>
    <row r="52" spans="1:26" outlineLevel="1" x14ac:dyDescent="0.2">
      <c r="A52" s="5" t="s">
        <v>38</v>
      </c>
      <c r="B52" s="5">
        <f>SUM(D51:V51)</f>
        <v>6940</v>
      </c>
      <c r="G52" s="30"/>
    </row>
    <row r="53" spans="1:26" x14ac:dyDescent="0.2">
      <c r="A53" s="19" t="s">
        <v>39</v>
      </c>
      <c r="B53" s="19" t="s">
        <v>40</v>
      </c>
      <c r="D53" s="42">
        <f>Assumptions!I4</f>
        <v>43555</v>
      </c>
      <c r="E53" s="24">
        <f>Assumptions!J4</f>
        <v>43921</v>
      </c>
      <c r="F53" s="24">
        <f>Assumptions!K4</f>
        <v>44286</v>
      </c>
      <c r="G53" s="24">
        <f>Assumptions!L4</f>
        <v>44651</v>
      </c>
      <c r="H53" s="24">
        <f>Assumptions!M4</f>
        <v>45016</v>
      </c>
      <c r="I53" s="24">
        <f>Assumptions!N4</f>
        <v>45382</v>
      </c>
      <c r="J53" s="24">
        <f>Assumptions!O4</f>
        <v>45747</v>
      </c>
      <c r="K53" s="24">
        <f>Assumptions!P4</f>
        <v>46112</v>
      </c>
      <c r="L53" s="24">
        <f>Assumptions!Q4</f>
        <v>46477</v>
      </c>
      <c r="M53" s="24">
        <f>Assumptions!R4</f>
        <v>46843</v>
      </c>
      <c r="N53" s="24">
        <f>Assumptions!S4</f>
        <v>47208</v>
      </c>
      <c r="O53" s="24">
        <f>Assumptions!T4</f>
        <v>47573</v>
      </c>
      <c r="P53" s="24">
        <f>Assumptions!U4</f>
        <v>47938</v>
      </c>
      <c r="Q53" s="24">
        <f>Assumptions!V4</f>
        <v>48304</v>
      </c>
      <c r="R53" s="24">
        <f>Assumptions!W4</f>
        <v>48669</v>
      </c>
      <c r="S53" s="24">
        <f>Assumptions!X4</f>
        <v>49034</v>
      </c>
      <c r="T53" s="24">
        <f>Assumptions!Y4</f>
        <v>49399</v>
      </c>
      <c r="U53" s="24">
        <f>Assumptions!Z4</f>
        <v>49765</v>
      </c>
      <c r="V53" s="24">
        <f>Assumptions!AA4</f>
        <v>50130</v>
      </c>
      <c r="W53" s="24">
        <f>Assumptions!AB4</f>
        <v>50495</v>
      </c>
      <c r="X53" s="24">
        <f>Assumptions!AC4</f>
        <v>50860</v>
      </c>
      <c r="Y53" s="24">
        <f>Assumptions!AD4</f>
        <v>51226</v>
      </c>
      <c r="Z53" s="24">
        <f>Assumptions!AE4</f>
        <v>51591</v>
      </c>
    </row>
    <row r="54" spans="1:26" x14ac:dyDescent="0.2">
      <c r="A54" s="19" t="s">
        <v>54</v>
      </c>
      <c r="C54" s="28" t="s">
        <v>41</v>
      </c>
      <c r="D54" s="30"/>
      <c r="G54" s="30"/>
    </row>
    <row r="55" spans="1:26" x14ac:dyDescent="0.2">
      <c r="C55" s="5" t="s">
        <v>42</v>
      </c>
      <c r="D55" s="37">
        <v>269.20999999999998</v>
      </c>
      <c r="E55" s="25">
        <f>D55+D56-D57</f>
        <v>269.20999999999998</v>
      </c>
      <c r="F55" s="25">
        <f t="shared" ref="F55:V55" si="18">E55+E56-E57</f>
        <v>269.20999999999998</v>
      </c>
      <c r="G55" s="37">
        <f t="shared" si="18"/>
        <v>269.20999999999998</v>
      </c>
      <c r="H55" s="25">
        <f t="shared" si="18"/>
        <v>269.20999999999998</v>
      </c>
      <c r="I55" s="25">
        <f t="shared" si="18"/>
        <v>269.20999999999998</v>
      </c>
      <c r="J55" s="25">
        <f t="shared" si="18"/>
        <v>269.20999999999998</v>
      </c>
      <c r="K55" s="25">
        <f t="shared" si="18"/>
        <v>269.20999999999998</v>
      </c>
      <c r="L55" s="25">
        <f t="shared" si="18"/>
        <v>269.20999999999998</v>
      </c>
      <c r="M55" s="25">
        <f t="shared" si="18"/>
        <v>269.20999999999998</v>
      </c>
      <c r="N55" s="25">
        <f t="shared" si="18"/>
        <v>269.20999999999998</v>
      </c>
      <c r="O55" s="25">
        <f t="shared" si="18"/>
        <v>269.20999999999998</v>
      </c>
      <c r="P55" s="25">
        <f t="shared" si="18"/>
        <v>269.20999999999998</v>
      </c>
      <c r="Q55" s="25">
        <f t="shared" si="18"/>
        <v>269.20999999999998</v>
      </c>
      <c r="R55" s="25">
        <f t="shared" si="18"/>
        <v>269.20999999999998</v>
      </c>
      <c r="S55" s="25">
        <f t="shared" si="18"/>
        <v>269.20999999999998</v>
      </c>
      <c r="T55" s="25">
        <f t="shared" si="18"/>
        <v>269.20999999999998</v>
      </c>
      <c r="U55" s="25">
        <f t="shared" si="18"/>
        <v>269.20999999999998</v>
      </c>
      <c r="V55" s="25">
        <f t="shared" si="18"/>
        <v>269.20999999999998</v>
      </c>
      <c r="W55" s="25">
        <f t="shared" ref="W55" si="19">V55+V56-V57</f>
        <v>269.20999999999998</v>
      </c>
      <c r="X55" s="25">
        <f t="shared" ref="X55" si="20">W55+W56-W57</f>
        <v>269.20999999999998</v>
      </c>
      <c r="Y55" s="25">
        <f t="shared" ref="Y55:Z55" si="21">X55+X56-X57</f>
        <v>269.20999999999998</v>
      </c>
      <c r="Z55" s="25">
        <f t="shared" si="21"/>
        <v>269.20999999999998</v>
      </c>
    </row>
    <row r="56" spans="1:26" x14ac:dyDescent="0.2">
      <c r="C56" s="5" t="s">
        <v>43</v>
      </c>
      <c r="D56" s="36"/>
      <c r="E56" s="18"/>
      <c r="F56" s="18"/>
      <c r="G56" s="36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2">
      <c r="C57" s="5" t="s">
        <v>44</v>
      </c>
      <c r="D57" s="36"/>
      <c r="E57" s="18"/>
      <c r="F57" s="18"/>
      <c r="G57" s="36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2">
      <c r="C58" s="5" t="s">
        <v>34</v>
      </c>
      <c r="D58" s="36"/>
      <c r="E58" s="18"/>
      <c r="F58" s="18"/>
      <c r="G58" s="36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2">
      <c r="C59" s="5" t="s">
        <v>45</v>
      </c>
      <c r="D59" s="36"/>
      <c r="E59" s="18"/>
      <c r="F59" s="18"/>
      <c r="G59" s="36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>
        <f t="shared" ref="Z59" si="22">Z55</f>
        <v>269.20999999999998</v>
      </c>
    </row>
    <row r="60" spans="1:26" x14ac:dyDescent="0.2">
      <c r="C60" s="5" t="s">
        <v>46</v>
      </c>
      <c r="D60" s="38"/>
      <c r="E60" s="26"/>
      <c r="F60" s="26"/>
      <c r="G60" s="38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>
        <f t="shared" ref="Z60" si="23">Z58+Y60+Z59-Z57</f>
        <v>269.20999999999998</v>
      </c>
    </row>
    <row r="61" spans="1:26" x14ac:dyDescent="0.2">
      <c r="C61" s="5" t="s">
        <v>47</v>
      </c>
      <c r="D61" s="39">
        <f>D55</f>
        <v>269.20999999999998</v>
      </c>
      <c r="E61" s="27">
        <f>E55</f>
        <v>269.20999999999998</v>
      </c>
      <c r="F61" s="27">
        <f t="shared" ref="F61:U61" si="24">F55</f>
        <v>269.20999999999998</v>
      </c>
      <c r="G61" s="39">
        <f t="shared" si="24"/>
        <v>269.20999999999998</v>
      </c>
      <c r="H61" s="27">
        <f t="shared" si="24"/>
        <v>269.20999999999998</v>
      </c>
      <c r="I61" s="27">
        <f t="shared" si="24"/>
        <v>269.20999999999998</v>
      </c>
      <c r="J61" s="27">
        <f t="shared" si="24"/>
        <v>269.20999999999998</v>
      </c>
      <c r="K61" s="27">
        <f t="shared" si="24"/>
        <v>269.20999999999998</v>
      </c>
      <c r="L61" s="27">
        <f t="shared" si="24"/>
        <v>269.20999999999998</v>
      </c>
      <c r="M61" s="27">
        <f t="shared" si="24"/>
        <v>269.20999999999998</v>
      </c>
      <c r="N61" s="27">
        <f t="shared" si="24"/>
        <v>269.20999999999998</v>
      </c>
      <c r="O61" s="27">
        <f t="shared" si="24"/>
        <v>269.20999999999998</v>
      </c>
      <c r="P61" s="27">
        <f t="shared" si="24"/>
        <v>269.20999999999998</v>
      </c>
      <c r="Q61" s="27">
        <f t="shared" si="24"/>
        <v>269.20999999999998</v>
      </c>
      <c r="R61" s="27">
        <f t="shared" si="24"/>
        <v>269.20999999999998</v>
      </c>
      <c r="S61" s="27">
        <f t="shared" si="24"/>
        <v>269.20999999999998</v>
      </c>
      <c r="T61" s="27">
        <f t="shared" si="24"/>
        <v>269.20999999999998</v>
      </c>
      <c r="U61" s="27">
        <f t="shared" si="24"/>
        <v>269.20999999999998</v>
      </c>
      <c r="V61" s="27">
        <f>V55+V56-V60-V57</f>
        <v>269.20999999999998</v>
      </c>
      <c r="W61" s="27">
        <f t="shared" ref="W61:Z61" si="25">W55+W56-W60-W57</f>
        <v>269.20999999999998</v>
      </c>
      <c r="X61" s="27">
        <f t="shared" si="25"/>
        <v>269.20999999999998</v>
      </c>
      <c r="Y61" s="27">
        <f t="shared" si="25"/>
        <v>269.20999999999998</v>
      </c>
      <c r="Z61" s="27">
        <f t="shared" si="25"/>
        <v>0</v>
      </c>
    </row>
    <row r="62" spans="1:26" x14ac:dyDescent="0.2">
      <c r="D62" s="40"/>
      <c r="E62" s="20"/>
      <c r="F62" s="20"/>
      <c r="G62" s="4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x14ac:dyDescent="0.2">
      <c r="C63" s="28" t="s">
        <v>48</v>
      </c>
      <c r="D63" s="30"/>
      <c r="G63" s="30"/>
    </row>
    <row r="64" spans="1:26" x14ac:dyDescent="0.2">
      <c r="A64" s="21">
        <v>0.05</v>
      </c>
      <c r="C64" s="5" t="s">
        <v>42</v>
      </c>
      <c r="D64" s="37">
        <v>5733.11</v>
      </c>
      <c r="E64" s="25">
        <f>D64+D65-D66</f>
        <v>5733.11</v>
      </c>
      <c r="F64" s="25">
        <f t="shared" ref="F64:V64" si="26">E64+E65-E66</f>
        <v>5733.11</v>
      </c>
      <c r="G64" s="37">
        <f t="shared" si="26"/>
        <v>5733.11</v>
      </c>
      <c r="H64" s="25">
        <f t="shared" si="26"/>
        <v>5733.11</v>
      </c>
      <c r="I64" s="25">
        <f t="shared" si="26"/>
        <v>5733.11</v>
      </c>
      <c r="J64" s="25">
        <f t="shared" si="26"/>
        <v>5733.11</v>
      </c>
      <c r="K64" s="25">
        <f t="shared" si="26"/>
        <v>5733.11</v>
      </c>
      <c r="L64" s="25">
        <f t="shared" si="26"/>
        <v>5733.11</v>
      </c>
      <c r="M64" s="25">
        <f t="shared" si="26"/>
        <v>5733.11</v>
      </c>
      <c r="N64" s="25">
        <f t="shared" si="26"/>
        <v>5733.11</v>
      </c>
      <c r="O64" s="25">
        <f t="shared" si="26"/>
        <v>5733.11</v>
      </c>
      <c r="P64" s="25">
        <f t="shared" si="26"/>
        <v>5733.11</v>
      </c>
      <c r="Q64" s="25">
        <f t="shared" si="26"/>
        <v>5733.11</v>
      </c>
      <c r="R64" s="25">
        <f t="shared" si="26"/>
        <v>5733.11</v>
      </c>
      <c r="S64" s="25">
        <f t="shared" si="26"/>
        <v>5733.11</v>
      </c>
      <c r="T64" s="25">
        <f t="shared" si="26"/>
        <v>5733.11</v>
      </c>
      <c r="U64" s="25">
        <f t="shared" si="26"/>
        <v>5733.11</v>
      </c>
      <c r="V64" s="25">
        <f t="shared" si="26"/>
        <v>5733.11</v>
      </c>
      <c r="W64" s="25">
        <f t="shared" ref="W64" si="27">V64+V65-V66</f>
        <v>5733.11</v>
      </c>
      <c r="X64" s="25">
        <f t="shared" ref="X64" si="28">W64+W65-W66</f>
        <v>5733.11</v>
      </c>
      <c r="Y64" s="25">
        <f t="shared" ref="Y64:Z64" si="29">X64+X65-X66</f>
        <v>0</v>
      </c>
      <c r="Z64" s="25">
        <f t="shared" si="29"/>
        <v>0</v>
      </c>
    </row>
    <row r="65" spans="1:26" x14ac:dyDescent="0.2">
      <c r="B65" s="5">
        <v>22</v>
      </c>
      <c r="C65" s="5" t="s">
        <v>43</v>
      </c>
      <c r="D65" s="36"/>
      <c r="E65" s="18"/>
      <c r="F65" s="18"/>
      <c r="G65" s="36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2">
      <c r="A66" s="21"/>
      <c r="B66" s="17">
        <f>1/B65</f>
        <v>4.5454545454545456E-2</v>
      </c>
      <c r="C66" s="5" t="s">
        <v>44</v>
      </c>
      <c r="D66" s="36"/>
      <c r="E66" s="18"/>
      <c r="F66" s="18"/>
      <c r="G66" s="36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>
        <f>X64</f>
        <v>5733.11</v>
      </c>
      <c r="Y66" s="18">
        <f t="shared" ref="Y66" si="30">Y64</f>
        <v>0</v>
      </c>
      <c r="Z66" s="18">
        <f t="shared" ref="Z66" si="31">Z64</f>
        <v>0</v>
      </c>
    </row>
    <row r="67" spans="1:26" x14ac:dyDescent="0.2">
      <c r="B67" s="22"/>
      <c r="C67" s="5" t="s">
        <v>34</v>
      </c>
      <c r="D67" s="36">
        <f>247.67-14.47</f>
        <v>233.2</v>
      </c>
      <c r="E67" s="18">
        <f>(E64*(1-$A$64))*$B$66</f>
        <v>247.56611363636364</v>
      </c>
      <c r="F67" s="18">
        <f t="shared" ref="F67" si="32">(F64*(1-$A$64))*$B$66</f>
        <v>247.56611363636364</v>
      </c>
      <c r="G67" s="36">
        <v>228.68</v>
      </c>
      <c r="H67" s="18">
        <f>G64*(1-$A$64)*$B$66</f>
        <v>247.56611363636364</v>
      </c>
      <c r="I67" s="18">
        <f t="shared" ref="I67:X67" si="33">H64*(1-$A$64)*$B$66</f>
        <v>247.56611363636364</v>
      </c>
      <c r="J67" s="18">
        <f t="shared" si="33"/>
        <v>247.56611363636364</v>
      </c>
      <c r="K67" s="18">
        <f t="shared" si="33"/>
        <v>247.56611363636364</v>
      </c>
      <c r="L67" s="18">
        <f t="shared" si="33"/>
        <v>247.56611363636364</v>
      </c>
      <c r="M67" s="18">
        <f t="shared" si="33"/>
        <v>247.56611363636364</v>
      </c>
      <c r="N67" s="18">
        <f t="shared" si="33"/>
        <v>247.56611363636364</v>
      </c>
      <c r="O67" s="18">
        <f t="shared" si="33"/>
        <v>247.56611363636364</v>
      </c>
      <c r="P67" s="18">
        <f t="shared" si="33"/>
        <v>247.56611363636364</v>
      </c>
      <c r="Q67" s="18">
        <f t="shared" si="33"/>
        <v>247.56611363636364</v>
      </c>
      <c r="R67" s="18">
        <f t="shared" si="33"/>
        <v>247.56611363636364</v>
      </c>
      <c r="S67" s="18">
        <f t="shared" si="33"/>
        <v>247.56611363636364</v>
      </c>
      <c r="T67" s="18">
        <f t="shared" si="33"/>
        <v>247.56611363636364</v>
      </c>
      <c r="U67" s="18">
        <f t="shared" si="33"/>
        <v>247.56611363636364</v>
      </c>
      <c r="V67" s="18">
        <f t="shared" si="33"/>
        <v>247.56611363636364</v>
      </c>
      <c r="W67" s="18">
        <f t="shared" si="33"/>
        <v>247.56611363636364</v>
      </c>
      <c r="X67" s="18">
        <f t="shared" si="33"/>
        <v>247.56611363636364</v>
      </c>
      <c r="Y67" s="18">
        <f>X70</f>
        <v>0</v>
      </c>
      <c r="Z67" s="18">
        <f>Y70</f>
        <v>0</v>
      </c>
    </row>
    <row r="68" spans="1:26" x14ac:dyDescent="0.2">
      <c r="C68" s="5" t="s">
        <v>45</v>
      </c>
      <c r="D68" s="36"/>
      <c r="E68" s="18"/>
      <c r="F68" s="18"/>
      <c r="G68" s="36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>
        <f>W70-X67</f>
        <v>-46.753931818181059</v>
      </c>
      <c r="Y68" s="18">
        <f t="shared" ref="Y68:Z68" si="34">X70-Y67</f>
        <v>0</v>
      </c>
      <c r="Z68" s="18">
        <f t="shared" si="34"/>
        <v>0</v>
      </c>
    </row>
    <row r="69" spans="1:26" x14ac:dyDescent="0.2">
      <c r="C69" s="5" t="s">
        <v>46</v>
      </c>
      <c r="D69" s="36">
        <v>846.54</v>
      </c>
      <c r="E69" s="18">
        <f>D69+E67+E68-E66</f>
        <v>1094.1061136363637</v>
      </c>
      <c r="F69" s="26">
        <f>F67+E69+F68</f>
        <v>1341.6722272727275</v>
      </c>
      <c r="G69" s="38">
        <v>1571.24</v>
      </c>
      <c r="H69" s="26">
        <f>G69+H67+H68-H66</f>
        <v>1818.8061136363635</v>
      </c>
      <c r="I69" s="26">
        <f t="shared" ref="I69:X69" si="35">H69+I67+I68-I66</f>
        <v>2066.3722272727273</v>
      </c>
      <c r="J69" s="26">
        <f t="shared" si="35"/>
        <v>2313.938340909091</v>
      </c>
      <c r="K69" s="26">
        <f t="shared" si="35"/>
        <v>2561.5044545454548</v>
      </c>
      <c r="L69" s="26">
        <f t="shared" si="35"/>
        <v>2809.0705681818185</v>
      </c>
      <c r="M69" s="26">
        <f t="shared" si="35"/>
        <v>3056.6366818181823</v>
      </c>
      <c r="N69" s="26">
        <f t="shared" si="35"/>
        <v>3304.202795454546</v>
      </c>
      <c r="O69" s="26">
        <f t="shared" si="35"/>
        <v>3551.7689090909098</v>
      </c>
      <c r="P69" s="26">
        <f t="shared" si="35"/>
        <v>3799.3350227272736</v>
      </c>
      <c r="Q69" s="26">
        <f t="shared" si="35"/>
        <v>4046.9011363636373</v>
      </c>
      <c r="R69" s="26">
        <f t="shared" si="35"/>
        <v>4294.4672500000006</v>
      </c>
      <c r="S69" s="26">
        <f t="shared" si="35"/>
        <v>4542.0333636363639</v>
      </c>
      <c r="T69" s="26">
        <f t="shared" si="35"/>
        <v>4789.5994772727272</v>
      </c>
      <c r="U69" s="26">
        <f t="shared" si="35"/>
        <v>5037.1655909090905</v>
      </c>
      <c r="V69" s="26">
        <f t="shared" si="35"/>
        <v>5284.7317045454538</v>
      </c>
      <c r="W69" s="26">
        <f t="shared" si="35"/>
        <v>5532.2978181818171</v>
      </c>
      <c r="X69" s="26">
        <f t="shared" si="35"/>
        <v>0</v>
      </c>
      <c r="Y69" s="26">
        <f t="shared" ref="Y69:Z69" si="36">Y67+X69+Y68-Y66</f>
        <v>0</v>
      </c>
      <c r="Z69" s="26">
        <f t="shared" si="36"/>
        <v>0</v>
      </c>
    </row>
    <row r="70" spans="1:26" x14ac:dyDescent="0.2">
      <c r="C70" s="5" t="s">
        <v>47</v>
      </c>
      <c r="D70" s="39">
        <f>D64+D65-D69-D66</f>
        <v>4886.57</v>
      </c>
      <c r="E70" s="27">
        <f>E64+E65-E69-E66</f>
        <v>4639.0038863636364</v>
      </c>
      <c r="F70" s="27">
        <f t="shared" ref="F70" si="37">F64+F65-F69+F66</f>
        <v>4391.4377727272722</v>
      </c>
      <c r="G70" s="39">
        <f>G64+G65-G66-G69</f>
        <v>4161.87</v>
      </c>
      <c r="H70" s="27">
        <f>H64+H65-H69-H66</f>
        <v>3914.3038863636361</v>
      </c>
      <c r="I70" s="27">
        <f t="shared" ref="I70:X70" si="38">I64+I65-I69-I66</f>
        <v>3666.7377727272724</v>
      </c>
      <c r="J70" s="27">
        <f t="shared" si="38"/>
        <v>3419.1716590909086</v>
      </c>
      <c r="K70" s="27">
        <f t="shared" si="38"/>
        <v>3171.6055454545449</v>
      </c>
      <c r="L70" s="27">
        <f t="shared" si="38"/>
        <v>2924.0394318181811</v>
      </c>
      <c r="M70" s="27">
        <f t="shared" si="38"/>
        <v>2676.4733181818174</v>
      </c>
      <c r="N70" s="27">
        <f t="shared" si="38"/>
        <v>2428.9072045454536</v>
      </c>
      <c r="O70" s="27">
        <f t="shared" si="38"/>
        <v>2181.3410909090899</v>
      </c>
      <c r="P70" s="27">
        <f t="shared" si="38"/>
        <v>1933.7749772727261</v>
      </c>
      <c r="Q70" s="27">
        <f t="shared" si="38"/>
        <v>1686.2088636363624</v>
      </c>
      <c r="R70" s="27">
        <f t="shared" si="38"/>
        <v>1438.6427499999991</v>
      </c>
      <c r="S70" s="27">
        <f t="shared" si="38"/>
        <v>1191.0766363636358</v>
      </c>
      <c r="T70" s="27">
        <f t="shared" si="38"/>
        <v>943.51052272727247</v>
      </c>
      <c r="U70" s="27">
        <f t="shared" si="38"/>
        <v>695.94440909090918</v>
      </c>
      <c r="V70" s="27">
        <f t="shared" si="38"/>
        <v>448.37829545454588</v>
      </c>
      <c r="W70" s="27">
        <f t="shared" si="38"/>
        <v>200.81218181818258</v>
      </c>
      <c r="X70" s="27">
        <f t="shared" si="38"/>
        <v>0</v>
      </c>
      <c r="Y70" s="27">
        <f t="shared" ref="Y70" si="39">Y64+Y65-Y69-Y66</f>
        <v>0</v>
      </c>
      <c r="Z70" s="27">
        <f t="shared" ref="Z70" si="40">Z64+Z65-Z69-Z66</f>
        <v>0</v>
      </c>
    </row>
    <row r="71" spans="1:26" x14ac:dyDescent="0.2">
      <c r="D71" s="40">
        <f>IF(D69=0,(D68-D66)/D64,D70/D64)</f>
        <v>0.8523419226214044</v>
      </c>
      <c r="E71" s="20">
        <f>IF(E69=0,(E68-E66)/E64,E70/E64)</f>
        <v>0.8091601044395863</v>
      </c>
      <c r="F71" s="20">
        <f t="shared" ref="F71:V71" si="41">IF(F69=0,(F68-F66)/F64,F70/F64)</f>
        <v>0.76597828625776798</v>
      </c>
      <c r="G71" s="40">
        <f t="shared" si="41"/>
        <v>0.7259358358726764</v>
      </c>
      <c r="H71" s="20">
        <f t="shared" si="41"/>
        <v>0.68275401769085831</v>
      </c>
      <c r="I71" s="20">
        <f t="shared" si="41"/>
        <v>0.6395721995090401</v>
      </c>
      <c r="J71" s="20">
        <f t="shared" si="41"/>
        <v>0.59639038132722189</v>
      </c>
      <c r="K71" s="20">
        <f t="shared" si="41"/>
        <v>0.55320856314540368</v>
      </c>
      <c r="L71" s="20">
        <f t="shared" si="41"/>
        <v>0.51002674496358547</v>
      </c>
      <c r="M71" s="20">
        <f t="shared" si="41"/>
        <v>0.46684492678176726</v>
      </c>
      <c r="N71" s="20">
        <f t="shared" si="41"/>
        <v>0.42366310859994905</v>
      </c>
      <c r="O71" s="20">
        <f t="shared" si="41"/>
        <v>0.38048129041813084</v>
      </c>
      <c r="P71" s="20">
        <f t="shared" si="41"/>
        <v>0.33729947223631263</v>
      </c>
      <c r="Q71" s="20">
        <f t="shared" si="41"/>
        <v>0.29411765405449442</v>
      </c>
      <c r="R71" s="20">
        <f t="shared" si="41"/>
        <v>0.25093583587267626</v>
      </c>
      <c r="S71" s="20">
        <f t="shared" si="41"/>
        <v>0.20775401769085816</v>
      </c>
      <c r="T71" s="20">
        <f t="shared" si="41"/>
        <v>0.16457219950904003</v>
      </c>
      <c r="U71" s="20">
        <f t="shared" si="41"/>
        <v>0.12139038132722191</v>
      </c>
      <c r="V71" s="20">
        <f t="shared" si="41"/>
        <v>7.8208563145403781E-2</v>
      </c>
      <c r="W71" s="20">
        <f t="shared" ref="W71:Y71" si="42">IF(W69=0,(W68-W66)/W64,W70/W64)</f>
        <v>3.5026744963585661E-2</v>
      </c>
      <c r="X71" s="20">
        <f t="shared" si="42"/>
        <v>-1.0081550732182325</v>
      </c>
      <c r="Y71" s="20" t="e">
        <f t="shared" si="42"/>
        <v>#DIV/0!</v>
      </c>
      <c r="Z71" s="20" t="e">
        <f t="shared" ref="Z71" si="43">IF(Z69=0,(Z68-Z66)/Z64,Z70/Z64)</f>
        <v>#DIV/0!</v>
      </c>
    </row>
    <row r="72" spans="1:26" x14ac:dyDescent="0.2">
      <c r="C72" s="23" t="s">
        <v>55</v>
      </c>
      <c r="D72" s="30"/>
      <c r="G72" s="30"/>
    </row>
    <row r="73" spans="1:26" x14ac:dyDescent="0.2">
      <c r="C73" s="29" t="s">
        <v>49</v>
      </c>
      <c r="D73" s="41">
        <f>SUMIF($C54:$C71,"Addition",D54:D71)/(10^7)</f>
        <v>0</v>
      </c>
      <c r="E73" s="61">
        <f t="shared" ref="E73:V73" si="44">SUMIF($C54:$C71,"Addition",E54:E71)/(10^2)</f>
        <v>0</v>
      </c>
      <c r="F73" s="61">
        <f t="shared" si="44"/>
        <v>0</v>
      </c>
      <c r="G73" s="205">
        <f t="shared" si="44"/>
        <v>0</v>
      </c>
      <c r="H73" s="61">
        <f t="shared" si="44"/>
        <v>0</v>
      </c>
      <c r="I73" s="61">
        <f t="shared" si="44"/>
        <v>0</v>
      </c>
      <c r="J73" s="61">
        <f t="shared" si="44"/>
        <v>0</v>
      </c>
      <c r="K73" s="61">
        <f t="shared" si="44"/>
        <v>0</v>
      </c>
      <c r="L73" s="61">
        <f t="shared" si="44"/>
        <v>0</v>
      </c>
      <c r="M73" s="61">
        <f t="shared" si="44"/>
        <v>0</v>
      </c>
      <c r="N73" s="61">
        <f t="shared" si="44"/>
        <v>0</v>
      </c>
      <c r="O73" s="61">
        <f t="shared" si="44"/>
        <v>0</v>
      </c>
      <c r="P73" s="61">
        <f t="shared" si="44"/>
        <v>0</v>
      </c>
      <c r="Q73" s="61">
        <f t="shared" si="44"/>
        <v>0</v>
      </c>
      <c r="R73" s="61">
        <f t="shared" si="44"/>
        <v>0</v>
      </c>
      <c r="S73" s="61">
        <f t="shared" si="44"/>
        <v>0</v>
      </c>
      <c r="T73" s="61">
        <f t="shared" si="44"/>
        <v>0</v>
      </c>
      <c r="U73" s="61">
        <f t="shared" si="44"/>
        <v>0</v>
      </c>
      <c r="V73" s="61">
        <f t="shared" si="44"/>
        <v>0</v>
      </c>
      <c r="W73" s="61">
        <f t="shared" ref="W73:Y73" si="45">SUMIF($C54:$C71,"Addition",W54:W71)/(10^2)</f>
        <v>0</v>
      </c>
      <c r="X73" s="61">
        <f t="shared" si="45"/>
        <v>0</v>
      </c>
      <c r="Y73" s="61">
        <f t="shared" si="45"/>
        <v>0</v>
      </c>
      <c r="Z73" s="61">
        <f t="shared" ref="Z73" si="46">SUMIF($C54:$C71,"Addition",Z54:Z71)/(10^2)</f>
        <v>0</v>
      </c>
    </row>
    <row r="74" spans="1:26" x14ac:dyDescent="0.2">
      <c r="C74" s="29" t="s">
        <v>50</v>
      </c>
      <c r="D74" s="41">
        <f>SUMIF($C54:$C71,"Asset Write off (Net block)",D54:D71)/(10^7)</f>
        <v>0</v>
      </c>
      <c r="E74" s="61">
        <f t="shared" ref="E74:V74" si="47">SUMIF($C54:$C71,"Asset Write off (Net block)",E54:E71)/(10^2)</f>
        <v>0</v>
      </c>
      <c r="F74" s="61">
        <f t="shared" si="47"/>
        <v>0</v>
      </c>
      <c r="G74" s="205">
        <f t="shared" si="47"/>
        <v>0</v>
      </c>
      <c r="H74" s="61">
        <f t="shared" si="47"/>
        <v>0</v>
      </c>
      <c r="I74" s="61">
        <f t="shared" si="47"/>
        <v>0</v>
      </c>
      <c r="J74" s="61">
        <f t="shared" si="47"/>
        <v>0</v>
      </c>
      <c r="K74" s="61">
        <f t="shared" si="47"/>
        <v>0</v>
      </c>
      <c r="L74" s="61">
        <f t="shared" si="47"/>
        <v>0</v>
      </c>
      <c r="M74" s="61">
        <f t="shared" si="47"/>
        <v>0</v>
      </c>
      <c r="N74" s="61">
        <f t="shared" si="47"/>
        <v>0</v>
      </c>
      <c r="O74" s="61">
        <f t="shared" si="47"/>
        <v>0</v>
      </c>
      <c r="P74" s="61">
        <f t="shared" si="47"/>
        <v>0</v>
      </c>
      <c r="Q74" s="61">
        <f t="shared" si="47"/>
        <v>0</v>
      </c>
      <c r="R74" s="61">
        <f t="shared" si="47"/>
        <v>0</v>
      </c>
      <c r="S74" s="61">
        <f t="shared" si="47"/>
        <v>0</v>
      </c>
      <c r="T74" s="61">
        <f t="shared" si="47"/>
        <v>0</v>
      </c>
      <c r="U74" s="61">
        <f t="shared" si="47"/>
        <v>0</v>
      </c>
      <c r="V74" s="61">
        <f t="shared" si="47"/>
        <v>0</v>
      </c>
      <c r="W74" s="61">
        <f t="shared" ref="W74:Y74" si="48">SUMIF($C54:$C71,"Asset Write off (Net block)",W54:W71)/(10^2)</f>
        <v>0</v>
      </c>
      <c r="X74" s="61">
        <f t="shared" si="48"/>
        <v>-0.4675393181818106</v>
      </c>
      <c r="Y74" s="61">
        <f t="shared" si="48"/>
        <v>0</v>
      </c>
      <c r="Z74" s="61">
        <f t="shared" ref="Z74" si="49">SUMIF($C54:$C71,"Asset Write off (Net block)",Z54:Z71)/(10^2)</f>
        <v>2.6920999999999999</v>
      </c>
    </row>
    <row r="75" spans="1:26" x14ac:dyDescent="0.2">
      <c r="C75" s="29" t="s">
        <v>51</v>
      </c>
      <c r="D75" s="41">
        <f>SUMIF($C54:$C72,"Depreciation",D54:D72)/(10^7)</f>
        <v>2.332E-5</v>
      </c>
      <c r="E75" s="61">
        <f t="shared" ref="E75:V75" si="50">SUMIF($C54:$C72,"Depreciation",E54:E72)/(10^2)</f>
        <v>2.4756611363636365</v>
      </c>
      <c r="F75" s="61">
        <f t="shared" si="50"/>
        <v>2.4756611363636365</v>
      </c>
      <c r="G75" s="205">
        <f t="shared" si="50"/>
        <v>2.2867999999999999</v>
      </c>
      <c r="H75" s="61">
        <f t="shared" si="50"/>
        <v>2.4756611363636365</v>
      </c>
      <c r="I75" s="61">
        <f t="shared" si="50"/>
        <v>2.4756611363636365</v>
      </c>
      <c r="J75" s="61">
        <f t="shared" si="50"/>
        <v>2.4756611363636365</v>
      </c>
      <c r="K75" s="61">
        <f t="shared" si="50"/>
        <v>2.4756611363636365</v>
      </c>
      <c r="L75" s="61">
        <f t="shared" si="50"/>
        <v>2.4756611363636365</v>
      </c>
      <c r="M75" s="61">
        <f t="shared" si="50"/>
        <v>2.4756611363636365</v>
      </c>
      <c r="N75" s="61">
        <f t="shared" si="50"/>
        <v>2.4756611363636365</v>
      </c>
      <c r="O75" s="61">
        <f t="shared" si="50"/>
        <v>2.4756611363636365</v>
      </c>
      <c r="P75" s="61">
        <f t="shared" si="50"/>
        <v>2.4756611363636365</v>
      </c>
      <c r="Q75" s="61">
        <f t="shared" si="50"/>
        <v>2.4756611363636365</v>
      </c>
      <c r="R75" s="61">
        <f t="shared" si="50"/>
        <v>2.4756611363636365</v>
      </c>
      <c r="S75" s="61">
        <f t="shared" si="50"/>
        <v>2.4756611363636365</v>
      </c>
      <c r="T75" s="61">
        <f t="shared" si="50"/>
        <v>2.4756611363636365</v>
      </c>
      <c r="U75" s="61">
        <f t="shared" si="50"/>
        <v>2.4756611363636365</v>
      </c>
      <c r="V75" s="61">
        <f t="shared" si="50"/>
        <v>2.4756611363636365</v>
      </c>
      <c r="W75" s="61">
        <f t="shared" ref="W75:Y75" si="51">SUMIF($C54:$C72,"Depreciation",W54:W72)/(10^2)</f>
        <v>2.4756611363636365</v>
      </c>
      <c r="X75" s="61">
        <f t="shared" si="51"/>
        <v>2.4756611363636365</v>
      </c>
      <c r="Y75" s="61">
        <f t="shared" si="51"/>
        <v>0</v>
      </c>
      <c r="Z75" s="61">
        <f t="shared" ref="Z75" si="52">SUMIF($C54:$C72,"Depreciation",Z54:Z72)/(10^2)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Nilgiri RKA P&amp;L Historical</vt:lpstr>
      <vt:lpstr>RKA P&amp;L</vt:lpstr>
      <vt:lpstr>Summary_S1 PSA</vt:lpstr>
      <vt:lpstr>Debt Sch</vt:lpstr>
      <vt:lpstr>RKA CAPM</vt:lpstr>
      <vt:lpstr>Depreciation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Rachit</cp:lastModifiedBy>
  <dcterms:created xsi:type="dcterms:W3CDTF">2020-08-05T15:59:00Z</dcterms:created>
  <dcterms:modified xsi:type="dcterms:W3CDTF">2023-05-29T11:09:20Z</dcterms:modified>
</cp:coreProperties>
</file>