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VIS(2023-24)-PL071-061-074_DCM_Chemical\Report\"/>
    </mc:Choice>
  </mc:AlternateContent>
  <bookViews>
    <workbookView xWindow="0" yWindow="0" windowWidth="10830" windowHeight="3765" activeTab="5"/>
  </bookViews>
  <sheets>
    <sheet name="Chemical" sheetId="1" r:id="rId1"/>
    <sheet name="Sheet2" sheetId="3" r:id="rId2"/>
    <sheet name="Organic" sheetId="2" r:id="rId3"/>
    <sheet name="Land" sheetId="4" r:id="rId4"/>
    <sheet name="Sheet1" sheetId="5" r:id="rId5"/>
    <sheet name="Summary" sheetId="6" r:id="rId6"/>
  </sheets>
  <definedNames>
    <definedName name="_xlnm._FilterDatabase" localSheetId="0" hidden="1">Chemical!$A$4:$K$59</definedName>
    <definedName name="_xlnm._FilterDatabase" localSheetId="2" hidden="1">Organic!$A$5:$U$57</definedName>
  </definedNames>
  <calcPr calcId="152511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" i="6" l="1"/>
  <c r="G16" i="6"/>
  <c r="G15" i="6"/>
  <c r="H10" i="6"/>
  <c r="H9" i="6"/>
  <c r="H7" i="6"/>
  <c r="G7" i="6"/>
  <c r="F7" i="6"/>
  <c r="H6" i="6"/>
  <c r="H5" i="6"/>
  <c r="G6" i="6"/>
  <c r="G5" i="6"/>
  <c r="F6" i="6"/>
  <c r="F5" i="6"/>
  <c r="T5" i="4" l="1"/>
  <c r="T4" i="4"/>
  <c r="R6" i="4"/>
  <c r="M6" i="4"/>
  <c r="N6" i="4"/>
  <c r="R4" i="4"/>
  <c r="S4" i="4" s="1"/>
  <c r="U4" i="4" s="1"/>
  <c r="U6" i="4" s="1"/>
  <c r="R5" i="4"/>
  <c r="S5" i="4" s="1"/>
  <c r="U5" i="4" s="1"/>
  <c r="P4" i="4"/>
  <c r="P6" i="4" s="1"/>
  <c r="P5" i="4"/>
  <c r="E5" i="4"/>
  <c r="E4" i="4"/>
  <c r="I30" i="4"/>
  <c r="I28" i="4"/>
  <c r="P6" i="1"/>
  <c r="P5" i="1"/>
  <c r="F59" i="1"/>
  <c r="P59" i="1" s="1"/>
  <c r="F58" i="1"/>
  <c r="P58" i="1" s="1"/>
  <c r="F57" i="1"/>
  <c r="P57" i="1" s="1"/>
  <c r="F56" i="1"/>
  <c r="P56" i="1" s="1"/>
  <c r="F55" i="1"/>
  <c r="P55" i="1" s="1"/>
  <c r="F54" i="1"/>
  <c r="P54" i="1" s="1"/>
  <c r="F53" i="1"/>
  <c r="P53" i="1" s="1"/>
  <c r="F52" i="1"/>
  <c r="P52" i="1" s="1"/>
  <c r="S52" i="1" s="1"/>
  <c r="T52" i="1" s="1"/>
  <c r="F51" i="1"/>
  <c r="P51" i="1" s="1"/>
  <c r="F50" i="1"/>
  <c r="P50" i="1" s="1"/>
  <c r="F49" i="1"/>
  <c r="P49" i="1" s="1"/>
  <c r="F48" i="1"/>
  <c r="P48" i="1" s="1"/>
  <c r="S48" i="1" s="1"/>
  <c r="T48" i="1" s="1"/>
  <c r="F47" i="1"/>
  <c r="P47" i="1" s="1"/>
  <c r="F46" i="1"/>
  <c r="P46" i="1" s="1"/>
  <c r="F45" i="1"/>
  <c r="P45" i="1" s="1"/>
  <c r="F44" i="1"/>
  <c r="P44" i="1" s="1"/>
  <c r="F43" i="1"/>
  <c r="P43" i="1" s="1"/>
  <c r="F42" i="1"/>
  <c r="P42" i="1" s="1"/>
  <c r="F41" i="1"/>
  <c r="P41" i="1" s="1"/>
  <c r="F40" i="1"/>
  <c r="P40" i="1" s="1"/>
  <c r="F39" i="1"/>
  <c r="P39" i="1" s="1"/>
  <c r="F38" i="1"/>
  <c r="P38" i="1" s="1"/>
  <c r="F37" i="1"/>
  <c r="P37" i="1" s="1"/>
  <c r="F36" i="1"/>
  <c r="P36" i="1" s="1"/>
  <c r="F35" i="1"/>
  <c r="P35" i="1" s="1"/>
  <c r="F34" i="1"/>
  <c r="P34" i="1" s="1"/>
  <c r="F33" i="1"/>
  <c r="P33" i="1" s="1"/>
  <c r="F32" i="1"/>
  <c r="P32" i="1" s="1"/>
  <c r="F31" i="1"/>
  <c r="P31" i="1" s="1"/>
  <c r="F30" i="1"/>
  <c r="P30" i="1" s="1"/>
  <c r="F29" i="1"/>
  <c r="P29" i="1" s="1"/>
  <c r="F28" i="1"/>
  <c r="P28" i="1" s="1"/>
  <c r="F27" i="1"/>
  <c r="P27" i="1" s="1"/>
  <c r="F26" i="1"/>
  <c r="P26" i="1" s="1"/>
  <c r="F25" i="1"/>
  <c r="P25" i="1" s="1"/>
  <c r="F24" i="1"/>
  <c r="P24" i="1" s="1"/>
  <c r="F23" i="1"/>
  <c r="P23" i="1" s="1"/>
  <c r="F22" i="1"/>
  <c r="P22" i="1" s="1"/>
  <c r="F21" i="1"/>
  <c r="P21" i="1" s="1"/>
  <c r="F20" i="1"/>
  <c r="P20" i="1" s="1"/>
  <c r="F19" i="1"/>
  <c r="P19" i="1" s="1"/>
  <c r="F18" i="1"/>
  <c r="P18" i="1" s="1"/>
  <c r="F17" i="1"/>
  <c r="P17" i="1" s="1"/>
  <c r="F16" i="1"/>
  <c r="P16" i="1" s="1"/>
  <c r="F15" i="1"/>
  <c r="P15" i="1" s="1"/>
  <c r="F14" i="1"/>
  <c r="P14" i="1" s="1"/>
  <c r="F13" i="1"/>
  <c r="P13" i="1" s="1"/>
  <c r="F12" i="1"/>
  <c r="P12" i="1" s="1"/>
  <c r="F11" i="1"/>
  <c r="P11" i="1" s="1"/>
  <c r="F10" i="1"/>
  <c r="P10" i="1" s="1"/>
  <c r="F9" i="1"/>
  <c r="P9" i="1" s="1"/>
  <c r="F8" i="1"/>
  <c r="P8" i="1" s="1"/>
  <c r="F7" i="1"/>
  <c r="P7" i="1" s="1"/>
  <c r="L59" i="1"/>
  <c r="M59" i="1" s="1"/>
  <c r="R59" i="1" s="1"/>
  <c r="S59" i="1" s="1"/>
  <c r="T59" i="1" s="1"/>
  <c r="L58" i="1"/>
  <c r="M58" i="1" s="1"/>
  <c r="R58" i="1" s="1"/>
  <c r="S58" i="1" s="1"/>
  <c r="T58" i="1" s="1"/>
  <c r="L57" i="1"/>
  <c r="M57" i="1" s="1"/>
  <c r="R57" i="1" s="1"/>
  <c r="L56" i="1"/>
  <c r="M56" i="1" s="1"/>
  <c r="R56" i="1" s="1"/>
  <c r="L55" i="1"/>
  <c r="M55" i="1" s="1"/>
  <c r="R55" i="1" s="1"/>
  <c r="S55" i="1" s="1"/>
  <c r="T55" i="1" s="1"/>
  <c r="L54" i="1"/>
  <c r="M54" i="1" s="1"/>
  <c r="R54" i="1" s="1"/>
  <c r="S54" i="1" s="1"/>
  <c r="T54" i="1" s="1"/>
  <c r="L53" i="1"/>
  <c r="M53" i="1" s="1"/>
  <c r="R53" i="1" s="1"/>
  <c r="L52" i="1"/>
  <c r="M52" i="1" s="1"/>
  <c r="R52" i="1" s="1"/>
  <c r="L51" i="1"/>
  <c r="M51" i="1" s="1"/>
  <c r="R51" i="1" s="1"/>
  <c r="S51" i="1" s="1"/>
  <c r="T51" i="1" s="1"/>
  <c r="L50" i="1"/>
  <c r="M50" i="1" s="1"/>
  <c r="R50" i="1" s="1"/>
  <c r="S50" i="1" s="1"/>
  <c r="T50" i="1" s="1"/>
  <c r="L49" i="1"/>
  <c r="M49" i="1" s="1"/>
  <c r="R49" i="1" s="1"/>
  <c r="L48" i="1"/>
  <c r="M48" i="1" s="1"/>
  <c r="R48" i="1" s="1"/>
  <c r="L47" i="1"/>
  <c r="M47" i="1" s="1"/>
  <c r="R47" i="1" s="1"/>
  <c r="S47" i="1" s="1"/>
  <c r="T47" i="1" s="1"/>
  <c r="L46" i="1"/>
  <c r="M46" i="1" s="1"/>
  <c r="R46" i="1" s="1"/>
  <c r="S46" i="1" s="1"/>
  <c r="T46" i="1" s="1"/>
  <c r="L45" i="1"/>
  <c r="M45" i="1" s="1"/>
  <c r="R45" i="1" s="1"/>
  <c r="L44" i="1"/>
  <c r="M44" i="1" s="1"/>
  <c r="R44" i="1" s="1"/>
  <c r="L43" i="1"/>
  <c r="M43" i="1" s="1"/>
  <c r="R43" i="1" s="1"/>
  <c r="S43" i="1" s="1"/>
  <c r="T43" i="1" s="1"/>
  <c r="L42" i="1"/>
  <c r="M42" i="1" s="1"/>
  <c r="R42" i="1" s="1"/>
  <c r="S42" i="1" s="1"/>
  <c r="T42" i="1" s="1"/>
  <c r="L41" i="1"/>
  <c r="M41" i="1" s="1"/>
  <c r="R41" i="1" s="1"/>
  <c r="L40" i="1"/>
  <c r="M40" i="1" s="1"/>
  <c r="R40" i="1" s="1"/>
  <c r="L39" i="1"/>
  <c r="M39" i="1" s="1"/>
  <c r="R39" i="1" s="1"/>
  <c r="S39" i="1" s="1"/>
  <c r="T39" i="1" s="1"/>
  <c r="L38" i="1"/>
  <c r="M38" i="1" s="1"/>
  <c r="R38" i="1" s="1"/>
  <c r="S38" i="1" s="1"/>
  <c r="T38" i="1" s="1"/>
  <c r="L37" i="1"/>
  <c r="M37" i="1" s="1"/>
  <c r="R37" i="1" s="1"/>
  <c r="L36" i="1"/>
  <c r="M36" i="1" s="1"/>
  <c r="R36" i="1" s="1"/>
  <c r="L35" i="1"/>
  <c r="M35" i="1" s="1"/>
  <c r="R35" i="1" s="1"/>
  <c r="S35" i="1" s="1"/>
  <c r="T35" i="1" s="1"/>
  <c r="L34" i="1"/>
  <c r="M34" i="1" s="1"/>
  <c r="R34" i="1" s="1"/>
  <c r="S34" i="1" s="1"/>
  <c r="T34" i="1" s="1"/>
  <c r="L33" i="1"/>
  <c r="M33" i="1" s="1"/>
  <c r="R33" i="1" s="1"/>
  <c r="L32" i="1"/>
  <c r="M32" i="1" s="1"/>
  <c r="R32" i="1" s="1"/>
  <c r="L31" i="1"/>
  <c r="M31" i="1" s="1"/>
  <c r="R31" i="1" s="1"/>
  <c r="S31" i="1" s="1"/>
  <c r="T31" i="1" s="1"/>
  <c r="L30" i="1"/>
  <c r="M30" i="1" s="1"/>
  <c r="R30" i="1" s="1"/>
  <c r="S30" i="1" s="1"/>
  <c r="T30" i="1" s="1"/>
  <c r="L29" i="1"/>
  <c r="M29" i="1" s="1"/>
  <c r="R29" i="1" s="1"/>
  <c r="L28" i="1"/>
  <c r="M28" i="1" s="1"/>
  <c r="R28" i="1" s="1"/>
  <c r="L27" i="1"/>
  <c r="M27" i="1" s="1"/>
  <c r="R27" i="1" s="1"/>
  <c r="S27" i="1" s="1"/>
  <c r="T27" i="1" s="1"/>
  <c r="L26" i="1"/>
  <c r="M26" i="1" s="1"/>
  <c r="R26" i="1" s="1"/>
  <c r="S26" i="1" s="1"/>
  <c r="T26" i="1" s="1"/>
  <c r="L25" i="1"/>
  <c r="M25" i="1" s="1"/>
  <c r="R25" i="1" s="1"/>
  <c r="L24" i="1"/>
  <c r="M24" i="1" s="1"/>
  <c r="R24" i="1" s="1"/>
  <c r="L23" i="1"/>
  <c r="M23" i="1" s="1"/>
  <c r="R23" i="1" s="1"/>
  <c r="S23" i="1" s="1"/>
  <c r="T23" i="1" s="1"/>
  <c r="L22" i="1"/>
  <c r="M22" i="1" s="1"/>
  <c r="R22" i="1" s="1"/>
  <c r="S22" i="1" s="1"/>
  <c r="T22" i="1" s="1"/>
  <c r="L21" i="1"/>
  <c r="M21" i="1" s="1"/>
  <c r="R21" i="1" s="1"/>
  <c r="L20" i="1"/>
  <c r="M20" i="1" s="1"/>
  <c r="R20" i="1" s="1"/>
  <c r="L19" i="1"/>
  <c r="M19" i="1" s="1"/>
  <c r="R19" i="1" s="1"/>
  <c r="S19" i="1" s="1"/>
  <c r="T19" i="1" s="1"/>
  <c r="L18" i="1"/>
  <c r="M18" i="1" s="1"/>
  <c r="R18" i="1" s="1"/>
  <c r="S18" i="1" s="1"/>
  <c r="T18" i="1" s="1"/>
  <c r="L17" i="1"/>
  <c r="M17" i="1" s="1"/>
  <c r="R17" i="1" s="1"/>
  <c r="L16" i="1"/>
  <c r="M16" i="1" s="1"/>
  <c r="R16" i="1" s="1"/>
  <c r="L15" i="1"/>
  <c r="M15" i="1" s="1"/>
  <c r="R15" i="1" s="1"/>
  <c r="S15" i="1" s="1"/>
  <c r="T15" i="1" s="1"/>
  <c r="L14" i="1"/>
  <c r="M14" i="1" s="1"/>
  <c r="R14" i="1" s="1"/>
  <c r="S14" i="1" s="1"/>
  <c r="T14" i="1" s="1"/>
  <c r="L13" i="1"/>
  <c r="M13" i="1" s="1"/>
  <c r="R13" i="1" s="1"/>
  <c r="L12" i="1"/>
  <c r="M12" i="1" s="1"/>
  <c r="R12" i="1" s="1"/>
  <c r="L11" i="1"/>
  <c r="M11" i="1" s="1"/>
  <c r="R11" i="1" s="1"/>
  <c r="S11" i="1" s="1"/>
  <c r="T11" i="1" s="1"/>
  <c r="L10" i="1"/>
  <c r="M10" i="1" s="1"/>
  <c r="R10" i="1" s="1"/>
  <c r="S10" i="1" s="1"/>
  <c r="T10" i="1" s="1"/>
  <c r="L9" i="1"/>
  <c r="M9" i="1" s="1"/>
  <c r="R9" i="1" s="1"/>
  <c r="L8" i="1"/>
  <c r="M8" i="1" s="1"/>
  <c r="R8" i="1" s="1"/>
  <c r="L7" i="1"/>
  <c r="M7" i="1" s="1"/>
  <c r="R7" i="1" s="1"/>
  <c r="S7" i="1" s="1"/>
  <c r="T7" i="1" s="1"/>
  <c r="L6" i="1"/>
  <c r="M6" i="1" s="1"/>
  <c r="R6" i="1" s="1"/>
  <c r="S6" i="1" s="1"/>
  <c r="T6" i="1" s="1"/>
  <c r="L5" i="1"/>
  <c r="M5" i="1" s="1"/>
  <c r="R5" i="1" s="1"/>
  <c r="S21" i="1" l="1"/>
  <c r="T21" i="1" s="1"/>
  <c r="S29" i="1"/>
  <c r="T29" i="1" s="1"/>
  <c r="S33" i="1"/>
  <c r="T33" i="1" s="1"/>
  <c r="S37" i="1"/>
  <c r="T37" i="1" s="1"/>
  <c r="S41" i="1"/>
  <c r="T41" i="1" s="1"/>
  <c r="S49" i="1"/>
  <c r="T49" i="1" s="1"/>
  <c r="S57" i="1"/>
  <c r="T57" i="1" s="1"/>
  <c r="S8" i="1"/>
  <c r="T8" i="1" s="1"/>
  <c r="S12" i="1"/>
  <c r="T12" i="1" s="1"/>
  <c r="S16" i="1"/>
  <c r="T16" i="1" s="1"/>
  <c r="S20" i="1"/>
  <c r="T20" i="1" s="1"/>
  <c r="S24" i="1"/>
  <c r="T24" i="1" s="1"/>
  <c r="S28" i="1"/>
  <c r="T28" i="1" s="1"/>
  <c r="S32" i="1"/>
  <c r="T32" i="1" s="1"/>
  <c r="S36" i="1"/>
  <c r="T36" i="1" s="1"/>
  <c r="S40" i="1"/>
  <c r="T40" i="1" s="1"/>
  <c r="S25" i="1"/>
  <c r="T25" i="1" s="1"/>
  <c r="S56" i="1"/>
  <c r="T56" i="1" s="1"/>
  <c r="S9" i="1"/>
  <c r="T9" i="1" s="1"/>
  <c r="S13" i="1"/>
  <c r="T13" i="1" s="1"/>
  <c r="S17" i="1"/>
  <c r="T17" i="1" s="1"/>
  <c r="S45" i="1"/>
  <c r="T45" i="1" s="1"/>
  <c r="S53" i="1"/>
  <c r="T53" i="1" s="1"/>
  <c r="S44" i="1"/>
  <c r="T44" i="1" s="1"/>
  <c r="R3" i="1"/>
  <c r="S5" i="1"/>
  <c r="M3" i="1"/>
  <c r="L3" i="1"/>
  <c r="M23" i="4"/>
  <c r="M22" i="4"/>
  <c r="K23" i="4"/>
  <c r="O21" i="4"/>
  <c r="N5" i="4"/>
  <c r="N4" i="4"/>
  <c r="K7" i="4"/>
  <c r="K6" i="4"/>
  <c r="L6" i="4"/>
  <c r="L5" i="4"/>
  <c r="L4" i="4"/>
  <c r="K4" i="4"/>
  <c r="I4" i="4"/>
  <c r="J5" i="4"/>
  <c r="K5" i="4" s="1"/>
  <c r="M5" i="4"/>
  <c r="M4" i="4"/>
  <c r="I5" i="4"/>
  <c r="G9" i="4"/>
  <c r="G18" i="4"/>
  <c r="G20" i="4" s="1"/>
  <c r="G21" i="4" s="1"/>
  <c r="H24" i="4"/>
  <c r="H17" i="4"/>
  <c r="G17" i="4"/>
  <c r="H15" i="4"/>
  <c r="G15" i="4"/>
  <c r="G6" i="4"/>
  <c r="F6" i="4"/>
  <c r="G5" i="4"/>
  <c r="G4" i="4"/>
  <c r="S3" i="1" l="1"/>
  <c r="T5" i="1"/>
  <c r="T3" i="1" s="1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L56" i="2"/>
  <c r="M56" i="2" s="1"/>
  <c r="S56" i="2" s="1"/>
  <c r="T56" i="2" s="1"/>
  <c r="U56" i="2" s="1"/>
  <c r="L55" i="2"/>
  <c r="M55" i="2" s="1"/>
  <c r="S55" i="2" s="1"/>
  <c r="T55" i="2" s="1"/>
  <c r="L54" i="2"/>
  <c r="M54" i="2" s="1"/>
  <c r="S54" i="2" s="1"/>
  <c r="T54" i="2" s="1"/>
  <c r="U54" i="2" s="1"/>
  <c r="L53" i="2"/>
  <c r="M53" i="2" s="1"/>
  <c r="S53" i="2" s="1"/>
  <c r="L52" i="2"/>
  <c r="M52" i="2" s="1"/>
  <c r="S52" i="2" s="1"/>
  <c r="T52" i="2" s="1"/>
  <c r="L51" i="2"/>
  <c r="M51" i="2" s="1"/>
  <c r="S51" i="2" s="1"/>
  <c r="L50" i="2"/>
  <c r="M50" i="2" s="1"/>
  <c r="S50" i="2" s="1"/>
  <c r="L49" i="2"/>
  <c r="M49" i="2" s="1"/>
  <c r="S49" i="2" s="1"/>
  <c r="T49" i="2" s="1"/>
  <c r="U49" i="2" s="1"/>
  <c r="L48" i="2"/>
  <c r="M48" i="2" s="1"/>
  <c r="S48" i="2" s="1"/>
  <c r="L47" i="2"/>
  <c r="M47" i="2" s="1"/>
  <c r="S47" i="2" s="1"/>
  <c r="T47" i="2" s="1"/>
  <c r="L46" i="2"/>
  <c r="M46" i="2" s="1"/>
  <c r="S46" i="2" s="1"/>
  <c r="T46" i="2" s="1"/>
  <c r="L45" i="2"/>
  <c r="M45" i="2" s="1"/>
  <c r="S45" i="2" s="1"/>
  <c r="T45" i="2" s="1"/>
  <c r="L44" i="2"/>
  <c r="M44" i="2" s="1"/>
  <c r="S44" i="2" s="1"/>
  <c r="L43" i="2"/>
  <c r="M43" i="2" s="1"/>
  <c r="S43" i="2" s="1"/>
  <c r="T43" i="2" s="1"/>
  <c r="U43" i="2" s="1"/>
  <c r="L42" i="2"/>
  <c r="M42" i="2" s="1"/>
  <c r="S42" i="2" s="1"/>
  <c r="L41" i="2"/>
  <c r="M41" i="2" s="1"/>
  <c r="S41" i="2" s="1"/>
  <c r="L40" i="2"/>
  <c r="M40" i="2" s="1"/>
  <c r="S40" i="2" s="1"/>
  <c r="T40" i="2" s="1"/>
  <c r="U40" i="2" s="1"/>
  <c r="L39" i="2"/>
  <c r="M39" i="2" s="1"/>
  <c r="S39" i="2" s="1"/>
  <c r="T39" i="2" s="1"/>
  <c r="L38" i="2"/>
  <c r="M38" i="2" s="1"/>
  <c r="S38" i="2" s="1"/>
  <c r="T38" i="2" s="1"/>
  <c r="L37" i="2"/>
  <c r="M37" i="2" s="1"/>
  <c r="S37" i="2" s="1"/>
  <c r="L36" i="2"/>
  <c r="M36" i="2" s="1"/>
  <c r="S36" i="2" s="1"/>
  <c r="T36" i="2" s="1"/>
  <c r="U36" i="2" s="1"/>
  <c r="L35" i="2"/>
  <c r="M35" i="2" s="1"/>
  <c r="S35" i="2" s="1"/>
  <c r="T35" i="2" s="1"/>
  <c r="L34" i="2"/>
  <c r="M34" i="2" s="1"/>
  <c r="S34" i="2" s="1"/>
  <c r="T34" i="2" s="1"/>
  <c r="U34" i="2" s="1"/>
  <c r="L33" i="2"/>
  <c r="M33" i="2" s="1"/>
  <c r="S33" i="2" s="1"/>
  <c r="L32" i="2"/>
  <c r="M32" i="2" s="1"/>
  <c r="S32" i="2" s="1"/>
  <c r="L31" i="2"/>
  <c r="M31" i="2" s="1"/>
  <c r="S31" i="2" s="1"/>
  <c r="T31" i="2" s="1"/>
  <c r="U31" i="2" s="1"/>
  <c r="L30" i="2"/>
  <c r="M30" i="2" s="1"/>
  <c r="S30" i="2" s="1"/>
  <c r="T30" i="2" s="1"/>
  <c r="L29" i="2"/>
  <c r="M29" i="2" s="1"/>
  <c r="S29" i="2" s="1"/>
  <c r="T29" i="2" s="1"/>
  <c r="U29" i="2" s="1"/>
  <c r="L28" i="2"/>
  <c r="M28" i="2" s="1"/>
  <c r="S28" i="2" s="1"/>
  <c r="L27" i="2"/>
  <c r="M27" i="2" s="1"/>
  <c r="S27" i="2" s="1"/>
  <c r="L26" i="2"/>
  <c r="M26" i="2" s="1"/>
  <c r="S26" i="2" s="1"/>
  <c r="T26" i="2" s="1"/>
  <c r="L25" i="2"/>
  <c r="M25" i="2" s="1"/>
  <c r="S25" i="2" s="1"/>
  <c r="T25" i="2" s="1"/>
  <c r="U25" i="2" s="1"/>
  <c r="L24" i="2"/>
  <c r="M24" i="2" s="1"/>
  <c r="S24" i="2" s="1"/>
  <c r="T24" i="2" s="1"/>
  <c r="U24" i="2" s="1"/>
  <c r="L23" i="2"/>
  <c r="M23" i="2" s="1"/>
  <c r="S23" i="2" s="1"/>
  <c r="T23" i="2" s="1"/>
  <c r="U23" i="2" s="1"/>
  <c r="L22" i="2"/>
  <c r="M22" i="2" s="1"/>
  <c r="S22" i="2" s="1"/>
  <c r="L21" i="2"/>
  <c r="M21" i="2" s="1"/>
  <c r="S21" i="2" s="1"/>
  <c r="L20" i="2"/>
  <c r="M20" i="2" s="1"/>
  <c r="S20" i="2" s="1"/>
  <c r="T20" i="2" s="1"/>
  <c r="L19" i="2"/>
  <c r="M19" i="2" s="1"/>
  <c r="S19" i="2" s="1"/>
  <c r="L18" i="2"/>
  <c r="M18" i="2" s="1"/>
  <c r="S18" i="2" s="1"/>
  <c r="T18" i="2" s="1"/>
  <c r="U18" i="2" s="1"/>
  <c r="L17" i="2"/>
  <c r="M17" i="2" s="1"/>
  <c r="S17" i="2" s="1"/>
  <c r="T17" i="2" s="1"/>
  <c r="U17" i="2" s="1"/>
  <c r="L16" i="2"/>
  <c r="M16" i="2" s="1"/>
  <c r="S16" i="2" s="1"/>
  <c r="T16" i="2" s="1"/>
  <c r="U16" i="2" s="1"/>
  <c r="L15" i="2"/>
  <c r="M15" i="2" s="1"/>
  <c r="S15" i="2" s="1"/>
  <c r="L14" i="2"/>
  <c r="M14" i="2" s="1"/>
  <c r="S14" i="2" s="1"/>
  <c r="L13" i="2"/>
  <c r="M13" i="2" s="1"/>
  <c r="S13" i="2" s="1"/>
  <c r="T13" i="2" s="1"/>
  <c r="L12" i="2"/>
  <c r="M12" i="2" s="1"/>
  <c r="S12" i="2" s="1"/>
  <c r="T12" i="2" s="1"/>
  <c r="U12" i="2" s="1"/>
  <c r="L11" i="2"/>
  <c r="M11" i="2" s="1"/>
  <c r="S11" i="2" s="1"/>
  <c r="L10" i="2"/>
  <c r="M10" i="2" s="1"/>
  <c r="S10" i="2" s="1"/>
  <c r="T10" i="2" s="1"/>
  <c r="U10" i="2" s="1"/>
  <c r="L9" i="2"/>
  <c r="M9" i="2" s="1"/>
  <c r="S9" i="2" s="1"/>
  <c r="L8" i="2"/>
  <c r="M8" i="2" s="1"/>
  <c r="S8" i="2" s="1"/>
  <c r="T8" i="2" s="1"/>
  <c r="U8" i="2" s="1"/>
  <c r="L7" i="2"/>
  <c r="M7" i="2" s="1"/>
  <c r="S7" i="2" s="1"/>
  <c r="T7" i="2" s="1"/>
  <c r="L6" i="2"/>
  <c r="M6" i="2" s="1"/>
  <c r="K57" i="2"/>
  <c r="J57" i="2"/>
  <c r="I57" i="2"/>
  <c r="H57" i="2"/>
  <c r="G57" i="2"/>
  <c r="F57" i="2"/>
  <c r="E57" i="2"/>
  <c r="U46" i="2" l="1"/>
  <c r="U47" i="2"/>
  <c r="U45" i="2"/>
  <c r="T42" i="2"/>
  <c r="U42" i="2" s="1"/>
  <c r="U7" i="2"/>
  <c r="T21" i="2"/>
  <c r="U21" i="2" s="1"/>
  <c r="T44" i="2"/>
  <c r="U44" i="2" s="1"/>
  <c r="T22" i="2"/>
  <c r="U22" i="2" s="1"/>
  <c r="T51" i="2"/>
  <c r="U51" i="2" s="1"/>
  <c r="U55" i="2"/>
  <c r="T53" i="2"/>
  <c r="U53" i="2" s="1"/>
  <c r="U52" i="2"/>
  <c r="T50" i="2"/>
  <c r="U50" i="2" s="1"/>
  <c r="T48" i="2"/>
  <c r="U48" i="2" s="1"/>
  <c r="T41" i="2"/>
  <c r="U41" i="2" s="1"/>
  <c r="U39" i="2"/>
  <c r="U38" i="2"/>
  <c r="T37" i="2"/>
  <c r="U37" i="2" s="1"/>
  <c r="U35" i="2"/>
  <c r="T33" i="2"/>
  <c r="U33" i="2" s="1"/>
  <c r="T32" i="2"/>
  <c r="U32" i="2" s="1"/>
  <c r="U30" i="2"/>
  <c r="T28" i="2"/>
  <c r="U28" i="2" s="1"/>
  <c r="T27" i="2"/>
  <c r="U27" i="2" s="1"/>
  <c r="U26" i="2"/>
  <c r="T11" i="2"/>
  <c r="U11" i="2" s="1"/>
  <c r="U20" i="2"/>
  <c r="T19" i="2"/>
  <c r="U19" i="2" s="1"/>
  <c r="T15" i="2"/>
  <c r="U15" i="2" s="1"/>
  <c r="T14" i="2"/>
  <c r="U14" i="2" s="1"/>
  <c r="U13" i="2"/>
  <c r="T9" i="2"/>
  <c r="U9" i="2" s="1"/>
  <c r="M4" i="2"/>
  <c r="S6" i="2"/>
  <c r="L4" i="2"/>
  <c r="S4" i="2" l="1"/>
  <c r="T6" i="2"/>
  <c r="T4" i="2" s="1"/>
  <c r="U6" i="2" l="1"/>
  <c r="U4" i="2" s="1"/>
</calcChain>
</file>

<file path=xl/sharedStrings.xml><?xml version="1.0" encoding="utf-8"?>
<sst xmlns="http://schemas.openxmlformats.org/spreadsheetml/2006/main" count="400" uniqueCount="192">
  <si>
    <t xml:space="preserve">DAURALA SUGAR WORKS </t>
  </si>
  <si>
    <t>CHEMICAL PLANT</t>
  </si>
  <si>
    <t xml:space="preserve">FLOOR WISE AREA FOR VARIOUS BLOCKS </t>
  </si>
  <si>
    <t>BLOCKS</t>
  </si>
  <si>
    <t xml:space="preserve">S NO. </t>
  </si>
  <si>
    <t>PLANT / BUILDING /SHED</t>
  </si>
  <si>
    <t>BUILDING MATERIAL</t>
  </si>
  <si>
    <t>1ST FLOOR (sqr.mtr.)</t>
  </si>
  <si>
    <t>2ND FLOOR    ( sqr.mtr.)</t>
  </si>
  <si>
    <t>3RD FLOOR    ( sqr.mtr.)</t>
  </si>
  <si>
    <t>4TH FLOOR (sqr.mtr.)</t>
  </si>
  <si>
    <t>A</t>
  </si>
  <si>
    <t>ADMINISTRATION BLOCK</t>
  </si>
  <si>
    <t>RCC/BRICK</t>
  </si>
  <si>
    <t>R &amp; D LAB</t>
  </si>
  <si>
    <t>PROCESS LAB</t>
  </si>
  <si>
    <t>PILOT PLANT</t>
  </si>
  <si>
    <t>B</t>
  </si>
  <si>
    <t>PAA/OCBA PLANT</t>
  </si>
  <si>
    <t>MS STRUCTURE</t>
  </si>
  <si>
    <t>PAA STORAGE SHED</t>
  </si>
  <si>
    <t>NEW BCL PLANT</t>
  </si>
  <si>
    <t>NEW BCL TANK AREA</t>
  </si>
  <si>
    <t>AVIRAL-1(CONT.BCHO)</t>
  </si>
  <si>
    <t>BOH DISTILLATION AREA</t>
  </si>
  <si>
    <t>C</t>
  </si>
  <si>
    <t>BCHO PLANT</t>
  </si>
  <si>
    <t>BCHO TANK AREA</t>
  </si>
  <si>
    <t xml:space="preserve">PROCESS CHLORINE </t>
  </si>
  <si>
    <t>STORAGE CHLORINE</t>
  </si>
  <si>
    <t>AVIRAL-2(CONT.SLC)</t>
  </si>
  <si>
    <t>D</t>
  </si>
  <si>
    <t>BCN PLANT</t>
  </si>
  <si>
    <t>BCN TANK FARM AREA</t>
  </si>
  <si>
    <t>KPA/BOH PLANT AREA</t>
  </si>
  <si>
    <t>ETP AREA</t>
  </si>
  <si>
    <t>ANFD AREA</t>
  </si>
  <si>
    <t>BCN ELECTRIC PANEL ROOM</t>
  </si>
  <si>
    <t>E</t>
  </si>
  <si>
    <t>R PLANT AREA</t>
  </si>
  <si>
    <t>UTILITY AREA</t>
  </si>
  <si>
    <t>MECHANICAL STORE</t>
  </si>
  <si>
    <t>CYANIDE GODOWN</t>
  </si>
  <si>
    <t>PAA/OCBA/BCL ELECTRIC PANEL ROOM</t>
  </si>
  <si>
    <t>F</t>
  </si>
  <si>
    <t>SODIUM BENZOATE AREA</t>
  </si>
  <si>
    <t>DRUM DRYER AREA</t>
  </si>
  <si>
    <t>FITTER SHOP</t>
  </si>
  <si>
    <t>BCHO ELECTRIC PANEL ROOM</t>
  </si>
  <si>
    <t>T.E.A GODOWN</t>
  </si>
  <si>
    <t>G</t>
  </si>
  <si>
    <t>NEW EQUIPMENTS ARRIVAL AREA</t>
  </si>
  <si>
    <t>TOLUENE AREA</t>
  </si>
  <si>
    <t>DIESEL PUMP AREA</t>
  </si>
  <si>
    <t>PAINTER AREA</t>
  </si>
  <si>
    <t>H</t>
  </si>
  <si>
    <t>CARBON CANDY AREA</t>
  </si>
  <si>
    <t>HCL TANK AREA</t>
  </si>
  <si>
    <t>VENTURY AREA</t>
  </si>
  <si>
    <t>SULPHURIC ACID TANK AREA</t>
  </si>
  <si>
    <t>SCRAPE AREA</t>
  </si>
  <si>
    <t>OCT STORAGE AREA</t>
  </si>
  <si>
    <t>MS STRUCTURE SHED</t>
  </si>
  <si>
    <t>HAZARDS WASTE STORAGE</t>
  </si>
  <si>
    <t>BIN AREA</t>
  </si>
  <si>
    <t>I</t>
  </si>
  <si>
    <t>PAA  STORAGE GODOWN</t>
  </si>
  <si>
    <t>LIQUID STORAGE GODOWN</t>
  </si>
  <si>
    <t>NITROGEN PLANT</t>
  </si>
  <si>
    <t>NEW COOLING TOWER</t>
  </si>
  <si>
    <t>MECHANICAL STORAGE AREA</t>
  </si>
  <si>
    <t>CYLINDER STORAGE AREA</t>
  </si>
  <si>
    <t>GODOWN</t>
  </si>
  <si>
    <t>USED ITEM MECHNAICAL STORE</t>
  </si>
  <si>
    <t>J</t>
  </si>
  <si>
    <t>CONTRACTOR SHED</t>
  </si>
  <si>
    <t>LUNCH ROOM AREA</t>
  </si>
  <si>
    <t>EMPTY DRUM AREA</t>
  </si>
  <si>
    <t>K</t>
  </si>
  <si>
    <t>SUGAR CONDENSATE TANKS</t>
  </si>
  <si>
    <t>GF-1992, FF-2022</t>
  </si>
  <si>
    <t>Year of Installation</t>
  </si>
  <si>
    <t>GF-1971 &amp; 1ST FF-1992</t>
  </si>
  <si>
    <t>Cl2 shed &amp; tank farm</t>
  </si>
  <si>
    <t>chemicaldrum shed</t>
  </si>
  <si>
    <t>chemical tank farm area</t>
  </si>
  <si>
    <t>occupational health center</t>
  </si>
  <si>
    <t>fermentation room</t>
  </si>
  <si>
    <t>transformer</t>
  </si>
  <si>
    <t>electric work shop</t>
  </si>
  <si>
    <t>canteen</t>
  </si>
  <si>
    <t>R&amp;D</t>
  </si>
  <si>
    <t>Rest hall &amp; security office</t>
  </si>
  <si>
    <t>civil office/instrument office</t>
  </si>
  <si>
    <t>cycle Shed</t>
  </si>
  <si>
    <t>lime shed</t>
  </si>
  <si>
    <t>cement storage area</t>
  </si>
  <si>
    <t>PCC +DG room</t>
  </si>
  <si>
    <t>MCC Room (Near PG)</t>
  </si>
  <si>
    <t>ETP</t>
  </si>
  <si>
    <t>Weight Bridge</t>
  </si>
  <si>
    <t>Type of Structure</t>
  </si>
  <si>
    <t>Shed</t>
  </si>
  <si>
    <t>RCC</t>
  </si>
  <si>
    <t>RCC+Shed</t>
  </si>
  <si>
    <t>Name</t>
  </si>
  <si>
    <t>G Floor</t>
  </si>
  <si>
    <t>1st Floor</t>
  </si>
  <si>
    <t>Non Plant BUA</t>
  </si>
  <si>
    <t>Utility BUA</t>
  </si>
  <si>
    <t>Utility with MCC</t>
  </si>
  <si>
    <t>WTP Plant</t>
  </si>
  <si>
    <t>RW Plant</t>
  </si>
  <si>
    <t>Cooling Tower-1</t>
  </si>
  <si>
    <t>Cooling Tower-2</t>
  </si>
  <si>
    <t>Cooling Tower-3</t>
  </si>
  <si>
    <t>Cooling Tower-4</t>
  </si>
  <si>
    <t>Storage BUA</t>
  </si>
  <si>
    <t>Storage</t>
  </si>
  <si>
    <t>New Godown</t>
  </si>
  <si>
    <t>PCI3 Drum Storage</t>
  </si>
  <si>
    <t>RCC+ACC Shed</t>
  </si>
  <si>
    <t>Process Plant BUA</t>
  </si>
  <si>
    <t>Ammonium Sulphaste Recovery Plant</t>
  </si>
  <si>
    <t>PHPGME Plant</t>
  </si>
  <si>
    <t>OCPG plant</t>
  </si>
  <si>
    <t>DLPHPG +Salt Recovery Phase-I Plant</t>
  </si>
  <si>
    <t>DLPHPG-A Plant</t>
  </si>
  <si>
    <t>SIPA</t>
  </si>
  <si>
    <t>Pilot Plant/RSVB2 Plant</t>
  </si>
  <si>
    <t>DLPG(P) plant</t>
  </si>
  <si>
    <t>DLPG(C) Plant</t>
  </si>
  <si>
    <t>PG plant</t>
  </si>
  <si>
    <t>PGCL plant</t>
  </si>
  <si>
    <t>SPHA plant</t>
  </si>
  <si>
    <t>Nitrogen plant</t>
  </si>
  <si>
    <t>PPA /SPA/DLPHPG plant</t>
  </si>
  <si>
    <t>PG Dane salt plant</t>
  </si>
  <si>
    <t>PHPGDS plant</t>
  </si>
  <si>
    <t>PHPG-II Plant</t>
  </si>
  <si>
    <t>PHPG-IIA Plant</t>
  </si>
  <si>
    <t>Salt Recovery Phase-II Plant</t>
  </si>
  <si>
    <t>G.A. Plant</t>
  </si>
  <si>
    <t>Cynide Treatment Plant</t>
  </si>
  <si>
    <t>2nd Floor</t>
  </si>
  <si>
    <t>3rd Floor</t>
  </si>
  <si>
    <t>4th Floor</t>
  </si>
  <si>
    <t>5th Floor</t>
  </si>
  <si>
    <t>TF</t>
  </si>
  <si>
    <t>Total BUA</t>
  </si>
  <si>
    <t>Sqm</t>
  </si>
  <si>
    <t>YoC</t>
  </si>
  <si>
    <t>Location</t>
  </si>
  <si>
    <t>Sqft</t>
  </si>
  <si>
    <t>Rate</t>
  </si>
  <si>
    <t>ADM</t>
  </si>
  <si>
    <t>Packing Godown</t>
  </si>
  <si>
    <t>per sqft</t>
  </si>
  <si>
    <t>GCRC</t>
  </si>
  <si>
    <t>Depreciation</t>
  </si>
  <si>
    <t>DRC</t>
  </si>
  <si>
    <t>S. No.</t>
  </si>
  <si>
    <t>Eco. Life</t>
  </si>
  <si>
    <t>Age</t>
  </si>
  <si>
    <t>SV</t>
  </si>
  <si>
    <t>Row Labels</t>
  </si>
  <si>
    <t>Grand Total</t>
  </si>
  <si>
    <t>Sum of Total BUA2</t>
  </si>
  <si>
    <t>Organic</t>
  </si>
  <si>
    <t>Ha</t>
  </si>
  <si>
    <t>Chemical</t>
  </si>
  <si>
    <t>Acre</t>
  </si>
  <si>
    <t>Per Acre</t>
  </si>
  <si>
    <t>Per Bigha</t>
  </si>
  <si>
    <t>sqyd</t>
  </si>
  <si>
    <t>sqm</t>
  </si>
  <si>
    <t>per sqyd</t>
  </si>
  <si>
    <t>per sqm</t>
  </si>
  <si>
    <t>acre</t>
  </si>
  <si>
    <r>
      <t>G. FLOOR AREA (sqr.mtr</t>
    </r>
    <r>
      <rPr>
        <b/>
        <sz val="10"/>
        <color theme="1"/>
        <rFont val="Calibri"/>
        <family val="2"/>
      </rPr>
      <t>)</t>
    </r>
  </si>
  <si>
    <t>BUA (sqm)</t>
  </si>
  <si>
    <t>BUA (sqft)</t>
  </si>
  <si>
    <t>Rate Rs./sqft</t>
  </si>
  <si>
    <t>Dep.</t>
  </si>
  <si>
    <t>29°06'41.8"N 77°41'17.6"E</t>
  </si>
  <si>
    <t>per Acre</t>
  </si>
  <si>
    <t>Circle Rate</t>
  </si>
  <si>
    <t>Deveopment</t>
  </si>
  <si>
    <t>Land</t>
  </si>
  <si>
    <t>Building</t>
  </si>
  <si>
    <t>FMV</t>
  </si>
  <si>
    <t>Circle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</si>
</sst>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202124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0" fillId="0" borderId="0" xfId="0" applyAlignment="1">
      <alignment horizontal="center" vertical="center"/>
    </xf>
    <xf numFmtId="43" fontId="0" fillId="0" borderId="0" xfId="1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2" fillId="0" borderId="0" xfId="1" applyNumberFormat="1" applyFont="1"/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165" fontId="0" fillId="0" borderId="0" xfId="0" applyNumberFormat="1"/>
    <xf numFmtId="9" fontId="0" fillId="0" borderId="0" xfId="2" applyFont="1"/>
    <xf numFmtId="0" fontId="3" fillId="0" borderId="3" xfId="0" applyFont="1" applyBorder="1" applyAlignment="1">
      <alignment horizontal="left"/>
    </xf>
    <xf numFmtId="0" fontId="4" fillId="0" borderId="2" xfId="0" applyFont="1" applyBorder="1" applyAlignment="1"/>
    <xf numFmtId="164" fontId="4" fillId="0" borderId="2" xfId="1" applyNumberFormat="1" applyFont="1" applyBorder="1" applyAlignment="1"/>
    <xf numFmtId="0" fontId="3" fillId="0" borderId="0" xfId="0" applyFont="1"/>
    <xf numFmtId="0" fontId="4" fillId="0" borderId="3" xfId="0" applyFont="1" applyBorder="1" applyAlignment="1">
      <alignment vertical="center"/>
    </xf>
    <xf numFmtId="164" fontId="4" fillId="0" borderId="3" xfId="1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3" xfId="0" applyFont="1" applyBorder="1" applyAlignment="1">
      <alignment horizontal="center"/>
    </xf>
    <xf numFmtId="164" fontId="3" fillId="0" borderId="3" xfId="1" applyNumberFormat="1" applyFont="1" applyBorder="1" applyAlignment="1">
      <alignment horizontal="center"/>
    </xf>
    <xf numFmtId="164" fontId="3" fillId="0" borderId="0" xfId="0" applyNumberFormat="1" applyFont="1"/>
    <xf numFmtId="0" fontId="3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0" xfId="1" applyNumberFormat="1" applyFont="1"/>
    <xf numFmtId="0" fontId="3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4" fontId="3" fillId="0" borderId="3" xfId="1" applyNumberFormat="1" applyFont="1" applyBorder="1" applyAlignment="1">
      <alignment horizontal="center" vertical="center"/>
    </xf>
    <xf numFmtId="164" fontId="4" fillId="0" borderId="2" xfId="1" applyNumberFormat="1" applyFont="1" applyBorder="1" applyAlignment="1">
      <alignment horizontal="center" vertical="center"/>
    </xf>
    <xf numFmtId="164" fontId="4" fillId="0" borderId="3" xfId="1" applyNumberFormat="1" applyFont="1" applyBorder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/>
    </xf>
    <xf numFmtId="9" fontId="3" fillId="0" borderId="0" xfId="0" applyNumberFormat="1" applyFont="1"/>
    <xf numFmtId="0" fontId="4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3" borderId="3" xfId="0" applyFont="1" applyFill="1" applyBorder="1" applyAlignment="1">
      <alignment vertical="center"/>
    </xf>
    <xf numFmtId="164" fontId="4" fillId="3" borderId="0" xfId="1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6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9" fontId="6" fillId="0" borderId="0" xfId="0" applyNumberFormat="1" applyFont="1" applyAlignment="1">
      <alignment horizontal="center" vertical="center"/>
    </xf>
    <xf numFmtId="164" fontId="6" fillId="0" borderId="0" xfId="1" applyNumberFormat="1" applyFont="1" applyAlignment="1">
      <alignment horizontal="center" vertical="center"/>
    </xf>
    <xf numFmtId="164" fontId="6" fillId="0" borderId="0" xfId="0" applyNumberFormat="1" applyFont="1"/>
    <xf numFmtId="0" fontId="6" fillId="0" borderId="0" xfId="0" applyFont="1"/>
    <xf numFmtId="164" fontId="6" fillId="0" borderId="0" xfId="1" applyNumberFormat="1" applyFont="1"/>
  </cellXfs>
  <cellStyles count="3">
    <cellStyle name="Comma" xfId="1" builtinId="3"/>
    <cellStyle name="Normal" xfId="0" builtinId="0"/>
    <cellStyle name="Percent" xfId="2" builtinId="5"/>
  </cellStyles>
  <dxfs count="2">
    <dxf>
      <numFmt numFmtId="164" formatCode="_ * #,##0_ ;_ * \-#,##0_ ;_ * &quot;-&quot;??_ ;_ @_ "/>
    </dxf>
    <dxf>
      <numFmt numFmtId="164" formatCode="_ * #,##0_ ;_ * \-#,##0_ ;_ * &quot;-&quot;??_ ;_ @_ "/>
    </dxf>
  </dxfs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104775</xdr:rowOff>
    </xdr:from>
    <xdr:to>
      <xdr:col>8</xdr:col>
      <xdr:colOff>361950</xdr:colOff>
      <xdr:row>15</xdr:row>
      <xdr:rowOff>17323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24" t="48436" r="29622" b="24976"/>
        <a:stretch/>
      </xdr:blipFill>
      <xdr:spPr>
        <a:xfrm>
          <a:off x="0" y="1247775"/>
          <a:ext cx="5238750" cy="1627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238124</xdr:colOff>
      <xdr:row>6</xdr:row>
      <xdr:rowOff>61083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886" t="65192" r="30018" b="15098"/>
        <a:stretch/>
      </xdr:blipFill>
      <xdr:spPr>
        <a:xfrm>
          <a:off x="0" y="0"/>
          <a:ext cx="5114924" cy="1204083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13</xdr:row>
      <xdr:rowOff>38100</xdr:rowOff>
    </xdr:from>
    <xdr:to>
      <xdr:col>19</xdr:col>
      <xdr:colOff>222250</xdr:colOff>
      <xdr:row>20</xdr:row>
      <xdr:rowOff>152400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06" t="34337" r="20890" b="38852"/>
        <a:stretch/>
      </xdr:blipFill>
      <xdr:spPr>
        <a:xfrm>
          <a:off x="6572250" y="2514600"/>
          <a:ext cx="5232400" cy="14478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0</xdr:row>
      <xdr:rowOff>152399</xdr:rowOff>
    </xdr:from>
    <xdr:to>
      <xdr:col>19</xdr:col>
      <xdr:colOff>250844</xdr:colOff>
      <xdr:row>12</xdr:row>
      <xdr:rowOff>47624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548" t="39981" r="21816" b="20037"/>
        <a:stretch/>
      </xdr:blipFill>
      <xdr:spPr>
        <a:xfrm>
          <a:off x="6534150" y="152399"/>
          <a:ext cx="5299094" cy="21812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nav Chaturvedi" refreshedDate="45110.542651851851" createdVersion="5" refreshedVersion="5" minRefreshableVersion="3" recordCount="51">
  <cacheSource type="worksheet">
    <worksheetSource ref="A5:U56" sheet="Organic"/>
  </cacheSource>
  <cacheFields count="21">
    <cacheField name="S. No." numFmtId="0">
      <sharedItems containsSemiMixedTypes="0" containsString="0" containsNumber="1" containsInteger="1" minValue="1" maxValue="51"/>
    </cacheField>
    <cacheField name="Name" numFmtId="0">
      <sharedItems/>
    </cacheField>
    <cacheField name="Location" numFmtId="0">
      <sharedItems count="4">
        <s v="Non Plant BUA"/>
        <s v="Utility BUA"/>
        <s v="Storage BUA"/>
        <s v="Process Plant BUA"/>
      </sharedItems>
    </cacheField>
    <cacheField name="Type of Structure" numFmtId="0">
      <sharedItems/>
    </cacheField>
    <cacheField name="G Floor" numFmtId="164">
      <sharedItems containsSemiMixedTypes="0" containsString="0" containsNumber="1" containsInteger="1" minValue="0" maxValue="9000"/>
    </cacheField>
    <cacheField name="1st Floor" numFmtId="164">
      <sharedItems containsString="0" containsBlank="1" containsNumber="1" containsInteger="1" minValue="0" maxValue="520"/>
    </cacheField>
    <cacheField name="2nd Floor" numFmtId="164">
      <sharedItems containsString="0" containsBlank="1" containsNumber="1" containsInteger="1" minValue="0" maxValue="500"/>
    </cacheField>
    <cacheField name="3rd Floor" numFmtId="164">
      <sharedItems containsString="0" containsBlank="1" containsNumber="1" containsInteger="1" minValue="0" maxValue="420"/>
    </cacheField>
    <cacheField name="4th Floor" numFmtId="164">
      <sharedItems containsString="0" containsBlank="1" containsNumber="1" containsInteger="1" minValue="50" maxValue="165"/>
    </cacheField>
    <cacheField name="5th Floor" numFmtId="164">
      <sharedItems containsString="0" containsBlank="1" containsNumber="1" containsInteger="1" minValue="70" maxValue="70"/>
    </cacheField>
    <cacheField name="TF" numFmtId="164">
      <sharedItems containsString="0" containsBlank="1" containsNumber="1" containsInteger="1" minValue="25" maxValue="625"/>
    </cacheField>
    <cacheField name="Total BUA" numFmtId="164">
      <sharedItems containsSemiMixedTypes="0" containsString="0" containsNumber="1" containsInteger="1" minValue="30" maxValue="9000"/>
    </cacheField>
    <cacheField name="Total BUA2" numFmtId="164">
      <sharedItems containsSemiMixedTypes="0" containsString="0" containsNumber="1" minValue="322.91999999999996" maxValue="96876"/>
    </cacheField>
    <cacheField name="YoC" numFmtId="0">
      <sharedItems containsSemiMixedTypes="0" containsString="0" containsNumber="1" containsInteger="1" minValue="1992" maxValue="1992"/>
    </cacheField>
    <cacheField name="Rate" numFmtId="0">
      <sharedItems containsSemiMixedTypes="0" containsString="0" containsNumber="1" containsInteger="1" minValue="500" maxValue="1300"/>
    </cacheField>
    <cacheField name="Eco. Life" numFmtId="0">
      <sharedItems containsSemiMixedTypes="0" containsString="0" containsNumber="1" containsInteger="1" minValue="45" maxValue="60"/>
    </cacheField>
    <cacheField name="Age" numFmtId="0">
      <sharedItems containsSemiMixedTypes="0" containsString="0" containsNumber="1" containsInteger="1" minValue="31" maxValue="31"/>
    </cacheField>
    <cacheField name="SV" numFmtId="9">
      <sharedItems containsSemiMixedTypes="0" containsString="0" containsNumber="1" minValue="0.95" maxValue="0.95"/>
    </cacheField>
    <cacheField name="GCRC" numFmtId="164">
      <sharedItems containsSemiMixedTypes="0" containsString="0" containsNumber="1" minValue="226043.99999999997" maxValue="62969400"/>
    </cacheField>
    <cacheField name="Depreciation" numFmtId="164">
      <sharedItems containsSemiMixedTypes="0" containsString="0" containsNumber="1" minValue="110949.92999999996" maxValue="31699980"/>
    </cacheField>
    <cacheField name="DRC" numFmtId="164">
      <sharedItems containsSemiMixedTypes="0" containsString="0" containsNumber="1" minValue="92988.999999999971" maxValue="32061919.5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">
  <r>
    <n v="1"/>
    <s v="Cl2 shed &amp; tank farm"/>
    <x v="0"/>
    <s v="Shed"/>
    <n v="350"/>
    <m/>
    <m/>
    <m/>
    <m/>
    <m/>
    <m/>
    <n v="350"/>
    <n v="3767.3999999999996"/>
    <n v="1992"/>
    <n v="500"/>
    <n v="45"/>
    <n v="31"/>
    <n v="0.95"/>
    <n v="1883699.9999999998"/>
    <n v="1232776.9999999998"/>
    <n v="650923"/>
  </r>
  <r>
    <n v="2"/>
    <s v="chemicaldrum shed"/>
    <x v="0"/>
    <s v="Shed"/>
    <n v="400"/>
    <m/>
    <m/>
    <m/>
    <m/>
    <m/>
    <m/>
    <n v="400"/>
    <n v="4305.5999999999995"/>
    <n v="1992"/>
    <n v="500"/>
    <n v="45"/>
    <n v="31"/>
    <n v="0.95"/>
    <n v="2152799.9999999995"/>
    <n v="1408887.9999999998"/>
    <n v="743911.99999999977"/>
  </r>
  <r>
    <n v="3"/>
    <s v="chemical tank farm area"/>
    <x v="0"/>
    <s v="Shed"/>
    <n v="9000"/>
    <m/>
    <m/>
    <m/>
    <m/>
    <m/>
    <m/>
    <n v="9000"/>
    <n v="96876"/>
    <n v="1992"/>
    <n v="500"/>
    <n v="45"/>
    <n v="31"/>
    <n v="0.95"/>
    <n v="48438000"/>
    <n v="31699980"/>
    <n v="16738020"/>
  </r>
  <r>
    <n v="4"/>
    <s v="occupational health center"/>
    <x v="0"/>
    <s v="RCC"/>
    <n v="90"/>
    <m/>
    <m/>
    <m/>
    <m/>
    <m/>
    <m/>
    <n v="90"/>
    <n v="968.76"/>
    <n v="1992"/>
    <n v="800"/>
    <n v="60"/>
    <n v="31"/>
    <n v="0.95"/>
    <n v="775008"/>
    <n v="380399.75999999995"/>
    <n v="394608.24000000005"/>
  </r>
  <r>
    <n v="5"/>
    <s v="fermentation room"/>
    <x v="0"/>
    <s v="RCC"/>
    <n v="40"/>
    <m/>
    <m/>
    <m/>
    <m/>
    <m/>
    <m/>
    <n v="40"/>
    <n v="430.55999999999995"/>
    <n v="1992"/>
    <n v="800"/>
    <n v="60"/>
    <n v="31"/>
    <n v="0.95"/>
    <n v="344447.99999999994"/>
    <n v="169066.55999999994"/>
    <n v="175381.44"/>
  </r>
  <r>
    <n v="6"/>
    <s v="transformer"/>
    <x v="0"/>
    <s v="Shed"/>
    <n v="100"/>
    <m/>
    <m/>
    <m/>
    <m/>
    <m/>
    <m/>
    <n v="100"/>
    <n v="1076.3999999999999"/>
    <n v="1992"/>
    <n v="700"/>
    <n v="45"/>
    <n v="31"/>
    <n v="0.95"/>
    <n v="753479.99999999988"/>
    <n v="493110.79999999993"/>
    <n v="260369.19999999995"/>
  </r>
  <r>
    <n v="7"/>
    <s v="electric work shop"/>
    <x v="0"/>
    <s v="RCC"/>
    <n v="30"/>
    <m/>
    <m/>
    <m/>
    <m/>
    <m/>
    <m/>
    <n v="30"/>
    <n v="322.91999999999996"/>
    <n v="1992"/>
    <n v="700"/>
    <n v="60"/>
    <n v="31"/>
    <n v="0.95"/>
    <n v="226043.99999999997"/>
    <n v="110949.92999999996"/>
    <n v="115094.07"/>
  </r>
  <r>
    <n v="8"/>
    <s v="ADM"/>
    <x v="0"/>
    <s v="RCC"/>
    <n v="548"/>
    <m/>
    <m/>
    <m/>
    <m/>
    <m/>
    <m/>
    <n v="548"/>
    <n v="5898.6719999999996"/>
    <n v="1992"/>
    <n v="1000"/>
    <n v="60"/>
    <n v="31"/>
    <n v="0.95"/>
    <n v="5898672"/>
    <n v="2895264.8399999994"/>
    <n v="3003407.1600000006"/>
  </r>
  <r>
    <n v="9"/>
    <s v="canteen"/>
    <x v="0"/>
    <s v="RCC"/>
    <n v="240"/>
    <m/>
    <m/>
    <m/>
    <m/>
    <m/>
    <m/>
    <n v="240"/>
    <n v="2583.3599999999997"/>
    <n v="1992"/>
    <n v="1000"/>
    <n v="60"/>
    <n v="31"/>
    <n v="0.95"/>
    <n v="2583359.9999999995"/>
    <n v="1267999.1999999997"/>
    <n v="1315360.7999999998"/>
  </r>
  <r>
    <n v="10"/>
    <s v="R&amp;D"/>
    <x v="0"/>
    <s v="RCC"/>
    <n v="365"/>
    <n v="160"/>
    <m/>
    <m/>
    <m/>
    <m/>
    <m/>
    <n v="525"/>
    <n v="5651.0999999999995"/>
    <n v="1992"/>
    <n v="1200"/>
    <n v="60"/>
    <n v="31"/>
    <n v="0.95"/>
    <n v="6781319.9999999991"/>
    <n v="3328497.899999999"/>
    <n v="3452822.1"/>
  </r>
  <r>
    <n v="11"/>
    <s v="Rest hall &amp; security office"/>
    <x v="0"/>
    <s v="RCC"/>
    <n v="280"/>
    <m/>
    <m/>
    <m/>
    <m/>
    <m/>
    <m/>
    <n v="280"/>
    <n v="3013.9199999999996"/>
    <n v="1992"/>
    <n v="800"/>
    <n v="60"/>
    <n v="31"/>
    <n v="0.95"/>
    <n v="2411135.9999999995"/>
    <n v="1183465.9199999995"/>
    <n v="1227670.08"/>
  </r>
  <r>
    <n v="12"/>
    <s v="civil office/instrument office"/>
    <x v="0"/>
    <s v="RCC"/>
    <n v="65"/>
    <m/>
    <m/>
    <m/>
    <m/>
    <m/>
    <m/>
    <n v="65"/>
    <n v="699.66"/>
    <n v="1992"/>
    <n v="1000"/>
    <n v="60"/>
    <n v="31"/>
    <n v="0.95"/>
    <n v="699660"/>
    <n v="343416.44999999995"/>
    <n v="356243.55000000005"/>
  </r>
  <r>
    <n v="13"/>
    <s v="cycle Shed"/>
    <x v="0"/>
    <s v="Shed"/>
    <n v="300"/>
    <m/>
    <m/>
    <m/>
    <m/>
    <m/>
    <m/>
    <n v="300"/>
    <n v="3229.2"/>
    <n v="1992"/>
    <n v="500"/>
    <n v="45"/>
    <n v="31"/>
    <n v="0.95"/>
    <n v="1614600"/>
    <n v="1056666"/>
    <n v="557934"/>
  </r>
  <r>
    <n v="14"/>
    <s v="lime shed"/>
    <x v="0"/>
    <s v="Shed"/>
    <n v="100"/>
    <m/>
    <m/>
    <m/>
    <m/>
    <m/>
    <m/>
    <n v="100"/>
    <n v="1076.3999999999999"/>
    <n v="1992"/>
    <n v="500"/>
    <n v="45"/>
    <n v="31"/>
    <n v="0.95"/>
    <n v="538199.99999999988"/>
    <n v="352221.99999999994"/>
    <n v="185977.99999999994"/>
  </r>
  <r>
    <n v="15"/>
    <s v="cement storage area"/>
    <x v="0"/>
    <s v="Shed"/>
    <n v="50"/>
    <m/>
    <m/>
    <m/>
    <m/>
    <m/>
    <m/>
    <n v="50"/>
    <n v="538.19999999999993"/>
    <n v="1992"/>
    <n v="500"/>
    <n v="45"/>
    <n v="31"/>
    <n v="0.95"/>
    <n v="269099.99999999994"/>
    <n v="176110.99999999997"/>
    <n v="92988.999999999971"/>
  </r>
  <r>
    <n v="16"/>
    <s v="PCC +DG room"/>
    <x v="0"/>
    <s v="RCC+Shed"/>
    <n v="385"/>
    <m/>
    <m/>
    <m/>
    <m/>
    <m/>
    <m/>
    <n v="385"/>
    <n v="4144.1399999999994"/>
    <n v="1992"/>
    <n v="1000"/>
    <n v="60"/>
    <n v="31"/>
    <n v="0.95"/>
    <n v="4144139.9999999995"/>
    <n v="2034082.0499999996"/>
    <n v="2110057.9500000002"/>
  </r>
  <r>
    <n v="17"/>
    <s v="MCC Room (Near PG)"/>
    <x v="0"/>
    <s v="RCC+Shed"/>
    <n v="200"/>
    <m/>
    <m/>
    <m/>
    <m/>
    <m/>
    <m/>
    <n v="200"/>
    <n v="2152.7999999999997"/>
    <n v="1992"/>
    <n v="1000"/>
    <n v="60"/>
    <n v="31"/>
    <n v="0.95"/>
    <n v="2152799.9999999995"/>
    <n v="1056665.9999999995"/>
    <n v="1096134"/>
  </r>
  <r>
    <n v="18"/>
    <s v="ETP"/>
    <x v="0"/>
    <s v="RCC"/>
    <n v="4500"/>
    <m/>
    <m/>
    <m/>
    <m/>
    <m/>
    <m/>
    <n v="4500"/>
    <n v="48438"/>
    <n v="1992"/>
    <n v="1300"/>
    <n v="60"/>
    <n v="31"/>
    <n v="0.95"/>
    <n v="62969400"/>
    <n v="30907480.499999996"/>
    <n v="32061919.500000004"/>
  </r>
  <r>
    <n v="19"/>
    <s v="Weight Bridge"/>
    <x v="0"/>
    <s v="RCC"/>
    <n v="65"/>
    <m/>
    <m/>
    <m/>
    <m/>
    <m/>
    <m/>
    <n v="65"/>
    <n v="699.66"/>
    <n v="1992"/>
    <n v="700"/>
    <n v="60"/>
    <n v="31"/>
    <n v="0.95"/>
    <n v="489762"/>
    <n v="240391.51499999996"/>
    <n v="249370.48500000004"/>
  </r>
  <r>
    <n v="20"/>
    <s v="Utility with MCC"/>
    <x v="1"/>
    <s v="RCC+Shed"/>
    <n v="910"/>
    <n v="120"/>
    <n v="320"/>
    <m/>
    <m/>
    <m/>
    <m/>
    <n v="1350"/>
    <n v="14531.4"/>
    <n v="1992"/>
    <n v="900"/>
    <n v="60"/>
    <n v="31"/>
    <n v="0.95"/>
    <n v="13078260"/>
    <n v="6419245.9499999993"/>
    <n v="6659014.0500000007"/>
  </r>
  <r>
    <n v="21"/>
    <s v="WTP Plant"/>
    <x v="1"/>
    <s v="RCC"/>
    <n v="320"/>
    <m/>
    <m/>
    <m/>
    <m/>
    <m/>
    <m/>
    <n v="320"/>
    <n v="3444.4799999999996"/>
    <n v="1992"/>
    <n v="1200"/>
    <n v="60"/>
    <n v="31"/>
    <n v="0.95"/>
    <n v="4133375.9999999995"/>
    <n v="2028798.7199999995"/>
    <n v="2104577.2800000003"/>
  </r>
  <r>
    <n v="22"/>
    <s v="RW Plant"/>
    <x v="1"/>
    <s v="RCC"/>
    <n v="390"/>
    <m/>
    <m/>
    <m/>
    <m/>
    <m/>
    <m/>
    <n v="390"/>
    <n v="4197.96"/>
    <n v="1992"/>
    <n v="1200"/>
    <n v="60"/>
    <n v="31"/>
    <n v="0.95"/>
    <n v="5037552"/>
    <n v="2472598.4399999995"/>
    <n v="2564953.5600000005"/>
  </r>
  <r>
    <n v="23"/>
    <s v="Cooling Tower-1"/>
    <x v="1"/>
    <s v="RCC"/>
    <n v="250"/>
    <m/>
    <m/>
    <m/>
    <m/>
    <m/>
    <m/>
    <n v="250"/>
    <n v="2691"/>
    <n v="1992"/>
    <n v="1200"/>
    <n v="60"/>
    <n v="31"/>
    <n v="0.95"/>
    <n v="3229200"/>
    <n v="1584998.9999999998"/>
    <n v="1644201.0000000002"/>
  </r>
  <r>
    <n v="24"/>
    <s v="Cooling Tower-2"/>
    <x v="1"/>
    <s v="RCC"/>
    <n v="175"/>
    <m/>
    <m/>
    <m/>
    <m/>
    <m/>
    <m/>
    <n v="175"/>
    <n v="1883.6999999999998"/>
    <n v="1992"/>
    <n v="1200"/>
    <n v="60"/>
    <n v="31"/>
    <n v="0.95"/>
    <n v="2260440"/>
    <n v="1109499.2999999998"/>
    <n v="1150940.7000000002"/>
  </r>
  <r>
    <n v="25"/>
    <s v="Cooling Tower-3"/>
    <x v="1"/>
    <s v="RCC"/>
    <n v="100"/>
    <m/>
    <m/>
    <m/>
    <m/>
    <m/>
    <m/>
    <n v="100"/>
    <n v="1076.3999999999999"/>
    <n v="1992"/>
    <n v="1200"/>
    <n v="60"/>
    <n v="31"/>
    <n v="0.95"/>
    <n v="1291679.9999999998"/>
    <n v="633999.59999999986"/>
    <n v="657680.39999999991"/>
  </r>
  <r>
    <n v="26"/>
    <s v="Cooling Tower-4"/>
    <x v="1"/>
    <s v="RCC"/>
    <n v="50"/>
    <m/>
    <m/>
    <m/>
    <m/>
    <m/>
    <m/>
    <n v="50"/>
    <n v="538.19999999999993"/>
    <n v="1992"/>
    <n v="1200"/>
    <n v="60"/>
    <n v="31"/>
    <n v="0.95"/>
    <n v="645839.99999999988"/>
    <n v="316999.79999999993"/>
    <n v="328840.19999999995"/>
  </r>
  <r>
    <n v="27"/>
    <s v="Storage"/>
    <x v="2"/>
    <s v="RCC+ACC Shed"/>
    <n v="1838"/>
    <m/>
    <m/>
    <m/>
    <m/>
    <m/>
    <m/>
    <n v="1838"/>
    <n v="19784.232"/>
    <n v="1992"/>
    <n v="1100"/>
    <n v="60"/>
    <n v="31"/>
    <n v="0.95"/>
    <n v="21762655.199999999"/>
    <n v="10681836.593999999"/>
    <n v="11080818.606000001"/>
  </r>
  <r>
    <n v="28"/>
    <s v="New Godown"/>
    <x v="2"/>
    <s v="RCC"/>
    <n v="180"/>
    <m/>
    <m/>
    <m/>
    <m/>
    <m/>
    <m/>
    <n v="180"/>
    <n v="1937.52"/>
    <n v="1992"/>
    <n v="1200"/>
    <n v="60"/>
    <n v="31"/>
    <n v="0.95"/>
    <n v="2325024"/>
    <n v="1141199.28"/>
    <n v="1183824.72"/>
  </r>
  <r>
    <n v="29"/>
    <s v="Packing Godown"/>
    <x v="2"/>
    <s v="RCC"/>
    <n v="100"/>
    <m/>
    <m/>
    <m/>
    <m/>
    <m/>
    <m/>
    <n v="100"/>
    <n v="1076.3999999999999"/>
    <n v="1992"/>
    <n v="1200"/>
    <n v="60"/>
    <n v="31"/>
    <n v="0.95"/>
    <n v="1291679.9999999998"/>
    <n v="633999.59999999986"/>
    <n v="657680.39999999991"/>
  </r>
  <r>
    <n v="30"/>
    <s v="PCI3 Drum Storage"/>
    <x v="2"/>
    <s v="RCC+Shed"/>
    <n v="110"/>
    <m/>
    <m/>
    <m/>
    <m/>
    <m/>
    <m/>
    <n v="110"/>
    <n v="1184.04"/>
    <n v="1992"/>
    <n v="900"/>
    <n v="60"/>
    <n v="31"/>
    <n v="0.95"/>
    <n v="1065636"/>
    <n v="523049.66999999987"/>
    <n v="542586.33000000007"/>
  </r>
  <r>
    <n v="31"/>
    <s v="Ammonium Sulphaste Recovery Plant"/>
    <x v="3"/>
    <s v="RCC+Shed"/>
    <n v="190"/>
    <n v="100"/>
    <n v="100"/>
    <n v="0"/>
    <m/>
    <m/>
    <n v="200"/>
    <n v="590"/>
    <n v="6350.7599999999993"/>
    <n v="1992"/>
    <n v="800"/>
    <n v="60"/>
    <n v="31"/>
    <n v="0.95"/>
    <n v="5080607.9999999991"/>
    <n v="2493731.7599999993"/>
    <n v="2586876.2399999998"/>
  </r>
  <r>
    <n v="32"/>
    <s v="PHPGME Plant"/>
    <x v="3"/>
    <s v="RCC+Shed"/>
    <n v="885"/>
    <n v="410"/>
    <n v="410"/>
    <n v="0"/>
    <m/>
    <m/>
    <n v="300"/>
    <n v="2005"/>
    <n v="21581.82"/>
    <n v="1992"/>
    <n v="800"/>
    <n v="60"/>
    <n v="31"/>
    <n v="0.95"/>
    <n v="17265456"/>
    <n v="8474461.3199999984"/>
    <n v="8790994.6800000016"/>
  </r>
  <r>
    <n v="33"/>
    <s v="OCPG plant"/>
    <x v="3"/>
    <s v="RCC+Shed"/>
    <n v="315"/>
    <n v="240"/>
    <n v="240"/>
    <n v="0"/>
    <m/>
    <m/>
    <n v="220"/>
    <n v="1015"/>
    <n v="10925.46"/>
    <n v="1992"/>
    <n v="800"/>
    <n v="60"/>
    <n v="31"/>
    <n v="0.95"/>
    <n v="8740368"/>
    <n v="4290063.959999999"/>
    <n v="4450304.040000001"/>
  </r>
  <r>
    <n v="34"/>
    <s v="DLPHPG +Salt Recovery Phase-I Plant"/>
    <x v="3"/>
    <s v="RCC"/>
    <n v="620"/>
    <n v="505"/>
    <n v="500"/>
    <n v="0"/>
    <m/>
    <m/>
    <n v="200"/>
    <n v="1825"/>
    <n v="19644.3"/>
    <n v="1992"/>
    <n v="1000"/>
    <n v="60"/>
    <n v="31"/>
    <n v="0.95"/>
    <n v="19644300"/>
    <n v="9642077.2499999981"/>
    <n v="10002222.750000002"/>
  </r>
  <r>
    <n v="35"/>
    <s v="DLPHPG-A Plant"/>
    <x v="3"/>
    <s v="RCC+Shed"/>
    <n v="400"/>
    <n v="240"/>
    <n v="240"/>
    <n v="100"/>
    <m/>
    <m/>
    <n v="150"/>
    <n v="1130"/>
    <n v="12163.32"/>
    <n v="1992"/>
    <n v="800"/>
    <n v="60"/>
    <n v="31"/>
    <n v="0.95"/>
    <n v="9730656"/>
    <n v="4776130.3199999994"/>
    <n v="4954525.6800000006"/>
  </r>
  <r>
    <n v="36"/>
    <s v="Cynide Treatment Plant"/>
    <x v="3"/>
    <s v="RCC"/>
    <n v="0"/>
    <n v="0"/>
    <n v="0"/>
    <n v="0"/>
    <m/>
    <m/>
    <n v="200"/>
    <n v="200"/>
    <n v="2152.7999999999997"/>
    <n v="1992"/>
    <n v="800"/>
    <n v="60"/>
    <n v="31"/>
    <n v="0.95"/>
    <n v="1722239.9999999998"/>
    <n v="845332.7999999997"/>
    <n v="876907.20000000007"/>
  </r>
  <r>
    <n v="37"/>
    <s v="SIPA"/>
    <x v="3"/>
    <s v="Shed"/>
    <n v="700"/>
    <n v="520"/>
    <n v="430"/>
    <n v="315"/>
    <m/>
    <m/>
    <n v="200"/>
    <n v="2165"/>
    <n v="23304.059999999998"/>
    <n v="1992"/>
    <n v="600"/>
    <n v="45"/>
    <n v="31"/>
    <n v="0.95"/>
    <n v="13982435.999999998"/>
    <n v="9150727.5599999987"/>
    <n v="4831708.4399999995"/>
  </r>
  <r>
    <n v="38"/>
    <s v="Pilot Plant/RSVB2 Plant"/>
    <x v="3"/>
    <s v="RCC+Shed"/>
    <n v="350"/>
    <n v="150"/>
    <n v="130"/>
    <n v="0"/>
    <m/>
    <m/>
    <n v="200"/>
    <n v="830"/>
    <n v="8934.119999999999"/>
    <n v="1992"/>
    <n v="700"/>
    <n v="60"/>
    <n v="31"/>
    <n v="0.95"/>
    <n v="6253883.9999999991"/>
    <n v="3069614.7299999991"/>
    <n v="3184269.27"/>
  </r>
  <r>
    <n v="39"/>
    <s v="DLPG(P) plant"/>
    <x v="3"/>
    <s v="RCC+Shed"/>
    <n v="250"/>
    <n v="200"/>
    <n v="200"/>
    <n v="50"/>
    <m/>
    <m/>
    <n v="625"/>
    <n v="1325"/>
    <n v="14262.3"/>
    <n v="1992"/>
    <n v="700"/>
    <n v="60"/>
    <n v="31"/>
    <n v="0.95"/>
    <n v="9983610"/>
    <n v="4900288.5749999993"/>
    <n v="5083321.4250000007"/>
  </r>
  <r>
    <n v="40"/>
    <s v="DLPG(C) Plant"/>
    <x v="3"/>
    <s v="RCC+Shed"/>
    <n v="175"/>
    <n v="150"/>
    <n v="150"/>
    <n v="0"/>
    <m/>
    <m/>
    <n v="100"/>
    <n v="575"/>
    <n v="6189.2999999999993"/>
    <n v="1992"/>
    <n v="700"/>
    <n v="60"/>
    <n v="31"/>
    <n v="0.95"/>
    <n v="4332509.9999999991"/>
    <n v="2126540.3249999993"/>
    <n v="2205969.6749999998"/>
  </r>
  <r>
    <n v="41"/>
    <s v="PG plant"/>
    <x v="3"/>
    <s v="RCC+Shed"/>
    <n v="415"/>
    <n v="370"/>
    <n v="370"/>
    <n v="270"/>
    <n v="50"/>
    <m/>
    <n v="100"/>
    <n v="1575"/>
    <n v="16953.3"/>
    <n v="1992"/>
    <n v="700"/>
    <n v="60"/>
    <n v="31"/>
    <n v="0.95"/>
    <n v="11867310"/>
    <n v="5824871.3249999993"/>
    <n v="6042438.6750000007"/>
  </r>
  <r>
    <n v="42"/>
    <s v="PGCL plant"/>
    <x v="3"/>
    <s v="RCC+Shed"/>
    <n v="420"/>
    <n v="420"/>
    <n v="420"/>
    <n v="420"/>
    <n v="70"/>
    <n v="70"/>
    <n v="250"/>
    <n v="2070"/>
    <n v="22281.48"/>
    <n v="1992"/>
    <n v="700"/>
    <n v="60"/>
    <n v="31"/>
    <n v="0.95"/>
    <n v="15597036"/>
    <n v="7655545.169999999"/>
    <n v="7941490.830000001"/>
  </r>
  <r>
    <n v="43"/>
    <s v="SPHA plant"/>
    <x v="3"/>
    <s v="Shed"/>
    <n v="400"/>
    <n v="205"/>
    <n v="205"/>
    <n v="0"/>
    <m/>
    <m/>
    <n v="250"/>
    <n v="1060"/>
    <n v="11409.84"/>
    <n v="1992"/>
    <n v="600"/>
    <n v="45"/>
    <n v="31"/>
    <n v="0.95"/>
    <n v="6845904"/>
    <n v="4480263.8400000008"/>
    <n v="2365640.1599999992"/>
  </r>
  <r>
    <n v="44"/>
    <s v="Nitrogen plant"/>
    <x v="3"/>
    <s v="Shed"/>
    <n v="160"/>
    <n v="0"/>
    <n v="0"/>
    <n v="0"/>
    <m/>
    <m/>
    <n v="25"/>
    <n v="185"/>
    <n v="1991.34"/>
    <n v="1992"/>
    <n v="600"/>
    <n v="45"/>
    <n v="31"/>
    <n v="0.95"/>
    <n v="1194804"/>
    <n v="781932.84"/>
    <n v="412871.16000000003"/>
  </r>
  <r>
    <n v="45"/>
    <s v="PPA /SPA/DLPHPG plant"/>
    <x v="3"/>
    <s v="Shed"/>
    <n v="215"/>
    <n v="165"/>
    <n v="145"/>
    <n v="0"/>
    <m/>
    <m/>
    <n v="50"/>
    <n v="575"/>
    <n v="6189.2999999999993"/>
    <n v="1992"/>
    <n v="600"/>
    <n v="45"/>
    <n v="31"/>
    <n v="0.95"/>
    <n v="3713579.9999999995"/>
    <n v="2430331.7999999998"/>
    <n v="1283248.1999999997"/>
  </r>
  <r>
    <n v="46"/>
    <s v="PHPGDS plant"/>
    <x v="3"/>
    <s v="RCC+Shed"/>
    <n v="300"/>
    <n v="195"/>
    <n v="170"/>
    <n v="170"/>
    <m/>
    <m/>
    <n v="200"/>
    <n v="1035"/>
    <n v="11140.74"/>
    <n v="1992"/>
    <n v="800"/>
    <n v="60"/>
    <n v="31"/>
    <n v="0.95"/>
    <n v="8912592"/>
    <n v="4374597.2399999993"/>
    <n v="4537994.7600000007"/>
  </r>
  <r>
    <n v="47"/>
    <s v="PG Dane salt plant"/>
    <x v="3"/>
    <s v="Shed"/>
    <n v="300"/>
    <n v="190"/>
    <n v="75"/>
    <n v="0"/>
    <m/>
    <m/>
    <n v="155"/>
    <n v="720"/>
    <n v="7750.08"/>
    <n v="1992"/>
    <n v="700"/>
    <n v="45"/>
    <n v="31"/>
    <n v="0.95"/>
    <n v="5425056"/>
    <n v="3550397.7600000002"/>
    <n v="1874658.2399999998"/>
  </r>
  <r>
    <n v="48"/>
    <s v="PHPG-II Plant"/>
    <x v="3"/>
    <s v="RCC"/>
    <n v="400"/>
    <n v="400"/>
    <n v="360"/>
    <n v="310"/>
    <n v="165"/>
    <m/>
    <n v="100"/>
    <n v="1735"/>
    <n v="18675.539999999997"/>
    <n v="1992"/>
    <n v="800"/>
    <n v="60"/>
    <n v="31"/>
    <n v="0.95"/>
    <n v="14940431.999999998"/>
    <n v="7333262.0399999982"/>
    <n v="7607169.96"/>
  </r>
  <r>
    <n v="49"/>
    <s v="PHPG-IIA Plant"/>
    <x v="3"/>
    <s v="RCC+Shed"/>
    <n v="365"/>
    <n v="350"/>
    <n v="290"/>
    <n v="0"/>
    <m/>
    <m/>
    <n v="150"/>
    <n v="1155"/>
    <n v="12432.42"/>
    <n v="1992"/>
    <n v="700"/>
    <n v="60"/>
    <n v="31"/>
    <n v="0.95"/>
    <n v="8702694"/>
    <n v="4271572.3049999988"/>
    <n v="4431121.6950000012"/>
  </r>
  <r>
    <n v="50"/>
    <s v="Salt Recovery Phase-II Plant"/>
    <x v="3"/>
    <s v="Shed"/>
    <n v="100"/>
    <n v="80"/>
    <n v="80"/>
    <n v="80"/>
    <m/>
    <m/>
    <n v="75"/>
    <n v="415"/>
    <n v="4467.0599999999995"/>
    <n v="1992"/>
    <n v="700"/>
    <n v="45"/>
    <n v="31"/>
    <n v="0.95"/>
    <n v="3126941.9999999995"/>
    <n v="2046409.8199999996"/>
    <n v="1080532.18"/>
  </r>
  <r>
    <n v="51"/>
    <s v="G.A. Plant"/>
    <x v="3"/>
    <s v="Shed"/>
    <n v="240"/>
    <n v="240"/>
    <n v="240"/>
    <n v="0"/>
    <m/>
    <m/>
    <n v="160"/>
    <n v="880"/>
    <n v="9472.32"/>
    <n v="1992"/>
    <n v="700"/>
    <n v="45"/>
    <n v="31"/>
    <n v="0.95"/>
    <n v="6630624"/>
    <n v="4339375.04"/>
    <n v="2291248.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8" firstHeaderRow="1" firstDataRow="1" firstDataCol="1"/>
  <pivotFields count="21">
    <pivotField showAll="0"/>
    <pivotField showAll="0"/>
    <pivotField axis="axisRow" showAll="0">
      <items count="5">
        <item x="0"/>
        <item x="3"/>
        <item x="2"/>
        <item x="1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showAll="0"/>
    <pivotField showAll="0"/>
    <pivotField showAll="0"/>
    <pivotField showAll="0"/>
    <pivotField numFmtId="9" showAll="0"/>
    <pivotField numFmtId="164" showAll="0"/>
    <pivotField numFmtId="164" showAll="0"/>
    <pivotField numFmtId="164"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Total BUA2" fld="12" baseField="0" baseItem="0" numFmtId="164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zoomScale="115" zoomScaleNormal="115" workbookViewId="0">
      <selection activeCell="T1" sqref="P1:T1048576"/>
    </sheetView>
  </sheetViews>
  <sheetFormatPr defaultRowHeight="12.75" x14ac:dyDescent="0.2"/>
  <cols>
    <col min="1" max="1" width="9.140625" style="28"/>
    <col min="2" max="2" width="9.140625" style="18"/>
    <col min="3" max="3" width="35.28515625" style="18" customWidth="1"/>
    <col min="4" max="4" width="19.85546875" style="18" customWidth="1"/>
    <col min="5" max="5" width="21.7109375" style="18" customWidth="1"/>
    <col min="6" max="6" width="6.28515625" style="31" hidden="1" customWidth="1"/>
    <col min="7" max="7" width="16.7109375" style="35" hidden="1" customWidth="1"/>
    <col min="8" max="8" width="11.42578125" style="27" hidden="1" customWidth="1"/>
    <col min="9" max="9" width="13.28515625" style="27" hidden="1" customWidth="1"/>
    <col min="10" max="10" width="12.140625" style="27" hidden="1" customWidth="1"/>
    <col min="11" max="11" width="13.28515625" style="27" hidden="1" customWidth="1"/>
    <col min="12" max="12" width="0" style="18" hidden="1" customWidth="1"/>
    <col min="13" max="13" width="9.140625" style="27"/>
    <col min="14" max="16" width="9.140625" style="18"/>
    <col min="17" max="17" width="9.140625" style="18" customWidth="1"/>
    <col min="18" max="18" width="12.140625" style="18" customWidth="1"/>
    <col min="19" max="19" width="12.140625" style="27" customWidth="1"/>
    <col min="20" max="20" width="11.140625" style="27" bestFit="1" customWidth="1"/>
    <col min="21" max="16384" width="9.140625" style="18"/>
  </cols>
  <sheetData>
    <row r="1" spans="1:20" x14ac:dyDescent="0.2">
      <c r="A1" s="44" t="s">
        <v>0</v>
      </c>
      <c r="B1" s="45"/>
      <c r="C1" s="45"/>
      <c r="D1" s="16"/>
      <c r="E1" s="16"/>
      <c r="F1" s="29"/>
      <c r="G1" s="33"/>
      <c r="H1" s="17"/>
      <c r="I1" s="17"/>
      <c r="J1" s="17"/>
      <c r="K1" s="17"/>
    </row>
    <row r="2" spans="1:20" x14ac:dyDescent="0.2">
      <c r="A2" s="44" t="s">
        <v>1</v>
      </c>
      <c r="B2" s="45"/>
      <c r="C2" s="45"/>
      <c r="D2" s="16"/>
      <c r="E2" s="16"/>
      <c r="F2" s="29"/>
      <c r="G2" s="33"/>
      <c r="H2" s="17"/>
      <c r="I2" s="17"/>
      <c r="J2" s="17"/>
      <c r="K2" s="17"/>
    </row>
    <row r="3" spans="1:20" x14ac:dyDescent="0.2">
      <c r="A3" s="44" t="s">
        <v>2</v>
      </c>
      <c r="B3" s="45"/>
      <c r="C3" s="45"/>
      <c r="D3" s="16"/>
      <c r="E3" s="16"/>
      <c r="F3" s="29"/>
      <c r="G3" s="33"/>
      <c r="H3" s="17"/>
      <c r="I3" s="17"/>
      <c r="J3" s="17"/>
      <c r="K3" s="17"/>
      <c r="L3" s="24">
        <f>SUM(L5:L59)</f>
        <v>17040.800000000003</v>
      </c>
      <c r="M3" s="24">
        <f>SUM(M5:M59)</f>
        <v>183427.17120000001</v>
      </c>
      <c r="P3" s="18">
        <v>2023</v>
      </c>
      <c r="R3" s="24">
        <f>SUM(R5:R59)</f>
        <v>102883926.59999998</v>
      </c>
      <c r="S3" s="24">
        <f>SUM(S5:S59)</f>
        <v>52623805.739699982</v>
      </c>
      <c r="T3" s="24">
        <f>SUM(T5:T59)</f>
        <v>50260120.860300004</v>
      </c>
    </row>
    <row r="4" spans="1:20" s="21" customFormat="1" ht="25.5" x14ac:dyDescent="0.25">
      <c r="A4" s="28" t="s">
        <v>3</v>
      </c>
      <c r="B4" s="19" t="s">
        <v>4</v>
      </c>
      <c r="C4" s="39" t="s">
        <v>5</v>
      </c>
      <c r="D4" s="39" t="s">
        <v>6</v>
      </c>
      <c r="E4" s="42" t="s">
        <v>81</v>
      </c>
      <c r="F4" s="30" t="s">
        <v>151</v>
      </c>
      <c r="G4" s="34" t="s">
        <v>179</v>
      </c>
      <c r="H4" s="20" t="s">
        <v>7</v>
      </c>
      <c r="I4" s="20" t="s">
        <v>8</v>
      </c>
      <c r="J4" s="20" t="s">
        <v>9</v>
      </c>
      <c r="K4" s="20" t="s">
        <v>10</v>
      </c>
      <c r="L4" s="37" t="s">
        <v>180</v>
      </c>
      <c r="M4" s="40" t="s">
        <v>181</v>
      </c>
      <c r="N4" s="41" t="s">
        <v>162</v>
      </c>
      <c r="O4" s="41" t="s">
        <v>182</v>
      </c>
      <c r="P4" s="41" t="s">
        <v>163</v>
      </c>
      <c r="Q4" s="37" t="s">
        <v>164</v>
      </c>
      <c r="R4" s="37" t="s">
        <v>158</v>
      </c>
      <c r="S4" s="38" t="s">
        <v>183</v>
      </c>
      <c r="T4" s="40" t="s">
        <v>160</v>
      </c>
    </row>
    <row r="5" spans="1:20" ht="15" customHeight="1" x14ac:dyDescent="0.2">
      <c r="A5" s="28" t="s">
        <v>11</v>
      </c>
      <c r="B5" s="22">
        <v>1</v>
      </c>
      <c r="C5" s="15" t="s">
        <v>12</v>
      </c>
      <c r="D5" s="22" t="s">
        <v>13</v>
      </c>
      <c r="E5" s="22" t="s">
        <v>82</v>
      </c>
      <c r="F5" s="28">
        <v>1971</v>
      </c>
      <c r="G5" s="32">
        <v>147</v>
      </c>
      <c r="H5" s="23">
        <v>252</v>
      </c>
      <c r="I5" s="23"/>
      <c r="J5" s="23"/>
      <c r="K5" s="23"/>
      <c r="L5" s="24">
        <f>SUM(G5:K5)</f>
        <v>399</v>
      </c>
      <c r="M5" s="27">
        <f>L5*10.764</f>
        <v>4294.8359999999993</v>
      </c>
      <c r="N5" s="18">
        <v>60</v>
      </c>
      <c r="O5" s="18">
        <v>1000</v>
      </c>
      <c r="P5" s="18">
        <f>$P$3-F5</f>
        <v>52</v>
      </c>
      <c r="Q5" s="36">
        <v>0.95</v>
      </c>
      <c r="R5" s="24">
        <f>O5*M5</f>
        <v>4294835.9999999991</v>
      </c>
      <c r="S5" s="27">
        <f>R5*(Q5/N5)*IF(P5&gt;N5,N5,P5)</f>
        <v>3536081.6399999987</v>
      </c>
      <c r="T5" s="27">
        <f>R5-S5</f>
        <v>758754.36000000034</v>
      </c>
    </row>
    <row r="6" spans="1:20" ht="15" customHeight="1" x14ac:dyDescent="0.2">
      <c r="A6" s="28" t="s">
        <v>11</v>
      </c>
      <c r="B6" s="22">
        <v>2</v>
      </c>
      <c r="C6" s="15" t="s">
        <v>14</v>
      </c>
      <c r="D6" s="22" t="s">
        <v>13</v>
      </c>
      <c r="E6" s="22" t="s">
        <v>80</v>
      </c>
      <c r="F6" s="28">
        <v>1992</v>
      </c>
      <c r="G6" s="32">
        <v>168</v>
      </c>
      <c r="H6" s="23">
        <v>168</v>
      </c>
      <c r="I6" s="23"/>
      <c r="J6" s="23"/>
      <c r="K6" s="23"/>
      <c r="L6" s="24">
        <f t="shared" ref="L6:L59" si="0">SUM(G6:K6)</f>
        <v>336</v>
      </c>
      <c r="M6" s="27">
        <f t="shared" ref="M6:M59" si="1">L6*10.764</f>
        <v>3616.7039999999997</v>
      </c>
      <c r="N6" s="18">
        <v>60</v>
      </c>
      <c r="O6" s="18">
        <v>1000</v>
      </c>
      <c r="P6" s="18">
        <f t="shared" ref="P6:P59" si="2">$P$3-F6</f>
        <v>31</v>
      </c>
      <c r="Q6" s="36">
        <v>0.95</v>
      </c>
      <c r="R6" s="24">
        <f t="shared" ref="R6:R59" si="3">O6*M6</f>
        <v>3616703.9999999995</v>
      </c>
      <c r="S6" s="27">
        <f t="shared" ref="S6:S59" si="4">R6*(Q6/N6)*IF(P6&gt;N6,N6,P6)</f>
        <v>1775198.8799999994</v>
      </c>
      <c r="T6" s="27">
        <f t="shared" ref="T6:T59" si="5">R6-S6</f>
        <v>1841505.12</v>
      </c>
    </row>
    <row r="7" spans="1:20" ht="15" customHeight="1" x14ac:dyDescent="0.2">
      <c r="A7" s="28" t="s">
        <v>11</v>
      </c>
      <c r="B7" s="22">
        <v>3</v>
      </c>
      <c r="C7" s="15" t="s">
        <v>15</v>
      </c>
      <c r="D7" s="22" t="s">
        <v>13</v>
      </c>
      <c r="E7" s="22">
        <v>1972</v>
      </c>
      <c r="F7" s="28">
        <f>E7</f>
        <v>1972</v>
      </c>
      <c r="G7" s="32">
        <v>105</v>
      </c>
      <c r="H7" s="23"/>
      <c r="I7" s="23"/>
      <c r="J7" s="23"/>
      <c r="K7" s="23"/>
      <c r="L7" s="24">
        <f t="shared" si="0"/>
        <v>105</v>
      </c>
      <c r="M7" s="27">
        <f t="shared" si="1"/>
        <v>1130.22</v>
      </c>
      <c r="N7" s="18">
        <v>60</v>
      </c>
      <c r="O7" s="18">
        <v>1000</v>
      </c>
      <c r="P7" s="18">
        <f t="shared" si="2"/>
        <v>51</v>
      </c>
      <c r="Q7" s="36">
        <v>0.95</v>
      </c>
      <c r="R7" s="24">
        <f t="shared" si="3"/>
        <v>1130220</v>
      </c>
      <c r="S7" s="27">
        <f t="shared" si="4"/>
        <v>912652.64999999991</v>
      </c>
      <c r="T7" s="27">
        <f t="shared" si="5"/>
        <v>217567.35000000009</v>
      </c>
    </row>
    <row r="8" spans="1:20" ht="15" customHeight="1" x14ac:dyDescent="0.2">
      <c r="A8" s="28" t="s">
        <v>11</v>
      </c>
      <c r="B8" s="22">
        <v>4</v>
      </c>
      <c r="C8" s="15" t="s">
        <v>16</v>
      </c>
      <c r="D8" s="22" t="s">
        <v>13</v>
      </c>
      <c r="E8" s="25">
        <v>1992</v>
      </c>
      <c r="F8" s="28">
        <f t="shared" ref="F8:F59" si="6">E8</f>
        <v>1992</v>
      </c>
      <c r="G8" s="32">
        <v>84</v>
      </c>
      <c r="H8" s="23"/>
      <c r="I8" s="23"/>
      <c r="J8" s="23"/>
      <c r="K8" s="23"/>
      <c r="L8" s="24">
        <f t="shared" si="0"/>
        <v>84</v>
      </c>
      <c r="M8" s="27">
        <f t="shared" si="1"/>
        <v>904.17599999999993</v>
      </c>
      <c r="N8" s="18">
        <v>60</v>
      </c>
      <c r="O8" s="18">
        <v>800</v>
      </c>
      <c r="P8" s="18">
        <f t="shared" si="2"/>
        <v>31</v>
      </c>
      <c r="Q8" s="36">
        <v>0.95</v>
      </c>
      <c r="R8" s="24">
        <f t="shared" si="3"/>
        <v>723340.79999999993</v>
      </c>
      <c r="S8" s="27">
        <f t="shared" si="4"/>
        <v>355039.7759999999</v>
      </c>
      <c r="T8" s="27">
        <f t="shared" si="5"/>
        <v>368301.02400000003</v>
      </c>
    </row>
    <row r="9" spans="1:20" ht="15" customHeight="1" x14ac:dyDescent="0.2">
      <c r="A9" s="28" t="s">
        <v>17</v>
      </c>
      <c r="B9" s="22">
        <v>5</v>
      </c>
      <c r="C9" s="15" t="s">
        <v>18</v>
      </c>
      <c r="D9" s="22" t="s">
        <v>19</v>
      </c>
      <c r="E9" s="22">
        <v>1971</v>
      </c>
      <c r="F9" s="28">
        <f t="shared" si="6"/>
        <v>1971</v>
      </c>
      <c r="G9" s="32">
        <v>186.3</v>
      </c>
      <c r="H9" s="23">
        <v>186.3</v>
      </c>
      <c r="I9" s="23">
        <v>186.3</v>
      </c>
      <c r="J9" s="23">
        <v>186.3</v>
      </c>
      <c r="K9" s="23">
        <v>186.3</v>
      </c>
      <c r="L9" s="24">
        <f t="shared" si="0"/>
        <v>931.5</v>
      </c>
      <c r="M9" s="27">
        <f t="shared" si="1"/>
        <v>10026.665999999999</v>
      </c>
      <c r="N9" s="18">
        <v>45</v>
      </c>
      <c r="O9" s="18">
        <v>400</v>
      </c>
      <c r="P9" s="18">
        <f t="shared" si="2"/>
        <v>52</v>
      </c>
      <c r="Q9" s="36">
        <v>0.95</v>
      </c>
      <c r="R9" s="24">
        <f t="shared" si="3"/>
        <v>4010666.4</v>
      </c>
      <c r="S9" s="27">
        <f t="shared" si="4"/>
        <v>3810133.0799999996</v>
      </c>
      <c r="T9" s="27">
        <f t="shared" si="5"/>
        <v>200533.3200000003</v>
      </c>
    </row>
    <row r="10" spans="1:20" ht="15" customHeight="1" x14ac:dyDescent="0.2">
      <c r="A10" s="28" t="s">
        <v>17</v>
      </c>
      <c r="B10" s="22">
        <v>6</v>
      </c>
      <c r="C10" s="15" t="s">
        <v>20</v>
      </c>
      <c r="D10" s="22" t="s">
        <v>19</v>
      </c>
      <c r="E10" s="22">
        <v>2016</v>
      </c>
      <c r="F10" s="28">
        <f t="shared" si="6"/>
        <v>2016</v>
      </c>
      <c r="G10" s="32">
        <v>55.2</v>
      </c>
      <c r="H10" s="23"/>
      <c r="I10" s="23"/>
      <c r="J10" s="23"/>
      <c r="K10" s="23"/>
      <c r="L10" s="24">
        <f t="shared" si="0"/>
        <v>55.2</v>
      </c>
      <c r="M10" s="27">
        <f t="shared" si="1"/>
        <v>594.17279999999994</v>
      </c>
      <c r="N10" s="18">
        <v>45</v>
      </c>
      <c r="O10" s="18">
        <v>400</v>
      </c>
      <c r="P10" s="18">
        <f t="shared" si="2"/>
        <v>7</v>
      </c>
      <c r="Q10" s="36">
        <v>0.95</v>
      </c>
      <c r="R10" s="24">
        <f t="shared" si="3"/>
        <v>237669.11999999997</v>
      </c>
      <c r="S10" s="27">
        <f t="shared" si="4"/>
        <v>35122.214399999997</v>
      </c>
      <c r="T10" s="27">
        <f t="shared" si="5"/>
        <v>202546.90559999997</v>
      </c>
    </row>
    <row r="11" spans="1:20" ht="15" customHeight="1" x14ac:dyDescent="0.2">
      <c r="A11" s="28" t="s">
        <v>17</v>
      </c>
      <c r="B11" s="22">
        <v>7</v>
      </c>
      <c r="C11" s="15" t="s">
        <v>21</v>
      </c>
      <c r="D11" s="22" t="s">
        <v>19</v>
      </c>
      <c r="E11" s="22">
        <v>2018</v>
      </c>
      <c r="F11" s="28">
        <f t="shared" si="6"/>
        <v>2018</v>
      </c>
      <c r="G11" s="32">
        <v>86</v>
      </c>
      <c r="H11" s="23">
        <v>86</v>
      </c>
      <c r="I11" s="23">
        <v>86</v>
      </c>
      <c r="J11" s="23">
        <v>86</v>
      </c>
      <c r="K11" s="23">
        <v>86</v>
      </c>
      <c r="L11" s="24">
        <f t="shared" si="0"/>
        <v>430</v>
      </c>
      <c r="M11" s="27">
        <f t="shared" si="1"/>
        <v>4628.5199999999995</v>
      </c>
      <c r="N11" s="18">
        <v>45</v>
      </c>
      <c r="O11" s="18">
        <v>400</v>
      </c>
      <c r="P11" s="18">
        <f t="shared" si="2"/>
        <v>5</v>
      </c>
      <c r="Q11" s="36">
        <v>0.95</v>
      </c>
      <c r="R11" s="24">
        <f t="shared" si="3"/>
        <v>1851407.9999999998</v>
      </c>
      <c r="S11" s="27">
        <f t="shared" si="4"/>
        <v>195426.4</v>
      </c>
      <c r="T11" s="27">
        <f t="shared" si="5"/>
        <v>1655981.5999999999</v>
      </c>
    </row>
    <row r="12" spans="1:20" ht="15" customHeight="1" x14ac:dyDescent="0.2">
      <c r="A12" s="28" t="s">
        <v>17</v>
      </c>
      <c r="B12" s="22">
        <v>8</v>
      </c>
      <c r="C12" s="15" t="s">
        <v>22</v>
      </c>
      <c r="D12" s="22" t="s">
        <v>13</v>
      </c>
      <c r="E12" s="22">
        <v>2020</v>
      </c>
      <c r="F12" s="28">
        <f t="shared" si="6"/>
        <v>2020</v>
      </c>
      <c r="G12" s="32">
        <v>96.25</v>
      </c>
      <c r="H12" s="23"/>
      <c r="I12" s="23"/>
      <c r="J12" s="23"/>
      <c r="K12" s="23"/>
      <c r="L12" s="24">
        <f t="shared" si="0"/>
        <v>96.25</v>
      </c>
      <c r="M12" s="27">
        <f t="shared" si="1"/>
        <v>1036.0349999999999</v>
      </c>
      <c r="N12" s="18">
        <v>60</v>
      </c>
      <c r="O12" s="18">
        <v>500</v>
      </c>
      <c r="P12" s="18">
        <f t="shared" si="2"/>
        <v>3</v>
      </c>
      <c r="Q12" s="36">
        <v>0.95</v>
      </c>
      <c r="R12" s="24">
        <f t="shared" si="3"/>
        <v>518017.49999999994</v>
      </c>
      <c r="S12" s="27">
        <f t="shared" si="4"/>
        <v>24605.831249999996</v>
      </c>
      <c r="T12" s="27">
        <f t="shared" si="5"/>
        <v>493411.66874999995</v>
      </c>
    </row>
    <row r="13" spans="1:20" ht="15" customHeight="1" x14ac:dyDescent="0.2">
      <c r="A13" s="28" t="s">
        <v>17</v>
      </c>
      <c r="B13" s="22">
        <v>9</v>
      </c>
      <c r="C13" s="15" t="s">
        <v>23</v>
      </c>
      <c r="D13" s="22" t="s">
        <v>19</v>
      </c>
      <c r="E13" s="22">
        <v>2021</v>
      </c>
      <c r="F13" s="28">
        <f t="shared" si="6"/>
        <v>2021</v>
      </c>
      <c r="G13" s="32">
        <v>385</v>
      </c>
      <c r="H13" s="23">
        <v>385</v>
      </c>
      <c r="I13" s="23">
        <v>385</v>
      </c>
      <c r="J13" s="23">
        <v>385</v>
      </c>
      <c r="K13" s="23">
        <v>385</v>
      </c>
      <c r="L13" s="24">
        <f t="shared" si="0"/>
        <v>1925</v>
      </c>
      <c r="M13" s="27">
        <f t="shared" si="1"/>
        <v>20720.699999999997</v>
      </c>
      <c r="N13" s="18">
        <v>45</v>
      </c>
      <c r="O13" s="18">
        <v>400</v>
      </c>
      <c r="P13" s="18">
        <f t="shared" si="2"/>
        <v>2</v>
      </c>
      <c r="Q13" s="36">
        <v>0.95</v>
      </c>
      <c r="R13" s="24">
        <f t="shared" si="3"/>
        <v>8288279.9999999991</v>
      </c>
      <c r="S13" s="27">
        <f t="shared" si="4"/>
        <v>349949.6</v>
      </c>
      <c r="T13" s="27">
        <f t="shared" si="5"/>
        <v>7938330.3999999994</v>
      </c>
    </row>
    <row r="14" spans="1:20" ht="15" customHeight="1" x14ac:dyDescent="0.2">
      <c r="A14" s="28" t="s">
        <v>17</v>
      </c>
      <c r="B14" s="22">
        <v>10</v>
      </c>
      <c r="C14" s="15" t="s">
        <v>24</v>
      </c>
      <c r="D14" s="22" t="s">
        <v>19</v>
      </c>
      <c r="E14" s="22">
        <v>2005</v>
      </c>
      <c r="F14" s="28">
        <f t="shared" si="6"/>
        <v>2005</v>
      </c>
      <c r="G14" s="32">
        <v>168</v>
      </c>
      <c r="H14" s="23"/>
      <c r="I14" s="23"/>
      <c r="J14" s="23"/>
      <c r="K14" s="23"/>
      <c r="L14" s="24">
        <f t="shared" si="0"/>
        <v>168</v>
      </c>
      <c r="M14" s="27">
        <f t="shared" si="1"/>
        <v>1808.3519999999999</v>
      </c>
      <c r="N14" s="18">
        <v>45</v>
      </c>
      <c r="O14" s="18">
        <v>400</v>
      </c>
      <c r="P14" s="18">
        <f t="shared" si="2"/>
        <v>18</v>
      </c>
      <c r="Q14" s="36">
        <v>0.95</v>
      </c>
      <c r="R14" s="24">
        <f t="shared" si="3"/>
        <v>723340.79999999993</v>
      </c>
      <c r="S14" s="27">
        <f t="shared" si="4"/>
        <v>274869.50399999996</v>
      </c>
      <c r="T14" s="27">
        <f t="shared" si="5"/>
        <v>448471.29599999997</v>
      </c>
    </row>
    <row r="15" spans="1:20" ht="15" customHeight="1" x14ac:dyDescent="0.2">
      <c r="A15" s="28" t="s">
        <v>25</v>
      </c>
      <c r="B15" s="22">
        <v>11</v>
      </c>
      <c r="C15" s="15" t="s">
        <v>26</v>
      </c>
      <c r="D15" s="22" t="s">
        <v>19</v>
      </c>
      <c r="E15" s="22">
        <v>2011</v>
      </c>
      <c r="F15" s="28">
        <f t="shared" si="6"/>
        <v>2011</v>
      </c>
      <c r="G15" s="32">
        <v>577</v>
      </c>
      <c r="H15" s="23">
        <v>577</v>
      </c>
      <c r="I15" s="23">
        <v>577</v>
      </c>
      <c r="J15" s="23">
        <v>577</v>
      </c>
      <c r="K15" s="23"/>
      <c r="L15" s="24">
        <f t="shared" si="0"/>
        <v>2308</v>
      </c>
      <c r="M15" s="27">
        <f t="shared" si="1"/>
        <v>24843.311999999998</v>
      </c>
      <c r="N15" s="18">
        <v>45</v>
      </c>
      <c r="O15" s="18">
        <v>400</v>
      </c>
      <c r="P15" s="18">
        <f t="shared" si="2"/>
        <v>12</v>
      </c>
      <c r="Q15" s="36">
        <v>0.95</v>
      </c>
      <c r="R15" s="24">
        <f t="shared" si="3"/>
        <v>9937324.7999999989</v>
      </c>
      <c r="S15" s="27">
        <f t="shared" si="4"/>
        <v>2517455.6159999999</v>
      </c>
      <c r="T15" s="27">
        <f t="shared" si="5"/>
        <v>7419869.1839999985</v>
      </c>
    </row>
    <row r="16" spans="1:20" ht="15" customHeight="1" x14ac:dyDescent="0.2">
      <c r="A16" s="28" t="s">
        <v>25</v>
      </c>
      <c r="B16" s="22">
        <v>12</v>
      </c>
      <c r="C16" s="15" t="s">
        <v>27</v>
      </c>
      <c r="D16" s="22" t="s">
        <v>13</v>
      </c>
      <c r="E16" s="22">
        <v>2005</v>
      </c>
      <c r="F16" s="28">
        <f t="shared" si="6"/>
        <v>2005</v>
      </c>
      <c r="G16" s="32">
        <v>539</v>
      </c>
      <c r="H16" s="23"/>
      <c r="I16" s="23"/>
      <c r="J16" s="23"/>
      <c r="K16" s="23"/>
      <c r="L16" s="24">
        <f t="shared" si="0"/>
        <v>539</v>
      </c>
      <c r="M16" s="27">
        <f t="shared" si="1"/>
        <v>5801.7959999999994</v>
      </c>
      <c r="N16" s="18">
        <v>60</v>
      </c>
      <c r="O16" s="18">
        <v>500</v>
      </c>
      <c r="P16" s="18">
        <f t="shared" si="2"/>
        <v>18</v>
      </c>
      <c r="Q16" s="36">
        <v>0.95</v>
      </c>
      <c r="R16" s="24">
        <f t="shared" si="3"/>
        <v>2900897.9999999995</v>
      </c>
      <c r="S16" s="27">
        <f t="shared" si="4"/>
        <v>826755.92999999982</v>
      </c>
      <c r="T16" s="27">
        <f t="shared" si="5"/>
        <v>2074142.0699999998</v>
      </c>
    </row>
    <row r="17" spans="1:20" ht="15" customHeight="1" x14ac:dyDescent="0.2">
      <c r="A17" s="28" t="s">
        <v>25</v>
      </c>
      <c r="B17" s="22">
        <v>13</v>
      </c>
      <c r="C17" s="15" t="s">
        <v>28</v>
      </c>
      <c r="D17" s="22" t="s">
        <v>19</v>
      </c>
      <c r="E17" s="22">
        <v>1980</v>
      </c>
      <c r="F17" s="28">
        <f t="shared" si="6"/>
        <v>1980</v>
      </c>
      <c r="G17" s="32">
        <v>436</v>
      </c>
      <c r="H17" s="23"/>
      <c r="I17" s="23"/>
      <c r="J17" s="23"/>
      <c r="K17" s="23"/>
      <c r="L17" s="24">
        <f t="shared" si="0"/>
        <v>436</v>
      </c>
      <c r="M17" s="27">
        <f t="shared" si="1"/>
        <v>4693.1039999999994</v>
      </c>
      <c r="N17" s="18">
        <v>45</v>
      </c>
      <c r="O17" s="18">
        <v>400</v>
      </c>
      <c r="P17" s="18">
        <f t="shared" si="2"/>
        <v>43</v>
      </c>
      <c r="Q17" s="36">
        <v>0.95</v>
      </c>
      <c r="R17" s="24">
        <f t="shared" si="3"/>
        <v>1877241.5999999996</v>
      </c>
      <c r="S17" s="27">
        <f t="shared" si="4"/>
        <v>1704118.2079999999</v>
      </c>
      <c r="T17" s="27">
        <f t="shared" si="5"/>
        <v>173123.39199999976</v>
      </c>
    </row>
    <row r="18" spans="1:20" ht="15" customHeight="1" x14ac:dyDescent="0.2">
      <c r="A18" s="28" t="s">
        <v>25</v>
      </c>
      <c r="B18" s="22">
        <v>14</v>
      </c>
      <c r="C18" s="15" t="s">
        <v>29</v>
      </c>
      <c r="D18" s="22" t="s">
        <v>19</v>
      </c>
      <c r="E18" s="22">
        <v>1980</v>
      </c>
      <c r="F18" s="28">
        <f t="shared" si="6"/>
        <v>1980</v>
      </c>
      <c r="G18" s="32">
        <v>415</v>
      </c>
      <c r="H18" s="23"/>
      <c r="I18" s="23"/>
      <c r="J18" s="23"/>
      <c r="K18" s="23"/>
      <c r="L18" s="24">
        <f t="shared" si="0"/>
        <v>415</v>
      </c>
      <c r="M18" s="27">
        <f t="shared" si="1"/>
        <v>4467.0599999999995</v>
      </c>
      <c r="N18" s="18">
        <v>45</v>
      </c>
      <c r="O18" s="18">
        <v>400</v>
      </c>
      <c r="P18" s="18">
        <f t="shared" si="2"/>
        <v>43</v>
      </c>
      <c r="Q18" s="36">
        <v>0.95</v>
      </c>
      <c r="R18" s="24">
        <f t="shared" si="3"/>
        <v>1786823.9999999998</v>
      </c>
      <c r="S18" s="27">
        <f t="shared" si="4"/>
        <v>1622039.1199999999</v>
      </c>
      <c r="T18" s="27">
        <f t="shared" si="5"/>
        <v>164784.87999999989</v>
      </c>
    </row>
    <row r="19" spans="1:20" ht="15" customHeight="1" x14ac:dyDescent="0.2">
      <c r="A19" s="28" t="s">
        <v>25</v>
      </c>
      <c r="B19" s="22">
        <v>15</v>
      </c>
      <c r="C19" s="15" t="s">
        <v>30</v>
      </c>
      <c r="D19" s="22" t="s">
        <v>19</v>
      </c>
      <c r="E19" s="22">
        <v>2020</v>
      </c>
      <c r="F19" s="28">
        <f t="shared" si="6"/>
        <v>2020</v>
      </c>
      <c r="G19" s="32">
        <v>68.25</v>
      </c>
      <c r="H19" s="23">
        <v>68.25</v>
      </c>
      <c r="I19" s="23">
        <v>68.25</v>
      </c>
      <c r="J19" s="23">
        <v>68.25</v>
      </c>
      <c r="K19" s="23"/>
      <c r="L19" s="24">
        <f t="shared" si="0"/>
        <v>273</v>
      </c>
      <c r="M19" s="27">
        <f t="shared" si="1"/>
        <v>2938.5719999999997</v>
      </c>
      <c r="N19" s="18">
        <v>45</v>
      </c>
      <c r="O19" s="18">
        <v>400</v>
      </c>
      <c r="P19" s="18">
        <f t="shared" si="2"/>
        <v>3</v>
      </c>
      <c r="Q19" s="36">
        <v>0.95</v>
      </c>
      <c r="R19" s="24">
        <f t="shared" si="3"/>
        <v>1175428.7999999998</v>
      </c>
      <c r="S19" s="27">
        <f t="shared" si="4"/>
        <v>74443.823999999993</v>
      </c>
      <c r="T19" s="27">
        <f t="shared" si="5"/>
        <v>1100984.9759999998</v>
      </c>
    </row>
    <row r="20" spans="1:20" ht="15" customHeight="1" x14ac:dyDescent="0.2">
      <c r="A20" s="28" t="s">
        <v>31</v>
      </c>
      <c r="B20" s="22">
        <v>16</v>
      </c>
      <c r="C20" s="15" t="s">
        <v>32</v>
      </c>
      <c r="D20" s="22" t="s">
        <v>19</v>
      </c>
      <c r="E20" s="22">
        <v>1971</v>
      </c>
      <c r="F20" s="28">
        <f t="shared" si="6"/>
        <v>1971</v>
      </c>
      <c r="G20" s="32">
        <v>174.1</v>
      </c>
      <c r="H20" s="23">
        <v>152.1</v>
      </c>
      <c r="I20" s="23">
        <v>152.1</v>
      </c>
      <c r="J20" s="23">
        <v>152.1</v>
      </c>
      <c r="K20" s="23"/>
      <c r="L20" s="24">
        <f t="shared" si="0"/>
        <v>630.4</v>
      </c>
      <c r="M20" s="27">
        <f t="shared" si="1"/>
        <v>6785.6255999999994</v>
      </c>
      <c r="N20" s="18">
        <v>45</v>
      </c>
      <c r="O20" s="18">
        <v>400</v>
      </c>
      <c r="P20" s="18">
        <f t="shared" si="2"/>
        <v>52</v>
      </c>
      <c r="Q20" s="36">
        <v>0.95</v>
      </c>
      <c r="R20" s="24">
        <f t="shared" si="3"/>
        <v>2714250.2399999998</v>
      </c>
      <c r="S20" s="27">
        <f t="shared" si="4"/>
        <v>2578537.7279999997</v>
      </c>
      <c r="T20" s="27">
        <f t="shared" si="5"/>
        <v>135712.5120000001</v>
      </c>
    </row>
    <row r="21" spans="1:20" ht="15" customHeight="1" x14ac:dyDescent="0.2">
      <c r="A21" s="28" t="s">
        <v>31</v>
      </c>
      <c r="B21" s="22">
        <v>17</v>
      </c>
      <c r="C21" s="15" t="s">
        <v>33</v>
      </c>
      <c r="D21" s="22" t="s">
        <v>13</v>
      </c>
      <c r="E21" s="22">
        <v>1972</v>
      </c>
      <c r="F21" s="28">
        <f t="shared" si="6"/>
        <v>1972</v>
      </c>
      <c r="G21" s="32">
        <v>80</v>
      </c>
      <c r="H21" s="23"/>
      <c r="I21" s="23"/>
      <c r="J21" s="23"/>
      <c r="K21" s="23"/>
      <c r="L21" s="24">
        <f t="shared" si="0"/>
        <v>80</v>
      </c>
      <c r="M21" s="27">
        <f t="shared" si="1"/>
        <v>861.11999999999989</v>
      </c>
      <c r="N21" s="18">
        <v>60</v>
      </c>
      <c r="O21" s="18">
        <v>500</v>
      </c>
      <c r="P21" s="18">
        <f t="shared" si="2"/>
        <v>51</v>
      </c>
      <c r="Q21" s="36">
        <v>0.95</v>
      </c>
      <c r="R21" s="24">
        <f t="shared" si="3"/>
        <v>430559.99999999994</v>
      </c>
      <c r="S21" s="27">
        <f t="shared" si="4"/>
        <v>347677.1999999999</v>
      </c>
      <c r="T21" s="27">
        <f t="shared" si="5"/>
        <v>82882.800000000047</v>
      </c>
    </row>
    <row r="22" spans="1:20" ht="15" customHeight="1" x14ac:dyDescent="0.2">
      <c r="A22" s="28" t="s">
        <v>31</v>
      </c>
      <c r="B22" s="22">
        <v>18</v>
      </c>
      <c r="C22" s="15" t="s">
        <v>34</v>
      </c>
      <c r="D22" s="22" t="s">
        <v>19</v>
      </c>
      <c r="E22" s="22">
        <v>2000</v>
      </c>
      <c r="F22" s="28">
        <f t="shared" si="6"/>
        <v>2000</v>
      </c>
      <c r="G22" s="32">
        <v>242</v>
      </c>
      <c r="H22" s="23"/>
      <c r="I22" s="23"/>
      <c r="J22" s="23"/>
      <c r="K22" s="23"/>
      <c r="L22" s="24">
        <f t="shared" si="0"/>
        <v>242</v>
      </c>
      <c r="M22" s="27">
        <f t="shared" si="1"/>
        <v>2604.8879999999999</v>
      </c>
      <c r="N22" s="18">
        <v>45</v>
      </c>
      <c r="O22" s="18">
        <v>400</v>
      </c>
      <c r="P22" s="18">
        <f t="shared" si="2"/>
        <v>23</v>
      </c>
      <c r="Q22" s="36">
        <v>0.95</v>
      </c>
      <c r="R22" s="24">
        <f t="shared" si="3"/>
        <v>1041955.2</v>
      </c>
      <c r="S22" s="27">
        <f t="shared" si="4"/>
        <v>505927.13599999994</v>
      </c>
      <c r="T22" s="27">
        <f t="shared" si="5"/>
        <v>536028.06400000001</v>
      </c>
    </row>
    <row r="23" spans="1:20" ht="15" customHeight="1" x14ac:dyDescent="0.2">
      <c r="A23" s="28" t="s">
        <v>31</v>
      </c>
      <c r="B23" s="22">
        <v>19</v>
      </c>
      <c r="C23" s="15" t="s">
        <v>35</v>
      </c>
      <c r="D23" s="22" t="s">
        <v>13</v>
      </c>
      <c r="E23" s="22">
        <v>2015</v>
      </c>
      <c r="F23" s="28">
        <f t="shared" si="6"/>
        <v>2015</v>
      </c>
      <c r="G23" s="32">
        <v>425</v>
      </c>
      <c r="H23" s="23"/>
      <c r="I23" s="23"/>
      <c r="J23" s="23"/>
      <c r="K23" s="23"/>
      <c r="L23" s="24">
        <f t="shared" si="0"/>
        <v>425</v>
      </c>
      <c r="M23" s="27">
        <f t="shared" si="1"/>
        <v>4574.7</v>
      </c>
      <c r="N23" s="18">
        <v>60</v>
      </c>
      <c r="O23" s="18">
        <v>1000</v>
      </c>
      <c r="P23" s="18">
        <f t="shared" si="2"/>
        <v>8</v>
      </c>
      <c r="Q23" s="36">
        <v>0.95</v>
      </c>
      <c r="R23" s="24">
        <f t="shared" si="3"/>
        <v>4574700</v>
      </c>
      <c r="S23" s="27">
        <f t="shared" si="4"/>
        <v>579461.99999999988</v>
      </c>
      <c r="T23" s="27">
        <f t="shared" si="5"/>
        <v>3995238</v>
      </c>
    </row>
    <row r="24" spans="1:20" ht="15" customHeight="1" x14ac:dyDescent="0.2">
      <c r="A24" s="28" t="s">
        <v>31</v>
      </c>
      <c r="B24" s="22">
        <v>20</v>
      </c>
      <c r="C24" s="15" t="s">
        <v>36</v>
      </c>
      <c r="D24" s="22" t="s">
        <v>13</v>
      </c>
      <c r="E24" s="22">
        <v>2020</v>
      </c>
      <c r="F24" s="28">
        <f t="shared" si="6"/>
        <v>2020</v>
      </c>
      <c r="G24" s="32">
        <v>83.25</v>
      </c>
      <c r="H24" s="23"/>
      <c r="I24" s="23"/>
      <c r="J24" s="23"/>
      <c r="K24" s="23"/>
      <c r="L24" s="24">
        <f t="shared" si="0"/>
        <v>83.25</v>
      </c>
      <c r="M24" s="27">
        <f t="shared" si="1"/>
        <v>896.10299999999995</v>
      </c>
      <c r="N24" s="18">
        <v>60</v>
      </c>
      <c r="O24" s="18">
        <v>500</v>
      </c>
      <c r="P24" s="18">
        <f t="shared" si="2"/>
        <v>3</v>
      </c>
      <c r="Q24" s="36">
        <v>0.95</v>
      </c>
      <c r="R24" s="24">
        <f t="shared" si="3"/>
        <v>448051.5</v>
      </c>
      <c r="S24" s="27">
        <f t="shared" si="4"/>
        <v>21282.446249999997</v>
      </c>
      <c r="T24" s="27">
        <f t="shared" si="5"/>
        <v>426769.05375000002</v>
      </c>
    </row>
    <row r="25" spans="1:20" ht="15" customHeight="1" x14ac:dyDescent="0.2">
      <c r="A25" s="28" t="s">
        <v>31</v>
      </c>
      <c r="B25" s="26">
        <v>21</v>
      </c>
      <c r="C25" s="15" t="s">
        <v>37</v>
      </c>
      <c r="D25" s="22" t="s">
        <v>13</v>
      </c>
      <c r="E25" s="22">
        <v>1971</v>
      </c>
      <c r="F25" s="28">
        <f t="shared" si="6"/>
        <v>1971</v>
      </c>
      <c r="G25" s="32">
        <v>27</v>
      </c>
      <c r="H25" s="23"/>
      <c r="I25" s="23"/>
      <c r="J25" s="23"/>
      <c r="K25" s="23"/>
      <c r="L25" s="24">
        <f t="shared" si="0"/>
        <v>27</v>
      </c>
      <c r="M25" s="27">
        <f t="shared" si="1"/>
        <v>290.62799999999999</v>
      </c>
      <c r="N25" s="18">
        <v>60</v>
      </c>
      <c r="O25" s="18">
        <v>1000</v>
      </c>
      <c r="P25" s="18">
        <f t="shared" si="2"/>
        <v>52</v>
      </c>
      <c r="Q25" s="36">
        <v>0.95</v>
      </c>
      <c r="R25" s="24">
        <f t="shared" si="3"/>
        <v>290628</v>
      </c>
      <c r="S25" s="27">
        <f t="shared" si="4"/>
        <v>239283.71999999997</v>
      </c>
      <c r="T25" s="27">
        <f t="shared" si="5"/>
        <v>51344.280000000028</v>
      </c>
    </row>
    <row r="26" spans="1:20" ht="15" customHeight="1" x14ac:dyDescent="0.2">
      <c r="A26" s="28" t="s">
        <v>38</v>
      </c>
      <c r="B26" s="22">
        <v>22</v>
      </c>
      <c r="C26" s="15" t="s">
        <v>39</v>
      </c>
      <c r="D26" s="22" t="s">
        <v>13</v>
      </c>
      <c r="E26" s="22">
        <v>1972</v>
      </c>
      <c r="F26" s="28">
        <f t="shared" si="6"/>
        <v>1972</v>
      </c>
      <c r="G26" s="32">
        <v>117</v>
      </c>
      <c r="H26" s="23"/>
      <c r="I26" s="23"/>
      <c r="J26" s="23"/>
      <c r="K26" s="23"/>
      <c r="L26" s="24">
        <f t="shared" si="0"/>
        <v>117</v>
      </c>
      <c r="M26" s="27">
        <f t="shared" si="1"/>
        <v>1259.3879999999999</v>
      </c>
      <c r="N26" s="18">
        <v>60</v>
      </c>
      <c r="O26" s="18">
        <v>500</v>
      </c>
      <c r="P26" s="18">
        <f t="shared" si="2"/>
        <v>51</v>
      </c>
      <c r="Q26" s="36">
        <v>0.95</v>
      </c>
      <c r="R26" s="24">
        <f t="shared" si="3"/>
        <v>629694</v>
      </c>
      <c r="S26" s="27">
        <f t="shared" si="4"/>
        <v>508477.90499999991</v>
      </c>
      <c r="T26" s="27">
        <f t="shared" si="5"/>
        <v>121216.09500000009</v>
      </c>
    </row>
    <row r="27" spans="1:20" ht="15" customHeight="1" x14ac:dyDescent="0.2">
      <c r="A27" s="28" t="s">
        <v>38</v>
      </c>
      <c r="B27" s="22">
        <v>23</v>
      </c>
      <c r="C27" s="15" t="s">
        <v>40</v>
      </c>
      <c r="D27" s="22" t="s">
        <v>13</v>
      </c>
      <c r="E27" s="22">
        <v>1972</v>
      </c>
      <c r="F27" s="28">
        <f t="shared" si="6"/>
        <v>1972</v>
      </c>
      <c r="G27" s="32">
        <v>580</v>
      </c>
      <c r="H27" s="23"/>
      <c r="I27" s="23"/>
      <c r="J27" s="23"/>
      <c r="K27" s="23"/>
      <c r="L27" s="24">
        <f t="shared" si="0"/>
        <v>580</v>
      </c>
      <c r="M27" s="27">
        <f t="shared" si="1"/>
        <v>6243.12</v>
      </c>
      <c r="N27" s="18">
        <v>60</v>
      </c>
      <c r="O27" s="18">
        <v>800</v>
      </c>
      <c r="P27" s="18">
        <f t="shared" si="2"/>
        <v>51</v>
      </c>
      <c r="Q27" s="36">
        <v>0.95</v>
      </c>
      <c r="R27" s="24">
        <f t="shared" si="3"/>
        <v>4994496</v>
      </c>
      <c r="S27" s="27">
        <f t="shared" si="4"/>
        <v>4033055.5199999996</v>
      </c>
      <c r="T27" s="27">
        <f t="shared" si="5"/>
        <v>961440.48000000045</v>
      </c>
    </row>
    <row r="28" spans="1:20" ht="15" customHeight="1" x14ac:dyDescent="0.2">
      <c r="A28" s="28" t="s">
        <v>38</v>
      </c>
      <c r="B28" s="22">
        <v>24</v>
      </c>
      <c r="C28" s="15" t="s">
        <v>41</v>
      </c>
      <c r="D28" s="22" t="s">
        <v>13</v>
      </c>
      <c r="E28" s="22">
        <v>2012</v>
      </c>
      <c r="F28" s="28">
        <f t="shared" si="6"/>
        <v>2012</v>
      </c>
      <c r="G28" s="32">
        <v>220.5</v>
      </c>
      <c r="H28" s="23"/>
      <c r="I28" s="23"/>
      <c r="J28" s="23"/>
      <c r="K28" s="23"/>
      <c r="L28" s="24">
        <f t="shared" si="0"/>
        <v>220.5</v>
      </c>
      <c r="M28" s="27">
        <f t="shared" si="1"/>
        <v>2373.462</v>
      </c>
      <c r="N28" s="18">
        <v>60</v>
      </c>
      <c r="O28" s="18">
        <v>1000</v>
      </c>
      <c r="P28" s="18">
        <f t="shared" si="2"/>
        <v>11</v>
      </c>
      <c r="Q28" s="36">
        <v>0.95</v>
      </c>
      <c r="R28" s="24">
        <f t="shared" si="3"/>
        <v>2373462</v>
      </c>
      <c r="S28" s="27">
        <f t="shared" si="4"/>
        <v>413377.96499999997</v>
      </c>
      <c r="T28" s="27">
        <f t="shared" si="5"/>
        <v>1960084.0350000001</v>
      </c>
    </row>
    <row r="29" spans="1:20" ht="15" customHeight="1" x14ac:dyDescent="0.2">
      <c r="A29" s="28" t="s">
        <v>38</v>
      </c>
      <c r="B29" s="22">
        <v>25</v>
      </c>
      <c r="C29" s="15" t="s">
        <v>42</v>
      </c>
      <c r="D29" s="22" t="s">
        <v>13</v>
      </c>
      <c r="E29" s="22">
        <v>1972</v>
      </c>
      <c r="F29" s="28">
        <f t="shared" si="6"/>
        <v>1972</v>
      </c>
      <c r="G29" s="32">
        <v>137.5</v>
      </c>
      <c r="H29" s="23"/>
      <c r="I29" s="23"/>
      <c r="J29" s="23"/>
      <c r="K29" s="23"/>
      <c r="L29" s="24">
        <f t="shared" si="0"/>
        <v>137.5</v>
      </c>
      <c r="M29" s="27">
        <f t="shared" si="1"/>
        <v>1480.05</v>
      </c>
      <c r="N29" s="18">
        <v>60</v>
      </c>
      <c r="O29" s="18">
        <v>1000</v>
      </c>
      <c r="P29" s="18">
        <f t="shared" si="2"/>
        <v>51</v>
      </c>
      <c r="Q29" s="36">
        <v>0.95</v>
      </c>
      <c r="R29" s="24">
        <f t="shared" si="3"/>
        <v>1480050</v>
      </c>
      <c r="S29" s="27">
        <f t="shared" si="4"/>
        <v>1195140.3749999998</v>
      </c>
      <c r="T29" s="27">
        <f t="shared" si="5"/>
        <v>284909.62500000023</v>
      </c>
    </row>
    <row r="30" spans="1:20" ht="15" customHeight="1" x14ac:dyDescent="0.2">
      <c r="A30" s="28" t="s">
        <v>38</v>
      </c>
      <c r="B30" s="22">
        <v>26</v>
      </c>
      <c r="C30" s="15" t="s">
        <v>43</v>
      </c>
      <c r="D30" s="22" t="s">
        <v>13</v>
      </c>
      <c r="E30" s="22">
        <v>2018</v>
      </c>
      <c r="F30" s="28">
        <f t="shared" si="6"/>
        <v>2018</v>
      </c>
      <c r="G30" s="32">
        <v>33.6</v>
      </c>
      <c r="H30" s="23"/>
      <c r="I30" s="23"/>
      <c r="J30" s="23"/>
      <c r="K30" s="23"/>
      <c r="L30" s="24">
        <f t="shared" si="0"/>
        <v>33.6</v>
      </c>
      <c r="M30" s="27">
        <f t="shared" si="1"/>
        <v>361.67039999999997</v>
      </c>
      <c r="N30" s="18">
        <v>60</v>
      </c>
      <c r="O30" s="18">
        <v>1000</v>
      </c>
      <c r="P30" s="18">
        <f t="shared" si="2"/>
        <v>5</v>
      </c>
      <c r="Q30" s="36">
        <v>0.95</v>
      </c>
      <c r="R30" s="24">
        <f t="shared" si="3"/>
        <v>361670.39999999997</v>
      </c>
      <c r="S30" s="27">
        <f t="shared" si="4"/>
        <v>28632.239999999991</v>
      </c>
      <c r="T30" s="27">
        <f t="shared" si="5"/>
        <v>333038.15999999997</v>
      </c>
    </row>
    <row r="31" spans="1:20" ht="15" customHeight="1" x14ac:dyDescent="0.2">
      <c r="A31" s="28" t="s">
        <v>44</v>
      </c>
      <c r="B31" s="26">
        <v>27</v>
      </c>
      <c r="C31" s="15" t="s">
        <v>45</v>
      </c>
      <c r="D31" s="22" t="s">
        <v>19</v>
      </c>
      <c r="E31" s="22">
        <v>1971</v>
      </c>
      <c r="F31" s="28">
        <f t="shared" si="6"/>
        <v>1971</v>
      </c>
      <c r="G31" s="32">
        <v>98</v>
      </c>
      <c r="H31" s="23"/>
      <c r="I31" s="23"/>
      <c r="J31" s="23"/>
      <c r="K31" s="23"/>
      <c r="L31" s="24">
        <f t="shared" si="0"/>
        <v>98</v>
      </c>
      <c r="M31" s="27">
        <f t="shared" si="1"/>
        <v>1054.8719999999998</v>
      </c>
      <c r="N31" s="18">
        <v>45</v>
      </c>
      <c r="O31" s="18">
        <v>400</v>
      </c>
      <c r="P31" s="18">
        <f t="shared" si="2"/>
        <v>52</v>
      </c>
      <c r="Q31" s="36">
        <v>0.95</v>
      </c>
      <c r="R31" s="24">
        <f t="shared" si="3"/>
        <v>421948.79999999993</v>
      </c>
      <c r="S31" s="27">
        <f t="shared" si="4"/>
        <v>400851.36</v>
      </c>
      <c r="T31" s="27">
        <f t="shared" si="5"/>
        <v>21097.439999999944</v>
      </c>
    </row>
    <row r="32" spans="1:20" ht="15" customHeight="1" x14ac:dyDescent="0.2">
      <c r="A32" s="28" t="s">
        <v>44</v>
      </c>
      <c r="B32" s="26">
        <v>28</v>
      </c>
      <c r="C32" s="15" t="s">
        <v>46</v>
      </c>
      <c r="D32" s="22" t="s">
        <v>13</v>
      </c>
      <c r="E32" s="22">
        <v>2010</v>
      </c>
      <c r="F32" s="28">
        <f t="shared" si="6"/>
        <v>2010</v>
      </c>
      <c r="G32" s="32">
        <v>108.8</v>
      </c>
      <c r="H32" s="23"/>
      <c r="I32" s="23"/>
      <c r="J32" s="23"/>
      <c r="K32" s="23"/>
      <c r="L32" s="24">
        <f t="shared" si="0"/>
        <v>108.8</v>
      </c>
      <c r="M32" s="27">
        <f t="shared" si="1"/>
        <v>1171.1232</v>
      </c>
      <c r="N32" s="18">
        <v>60</v>
      </c>
      <c r="O32" s="18">
        <v>1000</v>
      </c>
      <c r="P32" s="18">
        <f t="shared" si="2"/>
        <v>13</v>
      </c>
      <c r="Q32" s="36">
        <v>0.95</v>
      </c>
      <c r="R32" s="24">
        <f t="shared" si="3"/>
        <v>1171123.2</v>
      </c>
      <c r="S32" s="27">
        <f t="shared" si="4"/>
        <v>241056.19199999995</v>
      </c>
      <c r="T32" s="27">
        <f t="shared" si="5"/>
        <v>930067.00800000003</v>
      </c>
    </row>
    <row r="33" spans="1:20" ht="15" customHeight="1" x14ac:dyDescent="0.2">
      <c r="A33" s="28" t="s">
        <v>44</v>
      </c>
      <c r="B33" s="26">
        <v>29</v>
      </c>
      <c r="C33" s="15" t="s">
        <v>47</v>
      </c>
      <c r="D33" s="22" t="s">
        <v>13</v>
      </c>
      <c r="E33" s="22">
        <v>2010</v>
      </c>
      <c r="F33" s="28">
        <f t="shared" si="6"/>
        <v>2010</v>
      </c>
      <c r="G33" s="32">
        <v>32.5</v>
      </c>
      <c r="H33" s="23"/>
      <c r="I33" s="23"/>
      <c r="J33" s="23"/>
      <c r="K33" s="23"/>
      <c r="L33" s="24">
        <f t="shared" si="0"/>
        <v>32.5</v>
      </c>
      <c r="M33" s="27">
        <f t="shared" si="1"/>
        <v>349.83</v>
      </c>
      <c r="N33" s="18">
        <v>60</v>
      </c>
      <c r="O33" s="18">
        <v>1000</v>
      </c>
      <c r="P33" s="18">
        <f t="shared" si="2"/>
        <v>13</v>
      </c>
      <c r="Q33" s="36">
        <v>0.95</v>
      </c>
      <c r="R33" s="24">
        <f t="shared" si="3"/>
        <v>349830</v>
      </c>
      <c r="S33" s="27">
        <f t="shared" si="4"/>
        <v>72006.674999999988</v>
      </c>
      <c r="T33" s="27">
        <f t="shared" si="5"/>
        <v>277823.32500000001</v>
      </c>
    </row>
    <row r="34" spans="1:20" ht="15" customHeight="1" x14ac:dyDescent="0.2">
      <c r="A34" s="28" t="s">
        <v>44</v>
      </c>
      <c r="B34" s="26">
        <v>30</v>
      </c>
      <c r="C34" s="15" t="s">
        <v>48</v>
      </c>
      <c r="D34" s="22" t="s">
        <v>13</v>
      </c>
      <c r="E34" s="22">
        <v>2010</v>
      </c>
      <c r="F34" s="28">
        <f t="shared" si="6"/>
        <v>2010</v>
      </c>
      <c r="G34" s="32">
        <v>50.4</v>
      </c>
      <c r="H34" s="23"/>
      <c r="I34" s="23"/>
      <c r="J34" s="23"/>
      <c r="K34" s="23"/>
      <c r="L34" s="24">
        <f t="shared" si="0"/>
        <v>50.4</v>
      </c>
      <c r="M34" s="27">
        <f t="shared" si="1"/>
        <v>542.50559999999996</v>
      </c>
      <c r="N34" s="18">
        <v>60</v>
      </c>
      <c r="O34" s="18">
        <v>1000</v>
      </c>
      <c r="P34" s="18">
        <f t="shared" si="2"/>
        <v>13</v>
      </c>
      <c r="Q34" s="36">
        <v>0.95</v>
      </c>
      <c r="R34" s="24">
        <f t="shared" si="3"/>
        <v>542505.6</v>
      </c>
      <c r="S34" s="27">
        <f t="shared" si="4"/>
        <v>111665.73599999998</v>
      </c>
      <c r="T34" s="27">
        <f t="shared" si="5"/>
        <v>430839.864</v>
      </c>
    </row>
    <row r="35" spans="1:20" ht="15" customHeight="1" x14ac:dyDescent="0.2">
      <c r="A35" s="28" t="s">
        <v>44</v>
      </c>
      <c r="B35" s="26">
        <v>31</v>
      </c>
      <c r="C35" s="15" t="s">
        <v>49</v>
      </c>
      <c r="D35" s="22" t="s">
        <v>13</v>
      </c>
      <c r="E35" s="22">
        <v>2020</v>
      </c>
      <c r="F35" s="28">
        <f t="shared" si="6"/>
        <v>2020</v>
      </c>
      <c r="G35" s="32">
        <v>48</v>
      </c>
      <c r="H35" s="23"/>
      <c r="I35" s="23"/>
      <c r="J35" s="23"/>
      <c r="K35" s="23"/>
      <c r="L35" s="24">
        <f t="shared" si="0"/>
        <v>48</v>
      </c>
      <c r="M35" s="27">
        <f t="shared" si="1"/>
        <v>516.67200000000003</v>
      </c>
      <c r="N35" s="18">
        <v>60</v>
      </c>
      <c r="O35" s="18">
        <v>1000</v>
      </c>
      <c r="P35" s="18">
        <f t="shared" si="2"/>
        <v>3</v>
      </c>
      <c r="Q35" s="36">
        <v>0.95</v>
      </c>
      <c r="R35" s="24">
        <f t="shared" si="3"/>
        <v>516672</v>
      </c>
      <c r="S35" s="27">
        <f t="shared" si="4"/>
        <v>24541.919999999995</v>
      </c>
      <c r="T35" s="27">
        <f t="shared" si="5"/>
        <v>492130.08</v>
      </c>
    </row>
    <row r="36" spans="1:20" ht="15" customHeight="1" x14ac:dyDescent="0.2">
      <c r="A36" s="28" t="s">
        <v>50</v>
      </c>
      <c r="B36" s="26">
        <v>32</v>
      </c>
      <c r="C36" s="15" t="s">
        <v>51</v>
      </c>
      <c r="D36" s="22" t="s">
        <v>13</v>
      </c>
      <c r="E36" s="22">
        <v>2020</v>
      </c>
      <c r="F36" s="28">
        <f t="shared" si="6"/>
        <v>2020</v>
      </c>
      <c r="G36" s="32">
        <v>300</v>
      </c>
      <c r="H36" s="23"/>
      <c r="I36" s="23"/>
      <c r="J36" s="23"/>
      <c r="K36" s="23"/>
      <c r="L36" s="24">
        <f t="shared" si="0"/>
        <v>300</v>
      </c>
      <c r="M36" s="27">
        <f t="shared" si="1"/>
        <v>3229.2</v>
      </c>
      <c r="N36" s="18">
        <v>60</v>
      </c>
      <c r="O36" s="18">
        <v>600</v>
      </c>
      <c r="P36" s="18">
        <f t="shared" si="2"/>
        <v>3</v>
      </c>
      <c r="Q36" s="36">
        <v>0.95</v>
      </c>
      <c r="R36" s="24">
        <f t="shared" si="3"/>
        <v>1937520</v>
      </c>
      <c r="S36" s="27">
        <f t="shared" si="4"/>
        <v>92032.199999999983</v>
      </c>
      <c r="T36" s="27">
        <f t="shared" si="5"/>
        <v>1845487.8</v>
      </c>
    </row>
    <row r="37" spans="1:20" ht="15" customHeight="1" x14ac:dyDescent="0.2">
      <c r="A37" s="28" t="s">
        <v>50</v>
      </c>
      <c r="B37" s="22">
        <v>33</v>
      </c>
      <c r="C37" s="15" t="s">
        <v>52</v>
      </c>
      <c r="D37" s="22" t="s">
        <v>13</v>
      </c>
      <c r="E37" s="22">
        <v>1972</v>
      </c>
      <c r="F37" s="28">
        <f t="shared" si="6"/>
        <v>1972</v>
      </c>
      <c r="G37" s="32">
        <v>970</v>
      </c>
      <c r="H37" s="23"/>
      <c r="I37" s="23"/>
      <c r="J37" s="23"/>
      <c r="K37" s="23"/>
      <c r="L37" s="24">
        <f t="shared" si="0"/>
        <v>970</v>
      </c>
      <c r="M37" s="27">
        <f t="shared" si="1"/>
        <v>10441.08</v>
      </c>
      <c r="N37" s="18">
        <v>60</v>
      </c>
      <c r="O37" s="18">
        <v>600</v>
      </c>
      <c r="P37" s="18">
        <f t="shared" si="2"/>
        <v>51</v>
      </c>
      <c r="Q37" s="36">
        <v>0.95</v>
      </c>
      <c r="R37" s="24">
        <f t="shared" si="3"/>
        <v>6264648</v>
      </c>
      <c r="S37" s="27">
        <f t="shared" si="4"/>
        <v>5058703.2599999988</v>
      </c>
      <c r="T37" s="27">
        <f t="shared" si="5"/>
        <v>1205944.7400000012</v>
      </c>
    </row>
    <row r="38" spans="1:20" ht="15" customHeight="1" x14ac:dyDescent="0.2">
      <c r="A38" s="28" t="s">
        <v>50</v>
      </c>
      <c r="B38" s="26">
        <v>34</v>
      </c>
      <c r="C38" s="15" t="s">
        <v>53</v>
      </c>
      <c r="D38" s="22" t="s">
        <v>13</v>
      </c>
      <c r="E38" s="22">
        <v>1972</v>
      </c>
      <c r="F38" s="28">
        <f t="shared" si="6"/>
        <v>1972</v>
      </c>
      <c r="G38" s="32">
        <v>33</v>
      </c>
      <c r="H38" s="23"/>
      <c r="I38" s="23"/>
      <c r="J38" s="23"/>
      <c r="K38" s="23"/>
      <c r="L38" s="24">
        <f t="shared" si="0"/>
        <v>33</v>
      </c>
      <c r="M38" s="27">
        <f t="shared" si="1"/>
        <v>355.21199999999999</v>
      </c>
      <c r="N38" s="18">
        <v>60</v>
      </c>
      <c r="O38" s="18">
        <v>700</v>
      </c>
      <c r="P38" s="18">
        <f t="shared" si="2"/>
        <v>51</v>
      </c>
      <c r="Q38" s="36">
        <v>0.95</v>
      </c>
      <c r="R38" s="24">
        <f t="shared" si="3"/>
        <v>248648.4</v>
      </c>
      <c r="S38" s="27">
        <f t="shared" si="4"/>
        <v>200783.58299999998</v>
      </c>
      <c r="T38" s="27">
        <f t="shared" si="5"/>
        <v>47864.81700000001</v>
      </c>
    </row>
    <row r="39" spans="1:20" ht="15" customHeight="1" x14ac:dyDescent="0.2">
      <c r="A39" s="28" t="s">
        <v>50</v>
      </c>
      <c r="B39" s="22">
        <v>35</v>
      </c>
      <c r="C39" s="15" t="s">
        <v>54</v>
      </c>
      <c r="D39" s="22" t="s">
        <v>13</v>
      </c>
      <c r="E39" s="22">
        <v>1972</v>
      </c>
      <c r="F39" s="28">
        <f t="shared" si="6"/>
        <v>1972</v>
      </c>
      <c r="G39" s="32">
        <v>136</v>
      </c>
      <c r="H39" s="23"/>
      <c r="I39" s="23"/>
      <c r="J39" s="23"/>
      <c r="K39" s="23"/>
      <c r="L39" s="24">
        <f t="shared" si="0"/>
        <v>136</v>
      </c>
      <c r="M39" s="27">
        <f t="shared" si="1"/>
        <v>1463.904</v>
      </c>
      <c r="N39" s="18">
        <v>60</v>
      </c>
      <c r="O39" s="18">
        <v>800</v>
      </c>
      <c r="P39" s="18">
        <f t="shared" si="2"/>
        <v>51</v>
      </c>
      <c r="Q39" s="36">
        <v>0.95</v>
      </c>
      <c r="R39" s="24">
        <f t="shared" si="3"/>
        <v>1171123.2</v>
      </c>
      <c r="S39" s="27">
        <f t="shared" si="4"/>
        <v>945681.98399999982</v>
      </c>
      <c r="T39" s="27">
        <f t="shared" si="5"/>
        <v>225441.21600000013</v>
      </c>
    </row>
    <row r="40" spans="1:20" ht="15" customHeight="1" x14ac:dyDescent="0.2">
      <c r="A40" s="28" t="s">
        <v>55</v>
      </c>
      <c r="B40" s="22">
        <v>36</v>
      </c>
      <c r="C40" s="15" t="s">
        <v>56</v>
      </c>
      <c r="D40" s="22" t="s">
        <v>13</v>
      </c>
      <c r="E40" s="22">
        <v>1989</v>
      </c>
      <c r="F40" s="28">
        <f t="shared" si="6"/>
        <v>1989</v>
      </c>
      <c r="G40" s="32">
        <v>256</v>
      </c>
      <c r="H40" s="23"/>
      <c r="I40" s="23"/>
      <c r="J40" s="23"/>
      <c r="K40" s="23"/>
      <c r="L40" s="24">
        <f t="shared" si="0"/>
        <v>256</v>
      </c>
      <c r="M40" s="27">
        <f t="shared" si="1"/>
        <v>2755.5839999999998</v>
      </c>
      <c r="N40" s="18">
        <v>60</v>
      </c>
      <c r="O40" s="18">
        <v>600</v>
      </c>
      <c r="P40" s="18">
        <f t="shared" si="2"/>
        <v>34</v>
      </c>
      <c r="Q40" s="36">
        <v>0.95</v>
      </c>
      <c r="R40" s="24">
        <f t="shared" si="3"/>
        <v>1653350.3999999999</v>
      </c>
      <c r="S40" s="27">
        <f t="shared" si="4"/>
        <v>890053.63199999987</v>
      </c>
      <c r="T40" s="27">
        <f t="shared" si="5"/>
        <v>763296.76800000004</v>
      </c>
    </row>
    <row r="41" spans="1:20" ht="15" customHeight="1" x14ac:dyDescent="0.2">
      <c r="A41" s="28" t="s">
        <v>55</v>
      </c>
      <c r="B41" s="22">
        <v>37</v>
      </c>
      <c r="C41" s="15" t="s">
        <v>57</v>
      </c>
      <c r="D41" s="22" t="s">
        <v>13</v>
      </c>
      <c r="E41" s="22">
        <v>1989</v>
      </c>
      <c r="F41" s="28">
        <f t="shared" si="6"/>
        <v>1989</v>
      </c>
      <c r="G41" s="32">
        <v>416</v>
      </c>
      <c r="H41" s="23"/>
      <c r="I41" s="23"/>
      <c r="J41" s="23"/>
      <c r="K41" s="23"/>
      <c r="L41" s="24">
        <f t="shared" si="0"/>
        <v>416</v>
      </c>
      <c r="M41" s="27">
        <f t="shared" si="1"/>
        <v>4477.8239999999996</v>
      </c>
      <c r="N41" s="18">
        <v>60</v>
      </c>
      <c r="O41" s="18">
        <v>400</v>
      </c>
      <c r="P41" s="18">
        <f t="shared" si="2"/>
        <v>34</v>
      </c>
      <c r="Q41" s="36">
        <v>0.95</v>
      </c>
      <c r="R41" s="24">
        <f t="shared" si="3"/>
        <v>1791129.5999999999</v>
      </c>
      <c r="S41" s="27">
        <f t="shared" si="4"/>
        <v>964224.76799999969</v>
      </c>
      <c r="T41" s="27">
        <f t="shared" si="5"/>
        <v>826904.83200000017</v>
      </c>
    </row>
    <row r="42" spans="1:20" ht="15" customHeight="1" x14ac:dyDescent="0.2">
      <c r="A42" s="28" t="s">
        <v>55</v>
      </c>
      <c r="B42" s="22">
        <v>38</v>
      </c>
      <c r="C42" s="15" t="s">
        <v>58</v>
      </c>
      <c r="D42" s="22" t="s">
        <v>13</v>
      </c>
      <c r="E42" s="22">
        <v>2012</v>
      </c>
      <c r="F42" s="28">
        <f t="shared" si="6"/>
        <v>2012</v>
      </c>
      <c r="G42" s="32">
        <v>168</v>
      </c>
      <c r="H42" s="23"/>
      <c r="I42" s="23"/>
      <c r="J42" s="23"/>
      <c r="K42" s="23"/>
      <c r="L42" s="24">
        <f t="shared" si="0"/>
        <v>168</v>
      </c>
      <c r="M42" s="27">
        <f t="shared" si="1"/>
        <v>1808.3519999999999</v>
      </c>
      <c r="N42" s="18">
        <v>60</v>
      </c>
      <c r="O42" s="18">
        <v>400</v>
      </c>
      <c r="P42" s="18">
        <f t="shared" si="2"/>
        <v>11</v>
      </c>
      <c r="Q42" s="36">
        <v>0.95</v>
      </c>
      <c r="R42" s="24">
        <f t="shared" si="3"/>
        <v>723340.79999999993</v>
      </c>
      <c r="S42" s="27">
        <f t="shared" si="4"/>
        <v>125981.85599999997</v>
      </c>
      <c r="T42" s="27">
        <f t="shared" si="5"/>
        <v>597358.9439999999</v>
      </c>
    </row>
    <row r="43" spans="1:20" ht="15" customHeight="1" x14ac:dyDescent="0.2">
      <c r="A43" s="28" t="s">
        <v>55</v>
      </c>
      <c r="B43" s="22">
        <v>39</v>
      </c>
      <c r="C43" s="15" t="s">
        <v>59</v>
      </c>
      <c r="D43" s="22" t="s">
        <v>13</v>
      </c>
      <c r="E43" s="22">
        <v>1989</v>
      </c>
      <c r="F43" s="28">
        <f t="shared" si="6"/>
        <v>1989</v>
      </c>
      <c r="G43" s="32">
        <v>192.5</v>
      </c>
      <c r="H43" s="23"/>
      <c r="I43" s="23"/>
      <c r="J43" s="23"/>
      <c r="K43" s="23"/>
      <c r="L43" s="24">
        <f t="shared" si="0"/>
        <v>192.5</v>
      </c>
      <c r="M43" s="27">
        <f t="shared" si="1"/>
        <v>2072.0699999999997</v>
      </c>
      <c r="N43" s="18">
        <v>60</v>
      </c>
      <c r="O43" s="18">
        <v>400</v>
      </c>
      <c r="P43" s="18">
        <f t="shared" si="2"/>
        <v>34</v>
      </c>
      <c r="Q43" s="36">
        <v>0.95</v>
      </c>
      <c r="R43" s="24">
        <f t="shared" si="3"/>
        <v>828827.99999999988</v>
      </c>
      <c r="S43" s="27">
        <f t="shared" si="4"/>
        <v>446185.73999999987</v>
      </c>
      <c r="T43" s="27">
        <f t="shared" si="5"/>
        <v>382642.26</v>
      </c>
    </row>
    <row r="44" spans="1:20" ht="15" customHeight="1" x14ac:dyDescent="0.2">
      <c r="A44" s="28" t="s">
        <v>55</v>
      </c>
      <c r="B44" s="22">
        <v>40</v>
      </c>
      <c r="C44" s="15" t="s">
        <v>60</v>
      </c>
      <c r="D44" s="22" t="s">
        <v>62</v>
      </c>
      <c r="E44" s="22">
        <v>2015</v>
      </c>
      <c r="F44" s="28">
        <f t="shared" si="6"/>
        <v>2015</v>
      </c>
      <c r="G44" s="32">
        <v>166.2</v>
      </c>
      <c r="H44" s="23"/>
      <c r="I44" s="23"/>
      <c r="J44" s="23"/>
      <c r="K44" s="23"/>
      <c r="L44" s="24">
        <f t="shared" si="0"/>
        <v>166.2</v>
      </c>
      <c r="M44" s="27">
        <f t="shared" si="1"/>
        <v>1788.9767999999997</v>
      </c>
      <c r="N44" s="18">
        <v>45</v>
      </c>
      <c r="O44" s="18">
        <v>400</v>
      </c>
      <c r="P44" s="18">
        <f t="shared" si="2"/>
        <v>8</v>
      </c>
      <c r="Q44" s="36">
        <v>0.95</v>
      </c>
      <c r="R44" s="24">
        <f t="shared" si="3"/>
        <v>715590.71999999986</v>
      </c>
      <c r="S44" s="27">
        <f t="shared" si="4"/>
        <v>120855.32159999998</v>
      </c>
      <c r="T44" s="27">
        <f t="shared" si="5"/>
        <v>594735.39839999983</v>
      </c>
    </row>
    <row r="45" spans="1:20" ht="15" customHeight="1" x14ac:dyDescent="0.2">
      <c r="A45" s="28" t="s">
        <v>55</v>
      </c>
      <c r="B45" s="22">
        <v>41</v>
      </c>
      <c r="C45" s="15" t="s">
        <v>61</v>
      </c>
      <c r="D45" s="22" t="s">
        <v>62</v>
      </c>
      <c r="E45" s="22">
        <v>2012</v>
      </c>
      <c r="F45" s="28">
        <f t="shared" si="6"/>
        <v>2012</v>
      </c>
      <c r="G45" s="32">
        <v>236.2</v>
      </c>
      <c r="H45" s="23"/>
      <c r="I45" s="23"/>
      <c r="J45" s="23"/>
      <c r="K45" s="23"/>
      <c r="L45" s="24">
        <f t="shared" si="0"/>
        <v>236.2</v>
      </c>
      <c r="M45" s="27">
        <f t="shared" si="1"/>
        <v>2542.4567999999999</v>
      </c>
      <c r="N45" s="18">
        <v>45</v>
      </c>
      <c r="O45" s="18">
        <v>400</v>
      </c>
      <c r="P45" s="18">
        <f t="shared" si="2"/>
        <v>11</v>
      </c>
      <c r="Q45" s="36">
        <v>0.95</v>
      </c>
      <c r="R45" s="24">
        <f t="shared" si="3"/>
        <v>1016982.72</v>
      </c>
      <c r="S45" s="27">
        <f t="shared" si="4"/>
        <v>236165.9872</v>
      </c>
      <c r="T45" s="27">
        <f t="shared" si="5"/>
        <v>780816.7328</v>
      </c>
    </row>
    <row r="46" spans="1:20" ht="15" customHeight="1" x14ac:dyDescent="0.2">
      <c r="A46" s="28" t="s">
        <v>55</v>
      </c>
      <c r="B46" s="22">
        <v>42</v>
      </c>
      <c r="C46" s="15" t="s">
        <v>63</v>
      </c>
      <c r="D46" s="22" t="s">
        <v>62</v>
      </c>
      <c r="E46" s="22">
        <v>2012</v>
      </c>
      <c r="F46" s="28">
        <f t="shared" si="6"/>
        <v>2012</v>
      </c>
      <c r="G46" s="32">
        <v>253.5</v>
      </c>
      <c r="H46" s="23"/>
      <c r="I46" s="23"/>
      <c r="J46" s="23"/>
      <c r="K46" s="23"/>
      <c r="L46" s="24">
        <f t="shared" si="0"/>
        <v>253.5</v>
      </c>
      <c r="M46" s="27">
        <f t="shared" si="1"/>
        <v>2728.674</v>
      </c>
      <c r="N46" s="18">
        <v>45</v>
      </c>
      <c r="O46" s="18">
        <v>400</v>
      </c>
      <c r="P46" s="18">
        <f t="shared" si="2"/>
        <v>11</v>
      </c>
      <c r="Q46" s="36">
        <v>0.95</v>
      </c>
      <c r="R46" s="24">
        <f t="shared" si="3"/>
        <v>1091469.6000000001</v>
      </c>
      <c r="S46" s="27">
        <f t="shared" si="4"/>
        <v>253463.49600000001</v>
      </c>
      <c r="T46" s="27">
        <f t="shared" si="5"/>
        <v>838006.10400000005</v>
      </c>
    </row>
    <row r="47" spans="1:20" ht="15" customHeight="1" x14ac:dyDescent="0.2">
      <c r="A47" s="28" t="s">
        <v>55</v>
      </c>
      <c r="B47" s="22">
        <v>43</v>
      </c>
      <c r="C47" s="15" t="s">
        <v>64</v>
      </c>
      <c r="D47" s="22" t="s">
        <v>62</v>
      </c>
      <c r="E47" s="22">
        <v>2012</v>
      </c>
      <c r="F47" s="28">
        <f t="shared" si="6"/>
        <v>2012</v>
      </c>
      <c r="G47" s="32">
        <v>236.25</v>
      </c>
      <c r="H47" s="23"/>
      <c r="I47" s="23"/>
      <c r="J47" s="23"/>
      <c r="K47" s="23"/>
      <c r="L47" s="24">
        <f t="shared" si="0"/>
        <v>236.25</v>
      </c>
      <c r="M47" s="27">
        <f t="shared" si="1"/>
        <v>2542.9949999999999</v>
      </c>
      <c r="N47" s="18">
        <v>45</v>
      </c>
      <c r="O47" s="18">
        <v>400</v>
      </c>
      <c r="P47" s="18">
        <f t="shared" si="2"/>
        <v>11</v>
      </c>
      <c r="Q47" s="36">
        <v>0.95</v>
      </c>
      <c r="R47" s="24">
        <f t="shared" si="3"/>
        <v>1017198</v>
      </c>
      <c r="S47" s="27">
        <f t="shared" si="4"/>
        <v>236215.98</v>
      </c>
      <c r="T47" s="27">
        <f t="shared" si="5"/>
        <v>780982.02</v>
      </c>
    </row>
    <row r="48" spans="1:20" ht="15" customHeight="1" x14ac:dyDescent="0.2">
      <c r="A48" s="28" t="s">
        <v>65</v>
      </c>
      <c r="B48" s="22">
        <v>44</v>
      </c>
      <c r="C48" s="15" t="s">
        <v>66</v>
      </c>
      <c r="D48" s="22" t="s">
        <v>13</v>
      </c>
      <c r="E48" s="22">
        <v>1972</v>
      </c>
      <c r="F48" s="28">
        <f t="shared" si="6"/>
        <v>1972</v>
      </c>
      <c r="G48" s="32">
        <v>180</v>
      </c>
      <c r="H48" s="23"/>
      <c r="I48" s="23"/>
      <c r="J48" s="23"/>
      <c r="K48" s="23"/>
      <c r="L48" s="24">
        <f t="shared" si="0"/>
        <v>180</v>
      </c>
      <c r="M48" s="27">
        <f t="shared" si="1"/>
        <v>1937.52</v>
      </c>
      <c r="N48" s="18">
        <v>60</v>
      </c>
      <c r="O48" s="18">
        <v>1000</v>
      </c>
      <c r="P48" s="18">
        <f t="shared" si="2"/>
        <v>51</v>
      </c>
      <c r="Q48" s="36">
        <v>0.95</v>
      </c>
      <c r="R48" s="24">
        <f t="shared" si="3"/>
        <v>1937520</v>
      </c>
      <c r="S48" s="27">
        <f t="shared" si="4"/>
        <v>1564547.3999999997</v>
      </c>
      <c r="T48" s="27">
        <f t="shared" si="5"/>
        <v>372972.60000000033</v>
      </c>
    </row>
    <row r="49" spans="1:20" ht="15" customHeight="1" x14ac:dyDescent="0.2">
      <c r="A49" s="28" t="s">
        <v>65</v>
      </c>
      <c r="B49" s="22">
        <v>45</v>
      </c>
      <c r="C49" s="15" t="s">
        <v>67</v>
      </c>
      <c r="D49" s="22" t="s">
        <v>13</v>
      </c>
      <c r="E49" s="22">
        <v>1972</v>
      </c>
      <c r="F49" s="28">
        <f t="shared" si="6"/>
        <v>1972</v>
      </c>
      <c r="G49" s="32">
        <v>330</v>
      </c>
      <c r="H49" s="23"/>
      <c r="I49" s="23"/>
      <c r="J49" s="23"/>
      <c r="K49" s="23"/>
      <c r="L49" s="24">
        <f t="shared" si="0"/>
        <v>330</v>
      </c>
      <c r="M49" s="27">
        <f t="shared" si="1"/>
        <v>3552.12</v>
      </c>
      <c r="N49" s="18">
        <v>60</v>
      </c>
      <c r="O49" s="18">
        <v>1000</v>
      </c>
      <c r="P49" s="18">
        <f t="shared" si="2"/>
        <v>51</v>
      </c>
      <c r="Q49" s="36">
        <v>0.95</v>
      </c>
      <c r="R49" s="24">
        <f t="shared" si="3"/>
        <v>3552120</v>
      </c>
      <c r="S49" s="27">
        <f t="shared" si="4"/>
        <v>2868336.9</v>
      </c>
      <c r="T49" s="27">
        <f t="shared" si="5"/>
        <v>683783.10000000009</v>
      </c>
    </row>
    <row r="50" spans="1:20" ht="15" customHeight="1" x14ac:dyDescent="0.2">
      <c r="A50" s="28" t="s">
        <v>65</v>
      </c>
      <c r="B50" s="22">
        <v>46</v>
      </c>
      <c r="C50" s="15" t="s">
        <v>68</v>
      </c>
      <c r="D50" s="22" t="s">
        <v>62</v>
      </c>
      <c r="E50" s="22">
        <v>2016</v>
      </c>
      <c r="F50" s="28">
        <f t="shared" si="6"/>
        <v>2016</v>
      </c>
      <c r="G50" s="32">
        <v>63</v>
      </c>
      <c r="H50" s="23"/>
      <c r="I50" s="23"/>
      <c r="J50" s="23"/>
      <c r="K50" s="23"/>
      <c r="L50" s="24">
        <f t="shared" si="0"/>
        <v>63</v>
      </c>
      <c r="M50" s="27">
        <f t="shared" si="1"/>
        <v>678.13199999999995</v>
      </c>
      <c r="N50" s="18">
        <v>45</v>
      </c>
      <c r="O50" s="18">
        <v>400</v>
      </c>
      <c r="P50" s="18">
        <f t="shared" si="2"/>
        <v>7</v>
      </c>
      <c r="Q50" s="36">
        <v>0.95</v>
      </c>
      <c r="R50" s="24">
        <f t="shared" si="3"/>
        <v>271252.8</v>
      </c>
      <c r="S50" s="27">
        <f t="shared" si="4"/>
        <v>40085.135999999999</v>
      </c>
      <c r="T50" s="27">
        <f t="shared" si="5"/>
        <v>231167.66399999999</v>
      </c>
    </row>
    <row r="51" spans="1:20" ht="15" customHeight="1" x14ac:dyDescent="0.2">
      <c r="A51" s="28" t="s">
        <v>65</v>
      </c>
      <c r="B51" s="22">
        <v>47</v>
      </c>
      <c r="C51" s="15" t="s">
        <v>69</v>
      </c>
      <c r="D51" s="22" t="s">
        <v>13</v>
      </c>
      <c r="E51" s="22">
        <v>1972</v>
      </c>
      <c r="F51" s="28">
        <f t="shared" si="6"/>
        <v>1972</v>
      </c>
      <c r="G51" s="32">
        <v>210</v>
      </c>
      <c r="H51" s="23"/>
      <c r="I51" s="23"/>
      <c r="J51" s="23"/>
      <c r="K51" s="23"/>
      <c r="L51" s="24">
        <f t="shared" si="0"/>
        <v>210</v>
      </c>
      <c r="M51" s="27">
        <f t="shared" si="1"/>
        <v>2260.44</v>
      </c>
      <c r="N51" s="18">
        <v>60</v>
      </c>
      <c r="O51" s="18">
        <v>1000</v>
      </c>
      <c r="P51" s="18">
        <f t="shared" si="2"/>
        <v>51</v>
      </c>
      <c r="Q51" s="36">
        <v>0.95</v>
      </c>
      <c r="R51" s="24">
        <f t="shared" si="3"/>
        <v>2260440</v>
      </c>
      <c r="S51" s="27">
        <f t="shared" si="4"/>
        <v>1825305.2999999998</v>
      </c>
      <c r="T51" s="27">
        <f t="shared" si="5"/>
        <v>435134.70000000019</v>
      </c>
    </row>
    <row r="52" spans="1:20" ht="15" customHeight="1" x14ac:dyDescent="0.2">
      <c r="A52" s="28" t="s">
        <v>65</v>
      </c>
      <c r="B52" s="22">
        <v>48</v>
      </c>
      <c r="C52" s="15" t="s">
        <v>70</v>
      </c>
      <c r="D52" s="22" t="s">
        <v>13</v>
      </c>
      <c r="E52" s="22">
        <v>1972</v>
      </c>
      <c r="F52" s="28">
        <f t="shared" si="6"/>
        <v>1972</v>
      </c>
      <c r="G52" s="32">
        <v>55</v>
      </c>
      <c r="H52" s="23"/>
      <c r="I52" s="23"/>
      <c r="J52" s="23"/>
      <c r="K52" s="23"/>
      <c r="L52" s="24">
        <f t="shared" si="0"/>
        <v>55</v>
      </c>
      <c r="M52" s="27">
        <f t="shared" si="1"/>
        <v>592.02</v>
      </c>
      <c r="N52" s="18">
        <v>60</v>
      </c>
      <c r="O52" s="18">
        <v>1000</v>
      </c>
      <c r="P52" s="18">
        <f t="shared" si="2"/>
        <v>51</v>
      </c>
      <c r="Q52" s="36">
        <v>0.95</v>
      </c>
      <c r="R52" s="24">
        <f t="shared" si="3"/>
        <v>592020</v>
      </c>
      <c r="S52" s="27">
        <f t="shared" si="4"/>
        <v>478056.14999999997</v>
      </c>
      <c r="T52" s="27">
        <f t="shared" si="5"/>
        <v>113963.85000000003</v>
      </c>
    </row>
    <row r="53" spans="1:20" ht="15" customHeight="1" x14ac:dyDescent="0.2">
      <c r="A53" s="28" t="s">
        <v>65</v>
      </c>
      <c r="B53" s="22">
        <v>49</v>
      </c>
      <c r="C53" s="15" t="s">
        <v>71</v>
      </c>
      <c r="D53" s="22" t="s">
        <v>62</v>
      </c>
      <c r="E53" s="22">
        <v>1989</v>
      </c>
      <c r="F53" s="28">
        <f t="shared" si="6"/>
        <v>1989</v>
      </c>
      <c r="G53" s="32">
        <v>16</v>
      </c>
      <c r="H53" s="23"/>
      <c r="I53" s="23"/>
      <c r="J53" s="23"/>
      <c r="K53" s="23"/>
      <c r="L53" s="24">
        <f t="shared" si="0"/>
        <v>16</v>
      </c>
      <c r="M53" s="27">
        <f t="shared" si="1"/>
        <v>172.22399999999999</v>
      </c>
      <c r="N53" s="18">
        <v>45</v>
      </c>
      <c r="O53" s="18">
        <v>400</v>
      </c>
      <c r="P53" s="18">
        <f t="shared" si="2"/>
        <v>34</v>
      </c>
      <c r="Q53" s="36">
        <v>0.95</v>
      </c>
      <c r="R53" s="24">
        <f t="shared" si="3"/>
        <v>68889.599999999991</v>
      </c>
      <c r="S53" s="27">
        <f t="shared" si="4"/>
        <v>49447.423999999992</v>
      </c>
      <c r="T53" s="27">
        <f t="shared" si="5"/>
        <v>19442.175999999999</v>
      </c>
    </row>
    <row r="54" spans="1:20" ht="15" customHeight="1" x14ac:dyDescent="0.2">
      <c r="A54" s="28" t="s">
        <v>65</v>
      </c>
      <c r="B54" s="22">
        <v>50</v>
      </c>
      <c r="C54" s="15" t="s">
        <v>72</v>
      </c>
      <c r="D54" s="22" t="s">
        <v>62</v>
      </c>
      <c r="E54" s="22">
        <v>1971</v>
      </c>
      <c r="F54" s="28">
        <f t="shared" si="6"/>
        <v>1971</v>
      </c>
      <c r="G54" s="32">
        <v>106.25</v>
      </c>
      <c r="H54" s="23"/>
      <c r="I54" s="23"/>
      <c r="J54" s="23"/>
      <c r="K54" s="23"/>
      <c r="L54" s="24">
        <f t="shared" si="0"/>
        <v>106.25</v>
      </c>
      <c r="M54" s="27">
        <f t="shared" si="1"/>
        <v>1143.675</v>
      </c>
      <c r="N54" s="18">
        <v>45</v>
      </c>
      <c r="O54" s="18">
        <v>800</v>
      </c>
      <c r="P54" s="18">
        <f t="shared" si="2"/>
        <v>52</v>
      </c>
      <c r="Q54" s="36">
        <v>0.95</v>
      </c>
      <c r="R54" s="24">
        <f t="shared" si="3"/>
        <v>914940</v>
      </c>
      <c r="S54" s="27">
        <f t="shared" si="4"/>
        <v>869193.00000000012</v>
      </c>
      <c r="T54" s="27">
        <f t="shared" si="5"/>
        <v>45746.999999999884</v>
      </c>
    </row>
    <row r="55" spans="1:20" ht="15" customHeight="1" x14ac:dyDescent="0.2">
      <c r="A55" s="28" t="s">
        <v>65</v>
      </c>
      <c r="B55" s="22">
        <v>51</v>
      </c>
      <c r="C55" s="15" t="s">
        <v>73</v>
      </c>
      <c r="D55" s="22" t="s">
        <v>62</v>
      </c>
      <c r="E55" s="22">
        <v>2018</v>
      </c>
      <c r="F55" s="28">
        <f t="shared" si="6"/>
        <v>2018</v>
      </c>
      <c r="G55" s="32">
        <v>60</v>
      </c>
      <c r="H55" s="23"/>
      <c r="I55" s="23"/>
      <c r="J55" s="23"/>
      <c r="K55" s="23"/>
      <c r="L55" s="24">
        <f t="shared" si="0"/>
        <v>60</v>
      </c>
      <c r="M55" s="27">
        <f t="shared" si="1"/>
        <v>645.83999999999992</v>
      </c>
      <c r="N55" s="18">
        <v>45</v>
      </c>
      <c r="O55" s="18">
        <v>700</v>
      </c>
      <c r="P55" s="18">
        <f t="shared" si="2"/>
        <v>5</v>
      </c>
      <c r="Q55" s="36">
        <v>0.95</v>
      </c>
      <c r="R55" s="24">
        <f t="shared" si="3"/>
        <v>452087.99999999994</v>
      </c>
      <c r="S55" s="27">
        <f t="shared" si="4"/>
        <v>47720.4</v>
      </c>
      <c r="T55" s="27">
        <f t="shared" si="5"/>
        <v>404367.59999999992</v>
      </c>
    </row>
    <row r="56" spans="1:20" ht="15" customHeight="1" x14ac:dyDescent="0.2">
      <c r="A56" s="28" t="s">
        <v>74</v>
      </c>
      <c r="B56" s="22">
        <v>52</v>
      </c>
      <c r="C56" s="15" t="s">
        <v>75</v>
      </c>
      <c r="D56" s="22" t="s">
        <v>62</v>
      </c>
      <c r="E56" s="22">
        <v>1989</v>
      </c>
      <c r="F56" s="28">
        <f t="shared" si="6"/>
        <v>1989</v>
      </c>
      <c r="G56" s="32">
        <v>770</v>
      </c>
      <c r="H56" s="23"/>
      <c r="I56" s="23"/>
      <c r="J56" s="23"/>
      <c r="K56" s="23"/>
      <c r="L56" s="24">
        <f t="shared" si="0"/>
        <v>770</v>
      </c>
      <c r="M56" s="27">
        <f t="shared" si="1"/>
        <v>8288.2799999999988</v>
      </c>
      <c r="N56" s="18">
        <v>45</v>
      </c>
      <c r="O56" s="18">
        <v>700</v>
      </c>
      <c r="P56" s="18">
        <f t="shared" si="2"/>
        <v>34</v>
      </c>
      <c r="Q56" s="36">
        <v>0.95</v>
      </c>
      <c r="R56" s="24">
        <f t="shared" si="3"/>
        <v>5801795.9999999991</v>
      </c>
      <c r="S56" s="27">
        <f t="shared" si="4"/>
        <v>4164400.2399999993</v>
      </c>
      <c r="T56" s="27">
        <f t="shared" si="5"/>
        <v>1637395.7599999998</v>
      </c>
    </row>
    <row r="57" spans="1:20" ht="15" customHeight="1" x14ac:dyDescent="0.2">
      <c r="A57" s="28" t="s">
        <v>74</v>
      </c>
      <c r="B57" s="22">
        <v>53</v>
      </c>
      <c r="C57" s="15" t="s">
        <v>76</v>
      </c>
      <c r="D57" s="22" t="s">
        <v>13</v>
      </c>
      <c r="E57" s="22">
        <v>1992</v>
      </c>
      <c r="F57" s="28">
        <f t="shared" si="6"/>
        <v>1992</v>
      </c>
      <c r="G57" s="32">
        <v>77</v>
      </c>
      <c r="H57" s="23"/>
      <c r="I57" s="23"/>
      <c r="J57" s="23"/>
      <c r="K57" s="23"/>
      <c r="L57" s="24">
        <f t="shared" si="0"/>
        <v>77</v>
      </c>
      <c r="M57" s="27">
        <f t="shared" si="1"/>
        <v>828.82799999999997</v>
      </c>
      <c r="N57" s="18">
        <v>60</v>
      </c>
      <c r="O57" s="18">
        <v>1000</v>
      </c>
      <c r="P57" s="18">
        <f t="shared" si="2"/>
        <v>31</v>
      </c>
      <c r="Q57" s="36">
        <v>0.95</v>
      </c>
      <c r="R57" s="24">
        <f t="shared" si="3"/>
        <v>828828</v>
      </c>
      <c r="S57" s="27">
        <f t="shared" si="4"/>
        <v>406816.41</v>
      </c>
      <c r="T57" s="27">
        <f t="shared" si="5"/>
        <v>422011.59</v>
      </c>
    </row>
    <row r="58" spans="1:20" ht="15" customHeight="1" x14ac:dyDescent="0.2">
      <c r="A58" s="28" t="s">
        <v>74</v>
      </c>
      <c r="B58" s="22">
        <v>54</v>
      </c>
      <c r="C58" s="15" t="s">
        <v>77</v>
      </c>
      <c r="D58" s="22" t="s">
        <v>62</v>
      </c>
      <c r="E58" s="22">
        <v>2015</v>
      </c>
      <c r="F58" s="28">
        <f t="shared" si="6"/>
        <v>2015</v>
      </c>
      <c r="G58" s="32">
        <v>95</v>
      </c>
      <c r="H58" s="23"/>
      <c r="I58" s="23"/>
      <c r="J58" s="23"/>
      <c r="K58" s="23"/>
      <c r="L58" s="24">
        <f t="shared" si="0"/>
        <v>95</v>
      </c>
      <c r="M58" s="27">
        <f t="shared" si="1"/>
        <v>1022.5799999999999</v>
      </c>
      <c r="N58" s="18">
        <v>45</v>
      </c>
      <c r="O58" s="18">
        <v>700</v>
      </c>
      <c r="P58" s="18">
        <f t="shared" si="2"/>
        <v>8</v>
      </c>
      <c r="Q58" s="36">
        <v>0.95</v>
      </c>
      <c r="R58" s="24">
        <f t="shared" si="3"/>
        <v>715806</v>
      </c>
      <c r="S58" s="27">
        <f t="shared" si="4"/>
        <v>120891.68000000001</v>
      </c>
      <c r="T58" s="27">
        <f t="shared" si="5"/>
        <v>594914.31999999995</v>
      </c>
    </row>
    <row r="59" spans="1:20" x14ac:dyDescent="0.2">
      <c r="A59" s="28" t="s">
        <v>78</v>
      </c>
      <c r="B59" s="22">
        <v>55</v>
      </c>
      <c r="C59" s="15" t="s">
        <v>79</v>
      </c>
      <c r="D59" s="22" t="s">
        <v>13</v>
      </c>
      <c r="E59" s="22">
        <v>1972</v>
      </c>
      <c r="F59" s="28">
        <f t="shared" si="6"/>
        <v>1972</v>
      </c>
      <c r="G59" s="32">
        <v>300</v>
      </c>
      <c r="H59" s="23"/>
      <c r="I59" s="23"/>
      <c r="J59" s="23"/>
      <c r="K59" s="23"/>
      <c r="L59" s="24">
        <f t="shared" si="0"/>
        <v>300</v>
      </c>
      <c r="M59" s="27">
        <f t="shared" si="1"/>
        <v>3229.2</v>
      </c>
      <c r="N59" s="18">
        <v>60</v>
      </c>
      <c r="O59" s="18">
        <v>500</v>
      </c>
      <c r="P59" s="18">
        <f t="shared" si="2"/>
        <v>51</v>
      </c>
      <c r="Q59" s="36">
        <v>0.95</v>
      </c>
      <c r="R59" s="24">
        <f t="shared" si="3"/>
        <v>1614600</v>
      </c>
      <c r="S59" s="27">
        <f t="shared" si="4"/>
        <v>1303789.4999999998</v>
      </c>
      <c r="T59" s="27">
        <f t="shared" si="5"/>
        <v>310810.50000000023</v>
      </c>
    </row>
  </sheetData>
  <autoFilter ref="A4:K59"/>
  <mergeCells count="3">
    <mergeCell ref="A1:C1"/>
    <mergeCell ref="A2:C2"/>
    <mergeCell ref="A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B5" sqref="B5"/>
    </sheetView>
  </sheetViews>
  <sheetFormatPr defaultRowHeight="15" x14ac:dyDescent="0.25"/>
  <cols>
    <col min="1" max="1" width="17" bestFit="1" customWidth="1"/>
    <col min="2" max="2" width="17.5703125" style="2" bestFit="1" customWidth="1"/>
  </cols>
  <sheetData>
    <row r="3" spans="1:2" x14ac:dyDescent="0.25">
      <c r="A3" s="10" t="s">
        <v>165</v>
      </c>
      <c r="B3" s="2" t="s">
        <v>167</v>
      </c>
    </row>
    <row r="4" spans="1:2" x14ac:dyDescent="0.25">
      <c r="A4" s="11" t="s">
        <v>108</v>
      </c>
      <c r="B4" s="2">
        <v>185872.75199999998</v>
      </c>
    </row>
    <row r="5" spans="1:2" x14ac:dyDescent="0.25">
      <c r="A5" s="11" t="s">
        <v>122</v>
      </c>
      <c r="B5" s="2">
        <v>248271.66</v>
      </c>
    </row>
    <row r="6" spans="1:2" x14ac:dyDescent="0.25">
      <c r="A6" s="11" t="s">
        <v>117</v>
      </c>
      <c r="B6" s="2">
        <v>23982.192000000003</v>
      </c>
    </row>
    <row r="7" spans="1:2" x14ac:dyDescent="0.25">
      <c r="A7" s="11" t="s">
        <v>109</v>
      </c>
      <c r="B7" s="2">
        <v>28363.14</v>
      </c>
    </row>
    <row r="8" spans="1:2" x14ac:dyDescent="0.25">
      <c r="A8" s="11" t="s">
        <v>166</v>
      </c>
      <c r="B8" s="2">
        <v>486489.74400000001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57"/>
  <sheetViews>
    <sheetView workbookViewId="0">
      <selection activeCell="U4" sqref="U4"/>
    </sheetView>
  </sheetViews>
  <sheetFormatPr defaultRowHeight="15" x14ac:dyDescent="0.25"/>
  <cols>
    <col min="1" max="1" width="9.140625" style="3"/>
    <col min="2" max="2" width="27" bestFit="1" customWidth="1"/>
    <col min="3" max="3" width="17" bestFit="1" customWidth="1"/>
    <col min="4" max="4" width="16.28515625" bestFit="1" customWidth="1"/>
    <col min="5" max="5" width="9.85546875" style="2" hidden="1" customWidth="1"/>
    <col min="6" max="6" width="12.42578125" style="2" hidden="1" customWidth="1"/>
    <col min="7" max="11" width="0" style="2" hidden="1" customWidth="1"/>
    <col min="12" max="12" width="0" hidden="1" customWidth="1"/>
    <col min="15" max="15" width="0" hidden="1" customWidth="1"/>
    <col min="18" max="18" width="0" hidden="1" customWidth="1"/>
    <col min="19" max="19" width="12.5703125" bestFit="1" customWidth="1"/>
    <col min="20" max="20" width="17" hidden="1" customWidth="1"/>
    <col min="21" max="21" width="12.5703125" bestFit="1" customWidth="1"/>
  </cols>
  <sheetData>
    <row r="3" spans="1:21" x14ac:dyDescent="0.25">
      <c r="L3" s="3" t="s">
        <v>150</v>
      </c>
      <c r="M3" s="3" t="s">
        <v>153</v>
      </c>
    </row>
    <row r="4" spans="1:21" x14ac:dyDescent="0.25">
      <c r="L4" s="8">
        <f>SUM(L6:L56)</f>
        <v>45196</v>
      </c>
      <c r="M4" s="8">
        <f>SUM(M6:M56)</f>
        <v>486489.74399999995</v>
      </c>
      <c r="O4" t="s">
        <v>157</v>
      </c>
      <c r="Q4">
        <v>2023</v>
      </c>
      <c r="S4" s="8">
        <f>SUM(S6:S56)</f>
        <v>350948379.60000002</v>
      </c>
      <c r="T4" s="8">
        <f>SUM(T6:T56)</f>
        <v>207106007.66699994</v>
      </c>
      <c r="U4" s="8">
        <f>SUM(U6:U56)</f>
        <v>143842371.933</v>
      </c>
    </row>
    <row r="5" spans="1:21" s="3" customFormat="1" x14ac:dyDescent="0.25">
      <c r="A5" s="43" t="s">
        <v>161</v>
      </c>
      <c r="B5" s="43" t="s">
        <v>105</v>
      </c>
      <c r="C5" s="43" t="s">
        <v>152</v>
      </c>
      <c r="D5" s="43" t="s">
        <v>101</v>
      </c>
      <c r="E5" s="5" t="s">
        <v>106</v>
      </c>
      <c r="F5" s="5" t="s">
        <v>107</v>
      </c>
      <c r="G5" s="5" t="s">
        <v>144</v>
      </c>
      <c r="H5" s="5" t="s">
        <v>145</v>
      </c>
      <c r="I5" s="5" t="s">
        <v>146</v>
      </c>
      <c r="J5" s="5" t="s">
        <v>147</v>
      </c>
      <c r="K5" s="5" t="s">
        <v>148</v>
      </c>
      <c r="L5" s="3" t="s">
        <v>149</v>
      </c>
      <c r="M5" s="43" t="s">
        <v>149</v>
      </c>
      <c r="N5" s="43" t="s">
        <v>151</v>
      </c>
      <c r="O5" t="s">
        <v>154</v>
      </c>
      <c r="P5" s="43" t="s">
        <v>162</v>
      </c>
      <c r="Q5" s="43" t="s">
        <v>163</v>
      </c>
      <c r="R5" s="3" t="s">
        <v>164</v>
      </c>
      <c r="S5" s="43" t="s">
        <v>158</v>
      </c>
      <c r="T5" s="3" t="s">
        <v>159</v>
      </c>
      <c r="U5" s="43" t="s">
        <v>160</v>
      </c>
    </row>
    <row r="6" spans="1:21" x14ac:dyDescent="0.25">
      <c r="A6" s="3">
        <v>1</v>
      </c>
      <c r="B6" t="s">
        <v>83</v>
      </c>
      <c r="C6" t="s">
        <v>108</v>
      </c>
      <c r="D6" t="s">
        <v>102</v>
      </c>
      <c r="E6" s="2">
        <v>350</v>
      </c>
      <c r="L6" s="7">
        <f>SUM(E6:K6)</f>
        <v>350</v>
      </c>
      <c r="M6" s="7">
        <f>L6*10.764</f>
        <v>3767.3999999999996</v>
      </c>
      <c r="N6">
        <v>1992</v>
      </c>
      <c r="O6">
        <v>300</v>
      </c>
      <c r="P6">
        <v>45</v>
      </c>
      <c r="Q6">
        <f>$Q$4-N6</f>
        <v>31</v>
      </c>
      <c r="R6" s="9">
        <v>0.95</v>
      </c>
      <c r="S6" s="7">
        <f>O6*M6</f>
        <v>1130220</v>
      </c>
      <c r="T6" s="2">
        <f>S6*(R6/P6)*Q6</f>
        <v>739666.20000000007</v>
      </c>
      <c r="U6" s="7">
        <f>S6-T6</f>
        <v>390553.79999999993</v>
      </c>
    </row>
    <row r="7" spans="1:21" x14ac:dyDescent="0.25">
      <c r="A7" s="3">
        <f>A6+1</f>
        <v>2</v>
      </c>
      <c r="B7" t="s">
        <v>84</v>
      </c>
      <c r="C7" t="s">
        <v>108</v>
      </c>
      <c r="D7" t="s">
        <v>102</v>
      </c>
      <c r="E7" s="2">
        <v>400</v>
      </c>
      <c r="L7" s="7">
        <f t="shared" ref="L7:L56" si="0">SUM(E7:K7)</f>
        <v>400</v>
      </c>
      <c r="M7" s="7">
        <f t="shared" ref="M7:M56" si="1">L7*10.764</f>
        <v>4305.5999999999995</v>
      </c>
      <c r="N7">
        <v>1992</v>
      </c>
      <c r="O7">
        <v>500</v>
      </c>
      <c r="P7">
        <v>45</v>
      </c>
      <c r="Q7">
        <f t="shared" ref="Q7:Q56" si="2">$Q$4-N7</f>
        <v>31</v>
      </c>
      <c r="R7" s="9">
        <v>0.95</v>
      </c>
      <c r="S7" s="7">
        <f t="shared" ref="S7:S56" si="3">O7*M7</f>
        <v>2152799.9999999995</v>
      </c>
      <c r="T7" s="2">
        <f t="shared" ref="T7:T56" si="4">S7*(R7/P7)*Q7</f>
        <v>1408887.9999999998</v>
      </c>
      <c r="U7" s="7">
        <f t="shared" ref="U7:U56" si="5">S7-T7</f>
        <v>743911.99999999977</v>
      </c>
    </row>
    <row r="8" spans="1:21" x14ac:dyDescent="0.25">
      <c r="A8" s="3">
        <f t="shared" ref="A8:A56" si="6">A7+1</f>
        <v>3</v>
      </c>
      <c r="B8" t="s">
        <v>85</v>
      </c>
      <c r="C8" t="s">
        <v>108</v>
      </c>
      <c r="D8" t="s">
        <v>102</v>
      </c>
      <c r="E8" s="2">
        <v>9000</v>
      </c>
      <c r="L8" s="7">
        <f t="shared" si="0"/>
        <v>9000</v>
      </c>
      <c r="M8" s="7">
        <f t="shared" si="1"/>
        <v>96876</v>
      </c>
      <c r="N8">
        <v>1992</v>
      </c>
      <c r="O8">
        <v>300</v>
      </c>
      <c r="P8">
        <v>45</v>
      </c>
      <c r="Q8">
        <f t="shared" si="2"/>
        <v>31</v>
      </c>
      <c r="R8" s="9">
        <v>0.95</v>
      </c>
      <c r="S8" s="7">
        <f t="shared" si="3"/>
        <v>29062800</v>
      </c>
      <c r="T8" s="2">
        <f t="shared" si="4"/>
        <v>19019988</v>
      </c>
      <c r="U8" s="7">
        <f t="shared" si="5"/>
        <v>10042812</v>
      </c>
    </row>
    <row r="9" spans="1:21" x14ac:dyDescent="0.25">
      <c r="A9" s="3">
        <f t="shared" si="6"/>
        <v>4</v>
      </c>
      <c r="B9" t="s">
        <v>86</v>
      </c>
      <c r="C9" t="s">
        <v>108</v>
      </c>
      <c r="D9" t="s">
        <v>103</v>
      </c>
      <c r="E9" s="2">
        <v>90</v>
      </c>
      <c r="L9" s="7">
        <f t="shared" si="0"/>
        <v>90</v>
      </c>
      <c r="M9" s="7">
        <f t="shared" si="1"/>
        <v>968.76</v>
      </c>
      <c r="N9">
        <v>1992</v>
      </c>
      <c r="O9">
        <v>1000</v>
      </c>
      <c r="P9">
        <v>60</v>
      </c>
      <c r="Q9">
        <f t="shared" si="2"/>
        <v>31</v>
      </c>
      <c r="R9" s="9">
        <v>0.95</v>
      </c>
      <c r="S9" s="7">
        <f t="shared" si="3"/>
        <v>968760</v>
      </c>
      <c r="T9" s="2">
        <f t="shared" si="4"/>
        <v>475499.6999999999</v>
      </c>
      <c r="U9" s="7">
        <f t="shared" si="5"/>
        <v>493260.3000000001</v>
      </c>
    </row>
    <row r="10" spans="1:21" x14ac:dyDescent="0.25">
      <c r="A10" s="3">
        <f t="shared" si="6"/>
        <v>5</v>
      </c>
      <c r="B10" t="s">
        <v>87</v>
      </c>
      <c r="C10" t="s">
        <v>108</v>
      </c>
      <c r="D10" t="s">
        <v>103</v>
      </c>
      <c r="E10" s="2">
        <v>40</v>
      </c>
      <c r="L10" s="7">
        <f t="shared" si="0"/>
        <v>40</v>
      </c>
      <c r="M10" s="7">
        <f t="shared" si="1"/>
        <v>430.55999999999995</v>
      </c>
      <c r="N10">
        <v>1992</v>
      </c>
      <c r="O10">
        <v>800</v>
      </c>
      <c r="P10">
        <v>60</v>
      </c>
      <c r="Q10">
        <f t="shared" si="2"/>
        <v>31</v>
      </c>
      <c r="R10" s="9">
        <v>0.95</v>
      </c>
      <c r="S10" s="7">
        <f t="shared" si="3"/>
        <v>344447.99999999994</v>
      </c>
      <c r="T10" s="2">
        <f t="shared" si="4"/>
        <v>169066.55999999994</v>
      </c>
      <c r="U10" s="7">
        <f t="shared" si="5"/>
        <v>175381.44</v>
      </c>
    </row>
    <row r="11" spans="1:21" x14ac:dyDescent="0.25">
      <c r="A11" s="3">
        <f t="shared" si="6"/>
        <v>6</v>
      </c>
      <c r="B11" t="s">
        <v>88</v>
      </c>
      <c r="C11" t="s">
        <v>108</v>
      </c>
      <c r="D11" t="s">
        <v>102</v>
      </c>
      <c r="E11" s="2">
        <v>100</v>
      </c>
      <c r="L11" s="7">
        <f t="shared" si="0"/>
        <v>100</v>
      </c>
      <c r="M11" s="7">
        <f t="shared" si="1"/>
        <v>1076.3999999999999</v>
      </c>
      <c r="N11">
        <v>1992</v>
      </c>
      <c r="O11">
        <v>600</v>
      </c>
      <c r="P11">
        <v>45</v>
      </c>
      <c r="Q11">
        <f t="shared" si="2"/>
        <v>31</v>
      </c>
      <c r="R11" s="9">
        <v>0.95</v>
      </c>
      <c r="S11" s="7">
        <f t="shared" si="3"/>
        <v>645839.99999999988</v>
      </c>
      <c r="T11" s="2">
        <f t="shared" si="4"/>
        <v>422666.39999999991</v>
      </c>
      <c r="U11" s="7">
        <f t="shared" si="5"/>
        <v>223173.59999999998</v>
      </c>
    </row>
    <row r="12" spans="1:21" x14ac:dyDescent="0.25">
      <c r="A12" s="3">
        <f t="shared" si="6"/>
        <v>7</v>
      </c>
      <c r="B12" t="s">
        <v>89</v>
      </c>
      <c r="C12" t="s">
        <v>108</v>
      </c>
      <c r="D12" t="s">
        <v>103</v>
      </c>
      <c r="E12" s="2">
        <v>30</v>
      </c>
      <c r="L12" s="7">
        <f t="shared" si="0"/>
        <v>30</v>
      </c>
      <c r="M12" s="7">
        <f t="shared" si="1"/>
        <v>322.91999999999996</v>
      </c>
      <c r="N12">
        <v>1992</v>
      </c>
      <c r="O12">
        <v>900</v>
      </c>
      <c r="P12">
        <v>60</v>
      </c>
      <c r="Q12">
        <f t="shared" si="2"/>
        <v>31</v>
      </c>
      <c r="R12" s="9">
        <v>0.95</v>
      </c>
      <c r="S12" s="7">
        <f t="shared" si="3"/>
        <v>290627.99999999994</v>
      </c>
      <c r="T12" s="2">
        <f t="shared" si="4"/>
        <v>142649.90999999997</v>
      </c>
      <c r="U12" s="7">
        <f t="shared" si="5"/>
        <v>147978.08999999997</v>
      </c>
    </row>
    <row r="13" spans="1:21" x14ac:dyDescent="0.25">
      <c r="A13" s="3">
        <f t="shared" si="6"/>
        <v>8</v>
      </c>
      <c r="B13" t="s">
        <v>155</v>
      </c>
      <c r="C13" t="s">
        <v>108</v>
      </c>
      <c r="D13" t="s">
        <v>103</v>
      </c>
      <c r="E13" s="2">
        <v>548</v>
      </c>
      <c r="L13" s="7">
        <f t="shared" si="0"/>
        <v>548</v>
      </c>
      <c r="M13" s="7">
        <f t="shared" si="1"/>
        <v>5898.6719999999996</v>
      </c>
      <c r="N13">
        <v>1992</v>
      </c>
      <c r="O13">
        <v>1300</v>
      </c>
      <c r="P13">
        <v>60</v>
      </c>
      <c r="Q13">
        <f t="shared" si="2"/>
        <v>31</v>
      </c>
      <c r="R13" s="9">
        <v>0.95</v>
      </c>
      <c r="S13" s="7">
        <f t="shared" si="3"/>
        <v>7668273.5999999996</v>
      </c>
      <c r="T13" s="2">
        <f t="shared" si="4"/>
        <v>3763844.2919999994</v>
      </c>
      <c r="U13" s="7">
        <f t="shared" si="5"/>
        <v>3904429.3080000002</v>
      </c>
    </row>
    <row r="14" spans="1:21" x14ac:dyDescent="0.25">
      <c r="A14" s="3">
        <f t="shared" si="6"/>
        <v>9</v>
      </c>
      <c r="B14" t="s">
        <v>90</v>
      </c>
      <c r="C14" t="s">
        <v>108</v>
      </c>
      <c r="D14" t="s">
        <v>103</v>
      </c>
      <c r="E14" s="2">
        <v>240</v>
      </c>
      <c r="L14" s="7">
        <f t="shared" si="0"/>
        <v>240</v>
      </c>
      <c r="M14" s="7">
        <f t="shared" si="1"/>
        <v>2583.3599999999997</v>
      </c>
      <c r="N14">
        <v>1992</v>
      </c>
      <c r="O14">
        <v>1000</v>
      </c>
      <c r="P14">
        <v>60</v>
      </c>
      <c r="Q14">
        <f t="shared" si="2"/>
        <v>31</v>
      </c>
      <c r="R14" s="9">
        <v>0.95</v>
      </c>
      <c r="S14" s="7">
        <f t="shared" si="3"/>
        <v>2583359.9999999995</v>
      </c>
      <c r="T14" s="2">
        <f t="shared" si="4"/>
        <v>1267999.1999999997</v>
      </c>
      <c r="U14" s="7">
        <f t="shared" si="5"/>
        <v>1315360.7999999998</v>
      </c>
    </row>
    <row r="15" spans="1:21" x14ac:dyDescent="0.25">
      <c r="A15" s="3">
        <f t="shared" si="6"/>
        <v>10</v>
      </c>
      <c r="B15" t="s">
        <v>91</v>
      </c>
      <c r="C15" t="s">
        <v>108</v>
      </c>
      <c r="D15" t="s">
        <v>103</v>
      </c>
      <c r="E15" s="2">
        <v>365</v>
      </c>
      <c r="F15" s="2">
        <v>160</v>
      </c>
      <c r="L15" s="7">
        <f t="shared" si="0"/>
        <v>525</v>
      </c>
      <c r="M15" s="7">
        <f t="shared" si="1"/>
        <v>5651.0999999999995</v>
      </c>
      <c r="N15">
        <v>1992</v>
      </c>
      <c r="O15">
        <v>1200</v>
      </c>
      <c r="P15">
        <v>60</v>
      </c>
      <c r="Q15">
        <f t="shared" si="2"/>
        <v>31</v>
      </c>
      <c r="R15" s="9">
        <v>0.95</v>
      </c>
      <c r="S15" s="7">
        <f t="shared" si="3"/>
        <v>6781319.9999999991</v>
      </c>
      <c r="T15" s="2">
        <f t="shared" si="4"/>
        <v>3328497.899999999</v>
      </c>
      <c r="U15" s="7">
        <f t="shared" si="5"/>
        <v>3452822.1</v>
      </c>
    </row>
    <row r="16" spans="1:21" x14ac:dyDescent="0.25">
      <c r="A16" s="3">
        <f t="shared" si="6"/>
        <v>11</v>
      </c>
      <c r="B16" t="s">
        <v>92</v>
      </c>
      <c r="C16" t="s">
        <v>108</v>
      </c>
      <c r="D16" t="s">
        <v>103</v>
      </c>
      <c r="E16" s="2">
        <v>280</v>
      </c>
      <c r="L16" s="7">
        <f t="shared" si="0"/>
        <v>280</v>
      </c>
      <c r="M16" s="7">
        <f t="shared" si="1"/>
        <v>3013.9199999999996</v>
      </c>
      <c r="N16">
        <v>1992</v>
      </c>
      <c r="O16">
        <v>800</v>
      </c>
      <c r="P16">
        <v>60</v>
      </c>
      <c r="Q16">
        <f t="shared" si="2"/>
        <v>31</v>
      </c>
      <c r="R16" s="9">
        <v>0.95</v>
      </c>
      <c r="S16" s="7">
        <f t="shared" si="3"/>
        <v>2411135.9999999995</v>
      </c>
      <c r="T16" s="2">
        <f t="shared" si="4"/>
        <v>1183465.9199999995</v>
      </c>
      <c r="U16" s="7">
        <f t="shared" si="5"/>
        <v>1227670.08</v>
      </c>
    </row>
    <row r="17" spans="1:21" x14ac:dyDescent="0.25">
      <c r="A17" s="3">
        <f t="shared" si="6"/>
        <v>12</v>
      </c>
      <c r="B17" t="s">
        <v>93</v>
      </c>
      <c r="C17" t="s">
        <v>108</v>
      </c>
      <c r="D17" t="s">
        <v>103</v>
      </c>
      <c r="E17" s="2">
        <v>65</v>
      </c>
      <c r="L17" s="7">
        <f t="shared" si="0"/>
        <v>65</v>
      </c>
      <c r="M17" s="7">
        <f t="shared" si="1"/>
        <v>699.66</v>
      </c>
      <c r="N17">
        <v>1992</v>
      </c>
      <c r="O17">
        <v>1000</v>
      </c>
      <c r="P17">
        <v>60</v>
      </c>
      <c r="Q17">
        <f t="shared" si="2"/>
        <v>31</v>
      </c>
      <c r="R17" s="9">
        <v>0.95</v>
      </c>
      <c r="S17" s="7">
        <f t="shared" si="3"/>
        <v>699660</v>
      </c>
      <c r="T17" s="2">
        <f t="shared" si="4"/>
        <v>343416.44999999995</v>
      </c>
      <c r="U17" s="7">
        <f t="shared" si="5"/>
        <v>356243.55000000005</v>
      </c>
    </row>
    <row r="18" spans="1:21" x14ac:dyDescent="0.25">
      <c r="A18" s="3">
        <f t="shared" si="6"/>
        <v>13</v>
      </c>
      <c r="B18" t="s">
        <v>94</v>
      </c>
      <c r="C18" t="s">
        <v>108</v>
      </c>
      <c r="D18" t="s">
        <v>102</v>
      </c>
      <c r="E18" s="2">
        <v>300</v>
      </c>
      <c r="L18" s="7">
        <f t="shared" si="0"/>
        <v>300</v>
      </c>
      <c r="M18" s="7">
        <f t="shared" si="1"/>
        <v>3229.2</v>
      </c>
      <c r="N18">
        <v>1992</v>
      </c>
      <c r="O18">
        <v>500</v>
      </c>
      <c r="P18">
        <v>45</v>
      </c>
      <c r="Q18">
        <f t="shared" si="2"/>
        <v>31</v>
      </c>
      <c r="R18" s="9">
        <v>0.95</v>
      </c>
      <c r="S18" s="7">
        <f t="shared" si="3"/>
        <v>1614600</v>
      </c>
      <c r="T18" s="2">
        <f t="shared" si="4"/>
        <v>1056666</v>
      </c>
      <c r="U18" s="7">
        <f t="shared" si="5"/>
        <v>557934</v>
      </c>
    </row>
    <row r="19" spans="1:21" x14ac:dyDescent="0.25">
      <c r="A19" s="3">
        <f t="shared" si="6"/>
        <v>14</v>
      </c>
      <c r="B19" t="s">
        <v>95</v>
      </c>
      <c r="C19" t="s">
        <v>108</v>
      </c>
      <c r="D19" t="s">
        <v>102</v>
      </c>
      <c r="E19" s="2">
        <v>100</v>
      </c>
      <c r="L19" s="7">
        <f t="shared" si="0"/>
        <v>100</v>
      </c>
      <c r="M19" s="7">
        <f t="shared" si="1"/>
        <v>1076.3999999999999</v>
      </c>
      <c r="N19">
        <v>1992</v>
      </c>
      <c r="O19">
        <v>500</v>
      </c>
      <c r="P19">
        <v>45</v>
      </c>
      <c r="Q19">
        <f t="shared" si="2"/>
        <v>31</v>
      </c>
      <c r="R19" s="9">
        <v>0.95</v>
      </c>
      <c r="S19" s="7">
        <f t="shared" si="3"/>
        <v>538199.99999999988</v>
      </c>
      <c r="T19" s="2">
        <f t="shared" si="4"/>
        <v>352221.99999999994</v>
      </c>
      <c r="U19" s="7">
        <f t="shared" si="5"/>
        <v>185977.99999999994</v>
      </c>
    </row>
    <row r="20" spans="1:21" x14ac:dyDescent="0.25">
      <c r="A20" s="3">
        <f t="shared" si="6"/>
        <v>15</v>
      </c>
      <c r="B20" t="s">
        <v>96</v>
      </c>
      <c r="C20" t="s">
        <v>108</v>
      </c>
      <c r="D20" t="s">
        <v>102</v>
      </c>
      <c r="E20" s="2">
        <v>50</v>
      </c>
      <c r="L20" s="7">
        <f t="shared" si="0"/>
        <v>50</v>
      </c>
      <c r="M20" s="7">
        <f t="shared" si="1"/>
        <v>538.19999999999993</v>
      </c>
      <c r="N20">
        <v>1992</v>
      </c>
      <c r="O20">
        <v>500</v>
      </c>
      <c r="P20">
        <v>45</v>
      </c>
      <c r="Q20">
        <f t="shared" si="2"/>
        <v>31</v>
      </c>
      <c r="R20" s="9">
        <v>0.95</v>
      </c>
      <c r="S20" s="7">
        <f t="shared" si="3"/>
        <v>269099.99999999994</v>
      </c>
      <c r="T20" s="2">
        <f t="shared" si="4"/>
        <v>176110.99999999997</v>
      </c>
      <c r="U20" s="7">
        <f t="shared" si="5"/>
        <v>92988.999999999971</v>
      </c>
    </row>
    <row r="21" spans="1:21" x14ac:dyDescent="0.25">
      <c r="A21" s="3">
        <f t="shared" si="6"/>
        <v>16</v>
      </c>
      <c r="B21" t="s">
        <v>97</v>
      </c>
      <c r="C21" t="s">
        <v>108</v>
      </c>
      <c r="D21" t="s">
        <v>104</v>
      </c>
      <c r="E21" s="2">
        <v>385</v>
      </c>
      <c r="L21" s="7">
        <f t="shared" si="0"/>
        <v>385</v>
      </c>
      <c r="M21" s="7">
        <f t="shared" si="1"/>
        <v>4144.1399999999994</v>
      </c>
      <c r="N21">
        <v>1992</v>
      </c>
      <c r="O21">
        <v>1000</v>
      </c>
      <c r="P21">
        <v>45</v>
      </c>
      <c r="Q21">
        <f t="shared" si="2"/>
        <v>31</v>
      </c>
      <c r="R21" s="9">
        <v>0.95</v>
      </c>
      <c r="S21" s="7">
        <f t="shared" si="3"/>
        <v>4144139.9999999995</v>
      </c>
      <c r="T21" s="2">
        <f t="shared" si="4"/>
        <v>2712109.4</v>
      </c>
      <c r="U21" s="7">
        <f t="shared" si="5"/>
        <v>1432030.5999999996</v>
      </c>
    </row>
    <row r="22" spans="1:21" x14ac:dyDescent="0.25">
      <c r="A22" s="3">
        <f t="shared" si="6"/>
        <v>17</v>
      </c>
      <c r="B22" t="s">
        <v>98</v>
      </c>
      <c r="C22" t="s">
        <v>108</v>
      </c>
      <c r="D22" t="s">
        <v>104</v>
      </c>
      <c r="E22" s="2">
        <v>200</v>
      </c>
      <c r="L22" s="7">
        <f t="shared" si="0"/>
        <v>200</v>
      </c>
      <c r="M22" s="7">
        <f t="shared" si="1"/>
        <v>2152.7999999999997</v>
      </c>
      <c r="N22">
        <v>1992</v>
      </c>
      <c r="O22">
        <v>1000</v>
      </c>
      <c r="P22">
        <v>45</v>
      </c>
      <c r="Q22">
        <f t="shared" si="2"/>
        <v>31</v>
      </c>
      <c r="R22" s="9">
        <v>0.95</v>
      </c>
      <c r="S22" s="7">
        <f t="shared" si="3"/>
        <v>2152799.9999999995</v>
      </c>
      <c r="T22" s="2">
        <f t="shared" si="4"/>
        <v>1408887.9999999998</v>
      </c>
      <c r="U22" s="7">
        <f t="shared" si="5"/>
        <v>743911.99999999977</v>
      </c>
    </row>
    <row r="23" spans="1:21" x14ac:dyDescent="0.25">
      <c r="A23" s="3">
        <f t="shared" si="6"/>
        <v>18</v>
      </c>
      <c r="B23" t="s">
        <v>99</v>
      </c>
      <c r="C23" t="s">
        <v>108</v>
      </c>
      <c r="D23" t="s">
        <v>103</v>
      </c>
      <c r="E23" s="2">
        <v>4500</v>
      </c>
      <c r="L23" s="7">
        <f t="shared" si="0"/>
        <v>4500</v>
      </c>
      <c r="M23" s="7">
        <f t="shared" si="1"/>
        <v>48438</v>
      </c>
      <c r="N23">
        <v>1992</v>
      </c>
      <c r="O23">
        <v>1300</v>
      </c>
      <c r="P23">
        <v>60</v>
      </c>
      <c r="Q23">
        <f t="shared" si="2"/>
        <v>31</v>
      </c>
      <c r="R23" s="9">
        <v>0.95</v>
      </c>
      <c r="S23" s="7">
        <f t="shared" si="3"/>
        <v>62969400</v>
      </c>
      <c r="T23" s="2">
        <f t="shared" si="4"/>
        <v>30907480.499999996</v>
      </c>
      <c r="U23" s="7">
        <f t="shared" si="5"/>
        <v>32061919.500000004</v>
      </c>
    </row>
    <row r="24" spans="1:21" x14ac:dyDescent="0.25">
      <c r="A24" s="3">
        <f t="shared" si="6"/>
        <v>19</v>
      </c>
      <c r="B24" t="s">
        <v>100</v>
      </c>
      <c r="C24" t="s">
        <v>108</v>
      </c>
      <c r="D24" t="s">
        <v>103</v>
      </c>
      <c r="E24" s="2">
        <v>65</v>
      </c>
      <c r="L24" s="7">
        <f t="shared" si="0"/>
        <v>65</v>
      </c>
      <c r="M24" s="7">
        <f t="shared" si="1"/>
        <v>699.66</v>
      </c>
      <c r="N24">
        <v>1992</v>
      </c>
      <c r="O24">
        <v>700</v>
      </c>
      <c r="P24">
        <v>60</v>
      </c>
      <c r="Q24">
        <f t="shared" si="2"/>
        <v>31</v>
      </c>
      <c r="R24" s="9">
        <v>0.95</v>
      </c>
      <c r="S24" s="7">
        <f t="shared" si="3"/>
        <v>489762</v>
      </c>
      <c r="T24" s="2">
        <f t="shared" si="4"/>
        <v>240391.51499999996</v>
      </c>
      <c r="U24" s="7">
        <f t="shared" si="5"/>
        <v>249370.48500000004</v>
      </c>
    </row>
    <row r="25" spans="1:21" x14ac:dyDescent="0.25">
      <c r="A25" s="3">
        <f t="shared" si="6"/>
        <v>20</v>
      </c>
      <c r="B25" t="s">
        <v>110</v>
      </c>
      <c r="C25" t="s">
        <v>109</v>
      </c>
      <c r="D25" t="s">
        <v>104</v>
      </c>
      <c r="E25" s="2">
        <v>910</v>
      </c>
      <c r="F25" s="2">
        <v>120</v>
      </c>
      <c r="G25" s="2">
        <v>320</v>
      </c>
      <c r="L25" s="7">
        <f t="shared" si="0"/>
        <v>1350</v>
      </c>
      <c r="M25" s="7">
        <f t="shared" si="1"/>
        <v>14531.4</v>
      </c>
      <c r="N25">
        <v>1992</v>
      </c>
      <c r="O25">
        <v>800</v>
      </c>
      <c r="P25">
        <v>45</v>
      </c>
      <c r="Q25">
        <f t="shared" si="2"/>
        <v>31</v>
      </c>
      <c r="R25" s="9">
        <v>0.95</v>
      </c>
      <c r="S25" s="7">
        <f t="shared" si="3"/>
        <v>11625120</v>
      </c>
      <c r="T25" s="2">
        <f t="shared" si="4"/>
        <v>7607995.2000000002</v>
      </c>
      <c r="U25" s="7">
        <f t="shared" si="5"/>
        <v>4017124.8</v>
      </c>
    </row>
    <row r="26" spans="1:21" x14ac:dyDescent="0.25">
      <c r="A26" s="3">
        <f t="shared" si="6"/>
        <v>21</v>
      </c>
      <c r="B26" t="s">
        <v>111</v>
      </c>
      <c r="C26" t="s">
        <v>109</v>
      </c>
      <c r="D26" t="s">
        <v>103</v>
      </c>
      <c r="E26" s="2">
        <v>320</v>
      </c>
      <c r="J26" s="6"/>
      <c r="K26" s="6"/>
      <c r="L26" s="7">
        <f t="shared" si="0"/>
        <v>320</v>
      </c>
      <c r="M26" s="7">
        <f t="shared" si="1"/>
        <v>3444.4799999999996</v>
      </c>
      <c r="N26">
        <v>1992</v>
      </c>
      <c r="O26">
        <v>1000</v>
      </c>
      <c r="P26">
        <v>60</v>
      </c>
      <c r="Q26">
        <f t="shared" si="2"/>
        <v>31</v>
      </c>
      <c r="R26" s="9">
        <v>0.95</v>
      </c>
      <c r="S26" s="7">
        <f t="shared" si="3"/>
        <v>3444479.9999999995</v>
      </c>
      <c r="T26" s="2">
        <f t="shared" si="4"/>
        <v>1690665.5999999994</v>
      </c>
      <c r="U26" s="7">
        <f t="shared" si="5"/>
        <v>1753814.4000000001</v>
      </c>
    </row>
    <row r="27" spans="1:21" x14ac:dyDescent="0.25">
      <c r="A27" s="3">
        <f t="shared" si="6"/>
        <v>22</v>
      </c>
      <c r="B27" t="s">
        <v>112</v>
      </c>
      <c r="C27" t="s">
        <v>109</v>
      </c>
      <c r="D27" t="s">
        <v>103</v>
      </c>
      <c r="E27" s="2">
        <v>390</v>
      </c>
      <c r="L27" s="7">
        <f t="shared" si="0"/>
        <v>390</v>
      </c>
      <c r="M27" s="7">
        <f t="shared" si="1"/>
        <v>4197.96</v>
      </c>
      <c r="N27">
        <v>1992</v>
      </c>
      <c r="O27">
        <v>1000</v>
      </c>
      <c r="P27">
        <v>60</v>
      </c>
      <c r="Q27">
        <f t="shared" si="2"/>
        <v>31</v>
      </c>
      <c r="R27" s="9">
        <v>0.95</v>
      </c>
      <c r="S27" s="7">
        <f t="shared" si="3"/>
        <v>4197960</v>
      </c>
      <c r="T27" s="2">
        <f t="shared" si="4"/>
        <v>2060498.7</v>
      </c>
      <c r="U27" s="7">
        <f t="shared" si="5"/>
        <v>2137461.2999999998</v>
      </c>
    </row>
    <row r="28" spans="1:21" x14ac:dyDescent="0.25">
      <c r="A28" s="3">
        <f t="shared" si="6"/>
        <v>23</v>
      </c>
      <c r="B28" t="s">
        <v>113</v>
      </c>
      <c r="C28" t="s">
        <v>109</v>
      </c>
      <c r="D28" t="s">
        <v>103</v>
      </c>
      <c r="E28" s="2">
        <v>250</v>
      </c>
      <c r="L28" s="7">
        <f t="shared" si="0"/>
        <v>250</v>
      </c>
      <c r="M28" s="7">
        <f t="shared" si="1"/>
        <v>2691</v>
      </c>
      <c r="N28">
        <v>1992</v>
      </c>
      <c r="O28">
        <v>1000</v>
      </c>
      <c r="P28">
        <v>60</v>
      </c>
      <c r="Q28">
        <f t="shared" si="2"/>
        <v>31</v>
      </c>
      <c r="R28" s="9">
        <v>0.95</v>
      </c>
      <c r="S28" s="7">
        <f t="shared" si="3"/>
        <v>2691000</v>
      </c>
      <c r="T28" s="2">
        <f t="shared" si="4"/>
        <v>1320832.4999999998</v>
      </c>
      <c r="U28" s="7">
        <f t="shared" si="5"/>
        <v>1370167.5000000002</v>
      </c>
    </row>
    <row r="29" spans="1:21" x14ac:dyDescent="0.25">
      <c r="A29" s="3">
        <f t="shared" si="6"/>
        <v>24</v>
      </c>
      <c r="B29" t="s">
        <v>114</v>
      </c>
      <c r="C29" t="s">
        <v>109</v>
      </c>
      <c r="D29" t="s">
        <v>103</v>
      </c>
      <c r="E29" s="2">
        <v>175</v>
      </c>
      <c r="L29" s="7">
        <f t="shared" si="0"/>
        <v>175</v>
      </c>
      <c r="M29" s="7">
        <f t="shared" si="1"/>
        <v>1883.6999999999998</v>
      </c>
      <c r="N29">
        <v>1992</v>
      </c>
      <c r="O29">
        <v>1000</v>
      </c>
      <c r="P29">
        <v>60</v>
      </c>
      <c r="Q29">
        <f t="shared" si="2"/>
        <v>31</v>
      </c>
      <c r="R29" s="9">
        <v>0.95</v>
      </c>
      <c r="S29" s="7">
        <f t="shared" si="3"/>
        <v>1883699.9999999998</v>
      </c>
      <c r="T29" s="2">
        <f t="shared" si="4"/>
        <v>924582.74999999977</v>
      </c>
      <c r="U29" s="7">
        <f t="shared" si="5"/>
        <v>959117.25</v>
      </c>
    </row>
    <row r="30" spans="1:21" x14ac:dyDescent="0.25">
      <c r="A30" s="3">
        <f t="shared" si="6"/>
        <v>25</v>
      </c>
      <c r="B30" t="s">
        <v>115</v>
      </c>
      <c r="C30" t="s">
        <v>109</v>
      </c>
      <c r="D30" t="s">
        <v>103</v>
      </c>
      <c r="E30" s="2">
        <v>100</v>
      </c>
      <c r="L30" s="7">
        <f t="shared" si="0"/>
        <v>100</v>
      </c>
      <c r="M30" s="7">
        <f t="shared" si="1"/>
        <v>1076.3999999999999</v>
      </c>
      <c r="N30">
        <v>1992</v>
      </c>
      <c r="O30">
        <v>1000</v>
      </c>
      <c r="P30">
        <v>60</v>
      </c>
      <c r="Q30">
        <f t="shared" si="2"/>
        <v>31</v>
      </c>
      <c r="R30" s="9">
        <v>0.95</v>
      </c>
      <c r="S30" s="7">
        <f t="shared" si="3"/>
        <v>1076399.9999999998</v>
      </c>
      <c r="T30" s="2">
        <f t="shared" si="4"/>
        <v>528332.99999999977</v>
      </c>
      <c r="U30" s="7">
        <f t="shared" si="5"/>
        <v>548067</v>
      </c>
    </row>
    <row r="31" spans="1:21" x14ac:dyDescent="0.25">
      <c r="A31" s="3">
        <f t="shared" si="6"/>
        <v>26</v>
      </c>
      <c r="B31" t="s">
        <v>116</v>
      </c>
      <c r="C31" t="s">
        <v>109</v>
      </c>
      <c r="D31" t="s">
        <v>103</v>
      </c>
      <c r="E31" s="2">
        <v>50</v>
      </c>
      <c r="L31" s="7">
        <f t="shared" si="0"/>
        <v>50</v>
      </c>
      <c r="M31" s="7">
        <f t="shared" si="1"/>
        <v>538.19999999999993</v>
      </c>
      <c r="N31">
        <v>1992</v>
      </c>
      <c r="O31">
        <v>1000</v>
      </c>
      <c r="P31">
        <v>60</v>
      </c>
      <c r="Q31">
        <f t="shared" si="2"/>
        <v>31</v>
      </c>
      <c r="R31" s="9">
        <v>0.95</v>
      </c>
      <c r="S31" s="7">
        <f t="shared" si="3"/>
        <v>538199.99999999988</v>
      </c>
      <c r="T31" s="2">
        <f t="shared" si="4"/>
        <v>264166.49999999988</v>
      </c>
      <c r="U31" s="7">
        <f t="shared" si="5"/>
        <v>274033.5</v>
      </c>
    </row>
    <row r="32" spans="1:21" x14ac:dyDescent="0.25">
      <c r="A32" s="3">
        <f t="shared" si="6"/>
        <v>27</v>
      </c>
      <c r="B32" t="s">
        <v>118</v>
      </c>
      <c r="C32" t="s">
        <v>117</v>
      </c>
      <c r="D32" t="s">
        <v>121</v>
      </c>
      <c r="E32" s="2">
        <v>1838</v>
      </c>
      <c r="L32" s="7">
        <f t="shared" si="0"/>
        <v>1838</v>
      </c>
      <c r="M32" s="7">
        <f t="shared" si="1"/>
        <v>19784.232</v>
      </c>
      <c r="N32">
        <v>1992</v>
      </c>
      <c r="O32">
        <v>1000</v>
      </c>
      <c r="P32">
        <v>45</v>
      </c>
      <c r="Q32">
        <f t="shared" si="2"/>
        <v>31</v>
      </c>
      <c r="R32" s="9">
        <v>0.95</v>
      </c>
      <c r="S32" s="7">
        <f t="shared" si="3"/>
        <v>19784232</v>
      </c>
      <c r="T32" s="2">
        <f t="shared" si="4"/>
        <v>12947680.720000001</v>
      </c>
      <c r="U32" s="7">
        <f t="shared" si="5"/>
        <v>6836551.2799999993</v>
      </c>
    </row>
    <row r="33" spans="1:21" x14ac:dyDescent="0.25">
      <c r="A33" s="3">
        <f t="shared" si="6"/>
        <v>28</v>
      </c>
      <c r="B33" t="s">
        <v>119</v>
      </c>
      <c r="C33" t="s">
        <v>117</v>
      </c>
      <c r="D33" t="s">
        <v>103</v>
      </c>
      <c r="E33" s="2">
        <v>180</v>
      </c>
      <c r="L33" s="7">
        <f t="shared" si="0"/>
        <v>180</v>
      </c>
      <c r="M33" s="7">
        <f t="shared" si="1"/>
        <v>1937.52</v>
      </c>
      <c r="N33">
        <v>1992</v>
      </c>
      <c r="O33">
        <v>1000</v>
      </c>
      <c r="P33">
        <v>60</v>
      </c>
      <c r="Q33">
        <f t="shared" si="2"/>
        <v>31</v>
      </c>
      <c r="R33" s="9">
        <v>0.95</v>
      </c>
      <c r="S33" s="7">
        <f t="shared" si="3"/>
        <v>1937520</v>
      </c>
      <c r="T33" s="2">
        <f t="shared" si="4"/>
        <v>950999.39999999979</v>
      </c>
      <c r="U33" s="7">
        <f t="shared" si="5"/>
        <v>986520.60000000021</v>
      </c>
    </row>
    <row r="34" spans="1:21" x14ac:dyDescent="0.25">
      <c r="A34" s="3">
        <f t="shared" si="6"/>
        <v>29</v>
      </c>
      <c r="B34" t="s">
        <v>156</v>
      </c>
      <c r="C34" t="s">
        <v>117</v>
      </c>
      <c r="D34" t="s">
        <v>103</v>
      </c>
      <c r="E34" s="2">
        <v>100</v>
      </c>
      <c r="L34" s="7">
        <f t="shared" si="0"/>
        <v>100</v>
      </c>
      <c r="M34" s="7">
        <f t="shared" si="1"/>
        <v>1076.3999999999999</v>
      </c>
      <c r="N34">
        <v>1992</v>
      </c>
      <c r="O34">
        <v>1000</v>
      </c>
      <c r="P34">
        <v>60</v>
      </c>
      <c r="Q34">
        <f t="shared" si="2"/>
        <v>31</v>
      </c>
      <c r="R34" s="9">
        <v>0.95</v>
      </c>
      <c r="S34" s="7">
        <f t="shared" si="3"/>
        <v>1076399.9999999998</v>
      </c>
      <c r="T34" s="2">
        <f t="shared" si="4"/>
        <v>528332.99999999977</v>
      </c>
      <c r="U34" s="7">
        <f t="shared" si="5"/>
        <v>548067</v>
      </c>
    </row>
    <row r="35" spans="1:21" x14ac:dyDescent="0.25">
      <c r="A35" s="3">
        <f t="shared" si="6"/>
        <v>30</v>
      </c>
      <c r="B35" t="s">
        <v>120</v>
      </c>
      <c r="C35" t="s">
        <v>117</v>
      </c>
      <c r="D35" t="s">
        <v>104</v>
      </c>
      <c r="E35" s="2">
        <v>110</v>
      </c>
      <c r="L35" s="7">
        <f t="shared" si="0"/>
        <v>110</v>
      </c>
      <c r="M35" s="7">
        <f t="shared" si="1"/>
        <v>1184.04</v>
      </c>
      <c r="N35">
        <v>1992</v>
      </c>
      <c r="O35">
        <v>700</v>
      </c>
      <c r="P35">
        <v>45</v>
      </c>
      <c r="Q35">
        <f t="shared" si="2"/>
        <v>31</v>
      </c>
      <c r="R35" s="9">
        <v>0.95</v>
      </c>
      <c r="S35" s="7">
        <f t="shared" si="3"/>
        <v>828828</v>
      </c>
      <c r="T35" s="2">
        <f t="shared" si="4"/>
        <v>542421.88</v>
      </c>
      <c r="U35" s="7">
        <f t="shared" si="5"/>
        <v>286406.12</v>
      </c>
    </row>
    <row r="36" spans="1:21" x14ac:dyDescent="0.25">
      <c r="A36" s="3">
        <f t="shared" si="6"/>
        <v>31</v>
      </c>
      <c r="B36" t="s">
        <v>123</v>
      </c>
      <c r="C36" t="s">
        <v>122</v>
      </c>
      <c r="D36" t="s">
        <v>104</v>
      </c>
      <c r="E36" s="2">
        <v>190</v>
      </c>
      <c r="F36" s="2">
        <v>100</v>
      </c>
      <c r="G36" s="2">
        <v>100</v>
      </c>
      <c r="H36" s="2">
        <v>0</v>
      </c>
      <c r="K36" s="2">
        <v>200</v>
      </c>
      <c r="L36" s="7">
        <f t="shared" si="0"/>
        <v>590</v>
      </c>
      <c r="M36" s="7">
        <f t="shared" si="1"/>
        <v>6350.7599999999993</v>
      </c>
      <c r="N36">
        <v>1992</v>
      </c>
      <c r="O36">
        <v>700</v>
      </c>
      <c r="P36">
        <v>45</v>
      </c>
      <c r="Q36">
        <f t="shared" si="2"/>
        <v>31</v>
      </c>
      <c r="R36" s="9">
        <v>0.95</v>
      </c>
      <c r="S36" s="7">
        <f t="shared" si="3"/>
        <v>4445531.9999999991</v>
      </c>
      <c r="T36" s="2">
        <f t="shared" si="4"/>
        <v>2909353.7199999993</v>
      </c>
      <c r="U36" s="7">
        <f t="shared" si="5"/>
        <v>1536178.2799999998</v>
      </c>
    </row>
    <row r="37" spans="1:21" x14ac:dyDescent="0.25">
      <c r="A37" s="3">
        <f t="shared" si="6"/>
        <v>32</v>
      </c>
      <c r="B37" t="s">
        <v>124</v>
      </c>
      <c r="C37" t="s">
        <v>122</v>
      </c>
      <c r="D37" t="s">
        <v>104</v>
      </c>
      <c r="E37" s="2">
        <v>885</v>
      </c>
      <c r="F37" s="2">
        <v>410</v>
      </c>
      <c r="G37" s="2">
        <v>410</v>
      </c>
      <c r="H37" s="2">
        <v>0</v>
      </c>
      <c r="K37" s="2">
        <v>300</v>
      </c>
      <c r="L37" s="7">
        <f t="shared" si="0"/>
        <v>2005</v>
      </c>
      <c r="M37" s="7">
        <f t="shared" si="1"/>
        <v>21581.82</v>
      </c>
      <c r="N37">
        <v>1992</v>
      </c>
      <c r="O37">
        <v>700</v>
      </c>
      <c r="P37">
        <v>45</v>
      </c>
      <c r="Q37">
        <f t="shared" si="2"/>
        <v>31</v>
      </c>
      <c r="R37" s="9">
        <v>0.95</v>
      </c>
      <c r="S37" s="7">
        <f t="shared" si="3"/>
        <v>15107274</v>
      </c>
      <c r="T37" s="2">
        <f t="shared" si="4"/>
        <v>9886871.540000001</v>
      </c>
      <c r="U37" s="7">
        <f t="shared" si="5"/>
        <v>5220402.459999999</v>
      </c>
    </row>
    <row r="38" spans="1:21" x14ac:dyDescent="0.25">
      <c r="A38" s="3">
        <f t="shared" si="6"/>
        <v>33</v>
      </c>
      <c r="B38" t="s">
        <v>125</v>
      </c>
      <c r="C38" t="s">
        <v>122</v>
      </c>
      <c r="D38" t="s">
        <v>104</v>
      </c>
      <c r="E38" s="2">
        <v>315</v>
      </c>
      <c r="F38" s="2">
        <v>240</v>
      </c>
      <c r="G38" s="2">
        <v>240</v>
      </c>
      <c r="H38" s="2">
        <v>0</v>
      </c>
      <c r="K38" s="2">
        <v>220</v>
      </c>
      <c r="L38" s="7">
        <f t="shared" si="0"/>
        <v>1015</v>
      </c>
      <c r="M38" s="7">
        <f t="shared" si="1"/>
        <v>10925.46</v>
      </c>
      <c r="N38">
        <v>1992</v>
      </c>
      <c r="O38">
        <v>700</v>
      </c>
      <c r="P38">
        <v>45</v>
      </c>
      <c r="Q38">
        <f t="shared" si="2"/>
        <v>31</v>
      </c>
      <c r="R38" s="9">
        <v>0.95</v>
      </c>
      <c r="S38" s="7">
        <f t="shared" si="3"/>
        <v>7647821.9999999991</v>
      </c>
      <c r="T38" s="2">
        <f t="shared" si="4"/>
        <v>5005074.62</v>
      </c>
      <c r="U38" s="7">
        <f t="shared" si="5"/>
        <v>2642747.379999999</v>
      </c>
    </row>
    <row r="39" spans="1:21" x14ac:dyDescent="0.25">
      <c r="A39" s="3">
        <f t="shared" si="6"/>
        <v>34</v>
      </c>
      <c r="B39" t="s">
        <v>126</v>
      </c>
      <c r="C39" t="s">
        <v>122</v>
      </c>
      <c r="D39" t="s">
        <v>103</v>
      </c>
      <c r="E39" s="2">
        <v>620</v>
      </c>
      <c r="F39" s="2">
        <v>505</v>
      </c>
      <c r="G39" s="2">
        <v>500</v>
      </c>
      <c r="H39" s="2">
        <v>0</v>
      </c>
      <c r="K39" s="2">
        <v>200</v>
      </c>
      <c r="L39" s="7">
        <f t="shared" si="0"/>
        <v>1825</v>
      </c>
      <c r="M39" s="7">
        <f t="shared" si="1"/>
        <v>19644.3</v>
      </c>
      <c r="N39">
        <v>1992</v>
      </c>
      <c r="O39">
        <v>800</v>
      </c>
      <c r="P39">
        <v>60</v>
      </c>
      <c r="Q39">
        <f t="shared" si="2"/>
        <v>31</v>
      </c>
      <c r="R39" s="9">
        <v>0.95</v>
      </c>
      <c r="S39" s="7">
        <f t="shared" si="3"/>
        <v>15715440</v>
      </c>
      <c r="T39" s="2">
        <f t="shared" si="4"/>
        <v>7713661.7999999989</v>
      </c>
      <c r="U39" s="7">
        <f t="shared" si="5"/>
        <v>8001778.2000000011</v>
      </c>
    </row>
    <row r="40" spans="1:21" x14ac:dyDescent="0.25">
      <c r="A40" s="3">
        <f t="shared" si="6"/>
        <v>35</v>
      </c>
      <c r="B40" t="s">
        <v>127</v>
      </c>
      <c r="C40" t="s">
        <v>122</v>
      </c>
      <c r="D40" t="s">
        <v>104</v>
      </c>
      <c r="E40" s="2">
        <v>400</v>
      </c>
      <c r="F40" s="2">
        <v>240</v>
      </c>
      <c r="G40" s="2">
        <v>240</v>
      </c>
      <c r="H40" s="2">
        <v>100</v>
      </c>
      <c r="K40" s="2">
        <v>150</v>
      </c>
      <c r="L40" s="7">
        <f t="shared" si="0"/>
        <v>1130</v>
      </c>
      <c r="M40" s="7">
        <f t="shared" si="1"/>
        <v>12163.32</v>
      </c>
      <c r="N40">
        <v>1992</v>
      </c>
      <c r="O40">
        <v>700</v>
      </c>
      <c r="P40">
        <v>45</v>
      </c>
      <c r="Q40">
        <f t="shared" si="2"/>
        <v>31</v>
      </c>
      <c r="R40" s="9">
        <v>0.95</v>
      </c>
      <c r="S40" s="7">
        <f t="shared" si="3"/>
        <v>8514324</v>
      </c>
      <c r="T40" s="2">
        <f t="shared" si="4"/>
        <v>5572152.04</v>
      </c>
      <c r="U40" s="7">
        <f t="shared" si="5"/>
        <v>2942171.96</v>
      </c>
    </row>
    <row r="41" spans="1:21" x14ac:dyDescent="0.25">
      <c r="A41" s="3">
        <f t="shared" si="6"/>
        <v>36</v>
      </c>
      <c r="B41" t="s">
        <v>143</v>
      </c>
      <c r="C41" t="s">
        <v>122</v>
      </c>
      <c r="D41" t="s">
        <v>103</v>
      </c>
      <c r="E41" s="2">
        <v>0</v>
      </c>
      <c r="F41" s="2">
        <v>0</v>
      </c>
      <c r="G41" s="2">
        <v>0</v>
      </c>
      <c r="H41" s="2">
        <v>0</v>
      </c>
      <c r="K41" s="2">
        <v>200</v>
      </c>
      <c r="L41" s="7">
        <f t="shared" si="0"/>
        <v>200</v>
      </c>
      <c r="M41" s="7">
        <f t="shared" si="1"/>
        <v>2152.7999999999997</v>
      </c>
      <c r="N41">
        <v>1992</v>
      </c>
      <c r="O41">
        <v>700</v>
      </c>
      <c r="P41">
        <v>60</v>
      </c>
      <c r="Q41">
        <f t="shared" si="2"/>
        <v>31</v>
      </c>
      <c r="R41" s="9">
        <v>0.95</v>
      </c>
      <c r="S41" s="7">
        <f t="shared" si="3"/>
        <v>1506959.9999999998</v>
      </c>
      <c r="T41" s="2">
        <f t="shared" si="4"/>
        <v>739666.19999999984</v>
      </c>
      <c r="U41" s="7">
        <f t="shared" si="5"/>
        <v>767293.79999999993</v>
      </c>
    </row>
    <row r="42" spans="1:21" x14ac:dyDescent="0.25">
      <c r="A42" s="3">
        <f t="shared" si="6"/>
        <v>37</v>
      </c>
      <c r="B42" t="s">
        <v>128</v>
      </c>
      <c r="C42" t="s">
        <v>122</v>
      </c>
      <c r="D42" t="s">
        <v>102</v>
      </c>
      <c r="E42" s="2">
        <v>700</v>
      </c>
      <c r="F42" s="2">
        <v>520</v>
      </c>
      <c r="G42" s="2">
        <v>430</v>
      </c>
      <c r="H42" s="2">
        <v>315</v>
      </c>
      <c r="K42" s="2">
        <v>200</v>
      </c>
      <c r="L42" s="7">
        <f t="shared" si="0"/>
        <v>2165</v>
      </c>
      <c r="M42" s="7">
        <f t="shared" si="1"/>
        <v>23304.059999999998</v>
      </c>
      <c r="N42">
        <v>1992</v>
      </c>
      <c r="O42">
        <v>600</v>
      </c>
      <c r="P42">
        <v>45</v>
      </c>
      <c r="Q42">
        <f t="shared" si="2"/>
        <v>31</v>
      </c>
      <c r="R42" s="9">
        <v>0.95</v>
      </c>
      <c r="S42" s="7">
        <f t="shared" si="3"/>
        <v>13982435.999999998</v>
      </c>
      <c r="T42" s="2">
        <f t="shared" si="4"/>
        <v>9150727.5599999987</v>
      </c>
      <c r="U42" s="7">
        <f t="shared" si="5"/>
        <v>4831708.4399999995</v>
      </c>
    </row>
    <row r="43" spans="1:21" x14ac:dyDescent="0.25">
      <c r="A43" s="3">
        <f t="shared" si="6"/>
        <v>38</v>
      </c>
      <c r="B43" t="s">
        <v>129</v>
      </c>
      <c r="C43" t="s">
        <v>122</v>
      </c>
      <c r="D43" t="s">
        <v>104</v>
      </c>
      <c r="E43" s="2">
        <v>350</v>
      </c>
      <c r="F43" s="2">
        <v>150</v>
      </c>
      <c r="G43" s="2">
        <v>130</v>
      </c>
      <c r="H43" s="2">
        <v>0</v>
      </c>
      <c r="K43" s="2">
        <v>200</v>
      </c>
      <c r="L43" s="7">
        <f t="shared" si="0"/>
        <v>830</v>
      </c>
      <c r="M43" s="7">
        <f t="shared" si="1"/>
        <v>8934.119999999999</v>
      </c>
      <c r="N43">
        <v>1992</v>
      </c>
      <c r="O43">
        <v>800</v>
      </c>
      <c r="P43">
        <v>45</v>
      </c>
      <c r="Q43">
        <f t="shared" si="2"/>
        <v>31</v>
      </c>
      <c r="R43" s="9">
        <v>0.95</v>
      </c>
      <c r="S43" s="7">
        <f t="shared" si="3"/>
        <v>7147295.9999999991</v>
      </c>
      <c r="T43" s="2">
        <f t="shared" si="4"/>
        <v>4677508.1599999992</v>
      </c>
      <c r="U43" s="7">
        <f t="shared" si="5"/>
        <v>2469787.84</v>
      </c>
    </row>
    <row r="44" spans="1:21" x14ac:dyDescent="0.25">
      <c r="A44" s="3">
        <f t="shared" si="6"/>
        <v>39</v>
      </c>
      <c r="B44" t="s">
        <v>130</v>
      </c>
      <c r="C44" t="s">
        <v>122</v>
      </c>
      <c r="D44" t="s">
        <v>104</v>
      </c>
      <c r="E44" s="2">
        <v>250</v>
      </c>
      <c r="F44" s="2">
        <v>200</v>
      </c>
      <c r="G44" s="2">
        <v>200</v>
      </c>
      <c r="H44" s="2">
        <v>50</v>
      </c>
      <c r="K44" s="2">
        <v>625</v>
      </c>
      <c r="L44" s="7">
        <f t="shared" si="0"/>
        <v>1325</v>
      </c>
      <c r="M44" s="7">
        <f t="shared" si="1"/>
        <v>14262.3</v>
      </c>
      <c r="N44">
        <v>1992</v>
      </c>
      <c r="O44">
        <v>700</v>
      </c>
      <c r="P44">
        <v>45</v>
      </c>
      <c r="Q44">
        <f t="shared" si="2"/>
        <v>31</v>
      </c>
      <c r="R44" s="9">
        <v>0.95</v>
      </c>
      <c r="S44" s="7">
        <f t="shared" si="3"/>
        <v>9983610</v>
      </c>
      <c r="T44" s="2">
        <f t="shared" si="4"/>
        <v>6533718.1000000006</v>
      </c>
      <c r="U44" s="7">
        <f t="shared" si="5"/>
        <v>3449891.8999999994</v>
      </c>
    </row>
    <row r="45" spans="1:21" x14ac:dyDescent="0.25">
      <c r="A45" s="3">
        <f t="shared" si="6"/>
        <v>40</v>
      </c>
      <c r="B45" t="s">
        <v>131</v>
      </c>
      <c r="C45" t="s">
        <v>122</v>
      </c>
      <c r="D45" t="s">
        <v>104</v>
      </c>
      <c r="E45" s="2">
        <v>175</v>
      </c>
      <c r="F45" s="2">
        <v>150</v>
      </c>
      <c r="G45" s="2">
        <v>150</v>
      </c>
      <c r="H45" s="2">
        <v>0</v>
      </c>
      <c r="K45" s="2">
        <v>100</v>
      </c>
      <c r="L45" s="7">
        <f t="shared" si="0"/>
        <v>575</v>
      </c>
      <c r="M45" s="7">
        <f t="shared" si="1"/>
        <v>6189.2999999999993</v>
      </c>
      <c r="N45">
        <v>1992</v>
      </c>
      <c r="O45">
        <v>700</v>
      </c>
      <c r="P45">
        <v>45</v>
      </c>
      <c r="Q45">
        <f t="shared" si="2"/>
        <v>31</v>
      </c>
      <c r="R45" s="9">
        <v>0.95</v>
      </c>
      <c r="S45" s="7">
        <f t="shared" si="3"/>
        <v>4332509.9999999991</v>
      </c>
      <c r="T45" s="2">
        <f t="shared" si="4"/>
        <v>2835387.0999999992</v>
      </c>
      <c r="U45" s="7">
        <f t="shared" si="5"/>
        <v>1497122.9</v>
      </c>
    </row>
    <row r="46" spans="1:21" x14ac:dyDescent="0.25">
      <c r="A46" s="3">
        <f t="shared" si="6"/>
        <v>41</v>
      </c>
      <c r="B46" t="s">
        <v>132</v>
      </c>
      <c r="C46" t="s">
        <v>122</v>
      </c>
      <c r="D46" t="s">
        <v>104</v>
      </c>
      <c r="E46" s="2">
        <v>415</v>
      </c>
      <c r="F46" s="2">
        <v>370</v>
      </c>
      <c r="G46" s="2">
        <v>370</v>
      </c>
      <c r="H46" s="2">
        <v>270</v>
      </c>
      <c r="I46" s="2">
        <v>50</v>
      </c>
      <c r="K46" s="2">
        <v>100</v>
      </c>
      <c r="L46" s="7">
        <f t="shared" si="0"/>
        <v>1575</v>
      </c>
      <c r="M46" s="7">
        <f t="shared" si="1"/>
        <v>16953.3</v>
      </c>
      <c r="N46">
        <v>1992</v>
      </c>
      <c r="O46">
        <v>700</v>
      </c>
      <c r="P46">
        <v>45</v>
      </c>
      <c r="Q46">
        <f t="shared" si="2"/>
        <v>31</v>
      </c>
      <c r="R46" s="9">
        <v>0.95</v>
      </c>
      <c r="S46" s="7">
        <f t="shared" si="3"/>
        <v>11867310</v>
      </c>
      <c r="T46" s="2">
        <f t="shared" si="4"/>
        <v>7766495.1000000006</v>
      </c>
      <c r="U46" s="7">
        <f t="shared" si="5"/>
        <v>4100814.8999999994</v>
      </c>
    </row>
    <row r="47" spans="1:21" x14ac:dyDescent="0.25">
      <c r="A47" s="3">
        <f t="shared" si="6"/>
        <v>42</v>
      </c>
      <c r="B47" t="s">
        <v>133</v>
      </c>
      <c r="C47" t="s">
        <v>122</v>
      </c>
      <c r="D47" t="s">
        <v>104</v>
      </c>
      <c r="E47" s="2">
        <v>420</v>
      </c>
      <c r="F47" s="2">
        <v>420</v>
      </c>
      <c r="G47" s="2">
        <v>420</v>
      </c>
      <c r="H47" s="2">
        <v>420</v>
      </c>
      <c r="I47" s="2">
        <v>70</v>
      </c>
      <c r="J47" s="2">
        <v>70</v>
      </c>
      <c r="K47" s="2">
        <v>250</v>
      </c>
      <c r="L47" s="7">
        <f t="shared" si="0"/>
        <v>2070</v>
      </c>
      <c r="M47" s="7">
        <f t="shared" si="1"/>
        <v>22281.48</v>
      </c>
      <c r="N47">
        <v>1992</v>
      </c>
      <c r="O47">
        <v>700</v>
      </c>
      <c r="P47">
        <v>45</v>
      </c>
      <c r="Q47">
        <f t="shared" si="2"/>
        <v>31</v>
      </c>
      <c r="R47" s="9">
        <v>0.95</v>
      </c>
      <c r="S47" s="7">
        <f t="shared" si="3"/>
        <v>15597036</v>
      </c>
      <c r="T47" s="2">
        <f t="shared" si="4"/>
        <v>10207393.560000001</v>
      </c>
      <c r="U47" s="7">
        <f t="shared" si="5"/>
        <v>5389642.4399999995</v>
      </c>
    </row>
    <row r="48" spans="1:21" x14ac:dyDescent="0.25">
      <c r="A48" s="3">
        <f t="shared" si="6"/>
        <v>43</v>
      </c>
      <c r="B48" t="s">
        <v>134</v>
      </c>
      <c r="C48" t="s">
        <v>122</v>
      </c>
      <c r="D48" t="s">
        <v>102</v>
      </c>
      <c r="E48" s="2">
        <v>400</v>
      </c>
      <c r="F48" s="2">
        <v>205</v>
      </c>
      <c r="G48" s="2">
        <v>205</v>
      </c>
      <c r="H48" s="2">
        <v>0</v>
      </c>
      <c r="K48" s="2">
        <v>250</v>
      </c>
      <c r="L48" s="7">
        <f t="shared" si="0"/>
        <v>1060</v>
      </c>
      <c r="M48" s="7">
        <f t="shared" si="1"/>
        <v>11409.84</v>
      </c>
      <c r="N48">
        <v>1992</v>
      </c>
      <c r="O48">
        <v>500</v>
      </c>
      <c r="P48">
        <v>45</v>
      </c>
      <c r="Q48">
        <f t="shared" si="2"/>
        <v>31</v>
      </c>
      <c r="R48" s="9">
        <v>0.95</v>
      </c>
      <c r="S48" s="7">
        <f t="shared" si="3"/>
        <v>5704920</v>
      </c>
      <c r="T48" s="2">
        <f t="shared" si="4"/>
        <v>3733553.1999999997</v>
      </c>
      <c r="U48" s="7">
        <f t="shared" si="5"/>
        <v>1971366.8000000003</v>
      </c>
    </row>
    <row r="49" spans="1:21" x14ac:dyDescent="0.25">
      <c r="A49" s="3">
        <f t="shared" si="6"/>
        <v>44</v>
      </c>
      <c r="B49" t="s">
        <v>135</v>
      </c>
      <c r="C49" t="s">
        <v>122</v>
      </c>
      <c r="D49" t="s">
        <v>102</v>
      </c>
      <c r="E49" s="2">
        <v>160</v>
      </c>
      <c r="F49" s="2">
        <v>0</v>
      </c>
      <c r="G49" s="2">
        <v>0</v>
      </c>
      <c r="H49" s="2">
        <v>0</v>
      </c>
      <c r="K49" s="2">
        <v>25</v>
      </c>
      <c r="L49" s="7">
        <f t="shared" si="0"/>
        <v>185</v>
      </c>
      <c r="M49" s="7">
        <f t="shared" si="1"/>
        <v>1991.34</v>
      </c>
      <c r="N49">
        <v>1992</v>
      </c>
      <c r="O49">
        <v>500</v>
      </c>
      <c r="P49">
        <v>45</v>
      </c>
      <c r="Q49">
        <f t="shared" si="2"/>
        <v>31</v>
      </c>
      <c r="R49" s="9">
        <v>0.95</v>
      </c>
      <c r="S49" s="7">
        <f t="shared" si="3"/>
        <v>995670</v>
      </c>
      <c r="T49" s="2">
        <f t="shared" si="4"/>
        <v>651610.70000000007</v>
      </c>
      <c r="U49" s="7">
        <f t="shared" si="5"/>
        <v>344059.29999999993</v>
      </c>
    </row>
    <row r="50" spans="1:21" x14ac:dyDescent="0.25">
      <c r="A50" s="3">
        <f t="shared" si="6"/>
        <v>45</v>
      </c>
      <c r="B50" t="s">
        <v>136</v>
      </c>
      <c r="C50" t="s">
        <v>122</v>
      </c>
      <c r="D50" t="s">
        <v>102</v>
      </c>
      <c r="E50" s="2">
        <v>215</v>
      </c>
      <c r="F50" s="2">
        <v>165</v>
      </c>
      <c r="G50" s="2">
        <v>145</v>
      </c>
      <c r="H50" s="2">
        <v>0</v>
      </c>
      <c r="K50" s="2">
        <v>50</v>
      </c>
      <c r="L50" s="7">
        <f t="shared" si="0"/>
        <v>575</v>
      </c>
      <c r="M50" s="7">
        <f t="shared" si="1"/>
        <v>6189.2999999999993</v>
      </c>
      <c r="N50">
        <v>1992</v>
      </c>
      <c r="O50">
        <v>500</v>
      </c>
      <c r="P50">
        <v>45</v>
      </c>
      <c r="Q50">
        <f t="shared" si="2"/>
        <v>31</v>
      </c>
      <c r="R50" s="9">
        <v>0.95</v>
      </c>
      <c r="S50" s="7">
        <f t="shared" si="3"/>
        <v>3094649.9999999995</v>
      </c>
      <c r="T50" s="2">
        <f t="shared" si="4"/>
        <v>2025276.4999999998</v>
      </c>
      <c r="U50" s="7">
        <f t="shared" si="5"/>
        <v>1069373.4999999998</v>
      </c>
    </row>
    <row r="51" spans="1:21" x14ac:dyDescent="0.25">
      <c r="A51" s="3">
        <f t="shared" si="6"/>
        <v>46</v>
      </c>
      <c r="B51" t="s">
        <v>138</v>
      </c>
      <c r="C51" t="s">
        <v>122</v>
      </c>
      <c r="D51" t="s">
        <v>104</v>
      </c>
      <c r="E51" s="2">
        <v>300</v>
      </c>
      <c r="F51" s="2">
        <v>195</v>
      </c>
      <c r="G51" s="2">
        <v>170</v>
      </c>
      <c r="H51" s="2">
        <v>170</v>
      </c>
      <c r="K51" s="2">
        <v>200</v>
      </c>
      <c r="L51" s="7">
        <f t="shared" si="0"/>
        <v>1035</v>
      </c>
      <c r="M51" s="7">
        <f t="shared" si="1"/>
        <v>11140.74</v>
      </c>
      <c r="N51">
        <v>1992</v>
      </c>
      <c r="O51">
        <v>800</v>
      </c>
      <c r="P51">
        <v>45</v>
      </c>
      <c r="Q51">
        <f t="shared" si="2"/>
        <v>31</v>
      </c>
      <c r="R51" s="9">
        <v>0.95</v>
      </c>
      <c r="S51" s="7">
        <f t="shared" si="3"/>
        <v>8912592</v>
      </c>
      <c r="T51" s="2">
        <f t="shared" si="4"/>
        <v>5832796.3200000003</v>
      </c>
      <c r="U51" s="7">
        <f t="shared" si="5"/>
        <v>3079795.6799999997</v>
      </c>
    </row>
    <row r="52" spans="1:21" x14ac:dyDescent="0.25">
      <c r="A52" s="3">
        <f t="shared" si="6"/>
        <v>47</v>
      </c>
      <c r="B52" t="s">
        <v>137</v>
      </c>
      <c r="C52" t="s">
        <v>122</v>
      </c>
      <c r="D52" t="s">
        <v>102</v>
      </c>
      <c r="E52" s="2">
        <v>300</v>
      </c>
      <c r="F52" s="2">
        <v>190</v>
      </c>
      <c r="G52" s="2">
        <v>75</v>
      </c>
      <c r="H52" s="2">
        <v>0</v>
      </c>
      <c r="K52" s="2">
        <v>155</v>
      </c>
      <c r="L52" s="7">
        <f t="shared" si="0"/>
        <v>720</v>
      </c>
      <c r="M52" s="7">
        <f t="shared" si="1"/>
        <v>7750.08</v>
      </c>
      <c r="N52">
        <v>1992</v>
      </c>
      <c r="O52">
        <v>600</v>
      </c>
      <c r="P52">
        <v>45</v>
      </c>
      <c r="Q52">
        <f t="shared" si="2"/>
        <v>31</v>
      </c>
      <c r="R52" s="9">
        <v>0.95</v>
      </c>
      <c r="S52" s="7">
        <f t="shared" si="3"/>
        <v>4650048</v>
      </c>
      <c r="T52" s="2">
        <f t="shared" si="4"/>
        <v>3043198.08</v>
      </c>
      <c r="U52" s="7">
        <f t="shared" si="5"/>
        <v>1606849.92</v>
      </c>
    </row>
    <row r="53" spans="1:21" x14ac:dyDescent="0.25">
      <c r="A53" s="3">
        <f t="shared" si="6"/>
        <v>48</v>
      </c>
      <c r="B53" t="s">
        <v>139</v>
      </c>
      <c r="C53" t="s">
        <v>122</v>
      </c>
      <c r="D53" t="s">
        <v>103</v>
      </c>
      <c r="E53" s="2">
        <v>400</v>
      </c>
      <c r="F53" s="2">
        <v>400</v>
      </c>
      <c r="G53" s="2">
        <v>360</v>
      </c>
      <c r="H53" s="2">
        <v>310</v>
      </c>
      <c r="I53" s="2">
        <v>165</v>
      </c>
      <c r="K53" s="2">
        <v>100</v>
      </c>
      <c r="L53" s="7">
        <f t="shared" si="0"/>
        <v>1735</v>
      </c>
      <c r="M53" s="7">
        <f t="shared" si="1"/>
        <v>18675.539999999997</v>
      </c>
      <c r="N53">
        <v>1992</v>
      </c>
      <c r="O53">
        <v>1000</v>
      </c>
      <c r="P53">
        <v>60</v>
      </c>
      <c r="Q53">
        <f t="shared" si="2"/>
        <v>31</v>
      </c>
      <c r="R53" s="9">
        <v>0.95</v>
      </c>
      <c r="S53" s="7">
        <f t="shared" si="3"/>
        <v>18675539.999999996</v>
      </c>
      <c r="T53" s="2">
        <f t="shared" si="4"/>
        <v>9166577.549999997</v>
      </c>
      <c r="U53" s="7">
        <f t="shared" si="5"/>
        <v>9508962.4499999993</v>
      </c>
    </row>
    <row r="54" spans="1:21" x14ac:dyDescent="0.25">
      <c r="A54" s="3">
        <f t="shared" si="6"/>
        <v>49</v>
      </c>
      <c r="B54" t="s">
        <v>140</v>
      </c>
      <c r="C54" t="s">
        <v>122</v>
      </c>
      <c r="D54" t="s">
        <v>104</v>
      </c>
      <c r="E54" s="2">
        <v>365</v>
      </c>
      <c r="F54" s="2">
        <v>350</v>
      </c>
      <c r="G54" s="2">
        <v>290</v>
      </c>
      <c r="H54" s="2">
        <v>0</v>
      </c>
      <c r="K54" s="2">
        <v>150</v>
      </c>
      <c r="L54" s="7">
        <f t="shared" si="0"/>
        <v>1155</v>
      </c>
      <c r="M54" s="7">
        <f t="shared" si="1"/>
        <v>12432.42</v>
      </c>
      <c r="N54">
        <v>1992</v>
      </c>
      <c r="O54">
        <v>700</v>
      </c>
      <c r="P54">
        <v>45</v>
      </c>
      <c r="Q54">
        <f t="shared" si="2"/>
        <v>31</v>
      </c>
      <c r="R54" s="9">
        <v>0.95</v>
      </c>
      <c r="S54" s="7">
        <f t="shared" si="3"/>
        <v>8702694</v>
      </c>
      <c r="T54" s="2">
        <f t="shared" si="4"/>
        <v>5695429.7400000002</v>
      </c>
      <c r="U54" s="7">
        <f t="shared" si="5"/>
        <v>3007264.26</v>
      </c>
    </row>
    <row r="55" spans="1:21" x14ac:dyDescent="0.25">
      <c r="A55" s="3">
        <f t="shared" si="6"/>
        <v>50</v>
      </c>
      <c r="B55" t="s">
        <v>141</v>
      </c>
      <c r="C55" t="s">
        <v>122</v>
      </c>
      <c r="D55" t="s">
        <v>102</v>
      </c>
      <c r="E55" s="2">
        <v>100</v>
      </c>
      <c r="F55" s="2">
        <v>80</v>
      </c>
      <c r="G55" s="2">
        <v>80</v>
      </c>
      <c r="H55" s="2">
        <v>80</v>
      </c>
      <c r="K55" s="2">
        <v>75</v>
      </c>
      <c r="L55" s="7">
        <f t="shared" si="0"/>
        <v>415</v>
      </c>
      <c r="M55" s="7">
        <f t="shared" si="1"/>
        <v>4467.0599999999995</v>
      </c>
      <c r="N55">
        <v>1992</v>
      </c>
      <c r="O55">
        <v>600</v>
      </c>
      <c r="P55">
        <v>45</v>
      </c>
      <c r="Q55">
        <f t="shared" si="2"/>
        <v>31</v>
      </c>
      <c r="R55" s="9">
        <v>0.95</v>
      </c>
      <c r="S55" s="7">
        <f t="shared" si="3"/>
        <v>2680235.9999999995</v>
      </c>
      <c r="T55" s="2">
        <f t="shared" si="4"/>
        <v>1754065.5599999998</v>
      </c>
      <c r="U55" s="7">
        <f t="shared" si="5"/>
        <v>926170.43999999971</v>
      </c>
    </row>
    <row r="56" spans="1:21" x14ac:dyDescent="0.25">
      <c r="A56" s="3">
        <f t="shared" si="6"/>
        <v>51</v>
      </c>
      <c r="B56" t="s">
        <v>142</v>
      </c>
      <c r="C56" t="s">
        <v>122</v>
      </c>
      <c r="D56" t="s">
        <v>102</v>
      </c>
      <c r="E56" s="2">
        <v>240</v>
      </c>
      <c r="F56" s="2">
        <v>240</v>
      </c>
      <c r="G56" s="2">
        <v>240</v>
      </c>
      <c r="H56" s="2">
        <v>0</v>
      </c>
      <c r="K56" s="2">
        <v>160</v>
      </c>
      <c r="L56" s="7">
        <f t="shared" si="0"/>
        <v>880</v>
      </c>
      <c r="M56" s="7">
        <f t="shared" si="1"/>
        <v>9472.32</v>
      </c>
      <c r="N56">
        <v>1992</v>
      </c>
      <c r="O56">
        <v>600</v>
      </c>
      <c r="P56">
        <v>45</v>
      </c>
      <c r="Q56">
        <f t="shared" si="2"/>
        <v>31</v>
      </c>
      <c r="R56" s="9">
        <v>0.95</v>
      </c>
      <c r="S56" s="7">
        <f t="shared" si="3"/>
        <v>5683392</v>
      </c>
      <c r="T56" s="2">
        <f t="shared" si="4"/>
        <v>3719464.32</v>
      </c>
      <c r="U56" s="7">
        <f t="shared" si="5"/>
        <v>1963927.6800000002</v>
      </c>
    </row>
    <row r="57" spans="1:21" x14ac:dyDescent="0.25">
      <c r="E57" s="2">
        <f>SUM(E6:E56)</f>
        <v>28731</v>
      </c>
      <c r="F57" s="2">
        <f t="shared" ref="F57:K57" si="7">SUM(F6:F56)</f>
        <v>5410</v>
      </c>
      <c r="G57" s="2">
        <f t="shared" si="7"/>
        <v>5075</v>
      </c>
      <c r="H57" s="2">
        <f t="shared" si="7"/>
        <v>1715</v>
      </c>
      <c r="I57" s="2">
        <f t="shared" si="7"/>
        <v>285</v>
      </c>
      <c r="J57" s="2">
        <f t="shared" si="7"/>
        <v>70</v>
      </c>
      <c r="K57" s="2">
        <f t="shared" si="7"/>
        <v>3910</v>
      </c>
    </row>
  </sheetData>
  <autoFilter ref="A5:U57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Y30"/>
  <sheetViews>
    <sheetView topLeftCell="G1" workbookViewId="0">
      <selection activeCell="P6" sqref="P6"/>
    </sheetView>
  </sheetViews>
  <sheetFormatPr defaultRowHeight="15" x14ac:dyDescent="0.25"/>
  <cols>
    <col min="5" max="5" width="10" bestFit="1" customWidth="1"/>
    <col min="6" max="6" width="9.140625" style="1"/>
    <col min="7" max="7" width="15.28515625" style="1" bestFit="1" customWidth="1"/>
    <col min="8" max="8" width="15.28515625" bestFit="1" customWidth="1"/>
    <col min="9" max="9" width="14.28515625" bestFit="1" customWidth="1"/>
    <col min="10" max="10" width="13.28515625" bestFit="1" customWidth="1"/>
    <col min="11" max="11" width="15.28515625" style="2" bestFit="1" customWidth="1"/>
    <col min="12" max="12" width="12.5703125" bestFit="1" customWidth="1"/>
    <col min="13" max="13" width="11.5703125" bestFit="1" customWidth="1"/>
    <col min="15" max="15" width="11.5703125" style="2" bestFit="1" customWidth="1"/>
    <col min="16" max="16" width="12.5703125" bestFit="1" customWidth="1"/>
    <col min="17" max="17" width="10.42578125" bestFit="1" customWidth="1"/>
    <col min="18" max="18" width="12.5703125" bestFit="1" customWidth="1"/>
    <col min="19" max="19" width="11.5703125" style="2" bestFit="1" customWidth="1"/>
    <col min="20" max="20" width="14.28515625" bestFit="1" customWidth="1"/>
    <col min="21" max="21" width="12.5703125" bestFit="1" customWidth="1"/>
    <col min="22" max="22" width="14.28515625" style="2" bestFit="1" customWidth="1"/>
    <col min="23" max="23" width="12.5703125" style="2" bestFit="1" customWidth="1"/>
  </cols>
  <sheetData>
    <row r="3" spans="4:25" x14ac:dyDescent="0.25">
      <c r="E3" t="s">
        <v>175</v>
      </c>
      <c r="F3" s="4" t="s">
        <v>169</v>
      </c>
      <c r="G3" s="4" t="s">
        <v>171</v>
      </c>
      <c r="O3" s="51" t="s">
        <v>186</v>
      </c>
      <c r="P3" s="51" t="s">
        <v>191</v>
      </c>
      <c r="Q3" s="46" t="s">
        <v>154</v>
      </c>
      <c r="R3" s="47"/>
      <c r="S3" s="48">
        <v>0.05</v>
      </c>
      <c r="T3" s="49" t="s">
        <v>187</v>
      </c>
      <c r="U3" s="49" t="s">
        <v>190</v>
      </c>
    </row>
    <row r="4" spans="4:25" x14ac:dyDescent="0.25">
      <c r="D4" t="s">
        <v>168</v>
      </c>
      <c r="E4" s="12">
        <f>G4*4046.84</f>
        <v>71489.599527318001</v>
      </c>
      <c r="F4" s="1">
        <v>7.149</v>
      </c>
      <c r="G4" s="1">
        <f>F4*H4</f>
        <v>17.665536450000001</v>
      </c>
      <c r="H4">
        <v>2.47105</v>
      </c>
      <c r="I4" s="2">
        <f>I5*0.8</f>
        <v>12000000</v>
      </c>
      <c r="J4" s="13"/>
      <c r="K4" s="2">
        <f>I4*G4</f>
        <v>211986437.40000001</v>
      </c>
      <c r="L4" s="7">
        <f>K4*1.05</f>
        <v>222585759.27000001</v>
      </c>
      <c r="M4" s="12">
        <f>G4*5</f>
        <v>88.327682250000009</v>
      </c>
      <c r="N4" s="2">
        <f>G4*4046.84</f>
        <v>71489.599527318001</v>
      </c>
      <c r="O4">
        <v>5200</v>
      </c>
      <c r="P4" s="2">
        <f>O4*E4</f>
        <v>371745917.54205358</v>
      </c>
      <c r="Q4" s="2">
        <v>2000000</v>
      </c>
      <c r="R4" s="2">
        <f>Q4*M4</f>
        <v>176655364.50000003</v>
      </c>
      <c r="S4" s="7">
        <f>R4*S3</f>
        <v>8832768.2250000015</v>
      </c>
      <c r="T4" s="2">
        <f>Y4*G4</f>
        <v>44163841.125</v>
      </c>
      <c r="U4" s="2">
        <f>T4+S4+R4</f>
        <v>229651973.85000002</v>
      </c>
      <c r="X4" s="12"/>
      <c r="Y4" s="2">
        <v>2500000</v>
      </c>
    </row>
    <row r="5" spans="4:25" x14ac:dyDescent="0.25">
      <c r="D5" t="s">
        <v>170</v>
      </c>
      <c r="E5" s="12">
        <f>G5*4046.84</f>
        <v>24034.865360737003</v>
      </c>
      <c r="F5" s="1">
        <v>2.4035000000000002</v>
      </c>
      <c r="G5" s="1">
        <f>F5*H5</f>
        <v>5.9391686750000003</v>
      </c>
      <c r="H5">
        <v>2.47105</v>
      </c>
      <c r="I5" s="7">
        <f>G17</f>
        <v>15000000</v>
      </c>
      <c r="J5" s="13">
        <f>I5</f>
        <v>15000000</v>
      </c>
      <c r="K5" s="2">
        <f>J5*G5</f>
        <v>89087530.125</v>
      </c>
      <c r="L5" s="7">
        <f>K5*1.05</f>
        <v>93541906.631250009</v>
      </c>
      <c r="M5" s="12">
        <f>G5*5</f>
        <v>29.695843375000003</v>
      </c>
      <c r="N5" s="2">
        <f>G5*4046.84</f>
        <v>24034.865360737003</v>
      </c>
      <c r="O5">
        <v>8500</v>
      </c>
      <c r="P5" s="2">
        <f>O5*E5</f>
        <v>204296355.56626454</v>
      </c>
      <c r="Q5" s="2">
        <v>2500000</v>
      </c>
      <c r="R5" s="2">
        <f>Q5*M5</f>
        <v>74239608.4375</v>
      </c>
      <c r="S5" s="7">
        <f>R5*S3</f>
        <v>3711980.421875</v>
      </c>
      <c r="T5" s="2">
        <f>Y5*G5</f>
        <v>14847921.6875</v>
      </c>
      <c r="U5" s="2">
        <f>T5+S5+R5</f>
        <v>92799510.546875</v>
      </c>
      <c r="X5" s="12"/>
      <c r="Y5" s="2">
        <v>2500000</v>
      </c>
    </row>
    <row r="6" spans="4:25" x14ac:dyDescent="0.25">
      <c r="F6" s="1">
        <f>SUM(F4:F5)</f>
        <v>9.5525000000000002</v>
      </c>
      <c r="G6" s="1">
        <f>SUM(G4:G5)</f>
        <v>23.604705125000002</v>
      </c>
      <c r="K6" s="7">
        <f>SUM(K4:K5)</f>
        <v>301073967.52499998</v>
      </c>
      <c r="L6" s="7">
        <f>SUM(L4:L5)</f>
        <v>316127665.90125</v>
      </c>
      <c r="M6" s="12">
        <f>SUM(M4:M5)</f>
        <v>118.02352562500002</v>
      </c>
      <c r="N6" s="2">
        <f>SUM(N4:N5)</f>
        <v>95524.464888055008</v>
      </c>
      <c r="O6"/>
      <c r="P6" s="50">
        <f>SUM(P4:P5)</f>
        <v>576042273.10831809</v>
      </c>
      <c r="Q6" s="2"/>
      <c r="R6" s="50">
        <f>SUM(R4:R5)</f>
        <v>250894972.93750003</v>
      </c>
      <c r="S6" s="51"/>
      <c r="T6" s="52"/>
      <c r="U6" s="52">
        <f>SUM(U4:U5)</f>
        <v>322451484.39687502</v>
      </c>
    </row>
    <row r="7" spans="4:25" x14ac:dyDescent="0.25">
      <c r="K7" s="14">
        <f>L6/K6</f>
        <v>1.05</v>
      </c>
    </row>
    <row r="9" spans="4:25" x14ac:dyDescent="0.25">
      <c r="G9" s="1">
        <f>G5*5</f>
        <v>29.695843375000003</v>
      </c>
      <c r="I9" s="2">
        <v>2500000</v>
      </c>
    </row>
    <row r="14" spans="4:25" x14ac:dyDescent="0.25">
      <c r="G14" s="2">
        <v>30</v>
      </c>
      <c r="H14" s="2">
        <v>40</v>
      </c>
    </row>
    <row r="15" spans="4:25" x14ac:dyDescent="0.25">
      <c r="G15" s="2">
        <f>G14*10^5</f>
        <v>3000000</v>
      </c>
      <c r="H15" s="2">
        <f>H14*10^5</f>
        <v>4000000</v>
      </c>
      <c r="I15" t="s">
        <v>173</v>
      </c>
    </row>
    <row r="16" spans="4:25" x14ac:dyDescent="0.25">
      <c r="G16" s="2">
        <v>5</v>
      </c>
      <c r="H16" s="2">
        <v>5</v>
      </c>
    </row>
    <row r="17" spans="7:15" x14ac:dyDescent="0.25">
      <c r="G17" s="2">
        <f>G15*G16</f>
        <v>15000000</v>
      </c>
      <c r="H17" s="2">
        <f>H15*H16</f>
        <v>20000000</v>
      </c>
      <c r="I17" t="s">
        <v>172</v>
      </c>
    </row>
    <row r="18" spans="7:15" x14ac:dyDescent="0.25">
      <c r="G18" s="2">
        <f>G17*0.75</f>
        <v>11250000</v>
      </c>
    </row>
    <row r="20" spans="7:15" x14ac:dyDescent="0.25">
      <c r="G20" s="2">
        <f>G18*G6</f>
        <v>265552932.65625003</v>
      </c>
    </row>
    <row r="21" spans="7:15" x14ac:dyDescent="0.25">
      <c r="G21" s="2">
        <f>G20*1.05</f>
        <v>278830579.28906256</v>
      </c>
      <c r="K21" s="2">
        <v>2550</v>
      </c>
      <c r="L21" t="s">
        <v>174</v>
      </c>
      <c r="M21" s="2">
        <v>17000</v>
      </c>
      <c r="N21" t="s">
        <v>176</v>
      </c>
      <c r="O21" s="2">
        <f>M21*K21</f>
        <v>43350000</v>
      </c>
    </row>
    <row r="22" spans="7:15" x14ac:dyDescent="0.25">
      <c r="H22">
        <v>32.04</v>
      </c>
      <c r="K22" s="2">
        <v>2132.125</v>
      </c>
      <c r="L22" t="s">
        <v>175</v>
      </c>
      <c r="M22" s="2">
        <f>O22/K22</f>
        <v>20331.828574778683</v>
      </c>
      <c r="N22" t="s">
        <v>177</v>
      </c>
      <c r="O22" s="2">
        <v>43350000</v>
      </c>
    </row>
    <row r="23" spans="7:15" x14ac:dyDescent="0.25">
      <c r="H23" s="2">
        <v>340412800</v>
      </c>
      <c r="K23" s="1">
        <f>K22/4046.84</f>
        <v>0.52686169949886819</v>
      </c>
      <c r="L23" t="s">
        <v>178</v>
      </c>
      <c r="M23" s="2">
        <f>O23/K23</f>
        <v>82279657.149557382</v>
      </c>
      <c r="O23" s="2">
        <v>43350000</v>
      </c>
    </row>
    <row r="24" spans="7:15" x14ac:dyDescent="0.25">
      <c r="H24" s="12">
        <f>H23/H22</f>
        <v>10624619.225967541</v>
      </c>
      <c r="M24" s="2"/>
    </row>
    <row r="28" spans="7:15" x14ac:dyDescent="0.25">
      <c r="H28" t="s">
        <v>184</v>
      </c>
      <c r="I28" s="2">
        <f>75*10^5</f>
        <v>7500000</v>
      </c>
      <c r="J28" t="s">
        <v>185</v>
      </c>
    </row>
    <row r="29" spans="7:15" x14ac:dyDescent="0.25">
      <c r="I29" s="2">
        <v>3</v>
      </c>
      <c r="J29" t="s">
        <v>178</v>
      </c>
    </row>
    <row r="30" spans="7:15" x14ac:dyDescent="0.25">
      <c r="I30" s="2">
        <f>I29*I28</f>
        <v>22500000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8:O25"/>
  <sheetViews>
    <sheetView workbookViewId="0">
      <selection activeCell="O26" sqref="O26"/>
    </sheetView>
  </sheetViews>
  <sheetFormatPr defaultRowHeight="15" x14ac:dyDescent="0.25"/>
  <sheetData>
    <row r="18" spans="4:15" x14ac:dyDescent="0.25">
      <c r="D18" t="s">
        <v>170</v>
      </c>
    </row>
    <row r="25" spans="4:15" x14ac:dyDescent="0.25">
      <c r="O25" t="s">
        <v>168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H17"/>
  <sheetViews>
    <sheetView tabSelected="1" workbookViewId="0">
      <selection activeCell="G17" sqref="G17"/>
    </sheetView>
  </sheetViews>
  <sheetFormatPr defaultRowHeight="15" x14ac:dyDescent="0.25"/>
  <cols>
    <col min="5" max="5" width="9.140625" style="2"/>
    <col min="6" max="7" width="15.28515625" style="2" bestFit="1" customWidth="1"/>
    <col min="8" max="8" width="12.5703125" bestFit="1" customWidth="1"/>
  </cols>
  <sheetData>
    <row r="4" spans="5:8" x14ac:dyDescent="0.25">
      <c r="F4" s="2" t="s">
        <v>188</v>
      </c>
      <c r="G4" s="2" t="s">
        <v>189</v>
      </c>
    </row>
    <row r="5" spans="5:8" x14ac:dyDescent="0.25">
      <c r="E5" s="2" t="s">
        <v>168</v>
      </c>
      <c r="F5" s="2">
        <f>Land!U4</f>
        <v>229651973.85000002</v>
      </c>
      <c r="G5" s="2">
        <f>Organic!U4</f>
        <v>143842371.933</v>
      </c>
      <c r="H5" s="50">
        <f>SUM(F5:G5)</f>
        <v>373494345.78299999</v>
      </c>
    </row>
    <row r="6" spans="5:8" x14ac:dyDescent="0.25">
      <c r="E6" s="2" t="s">
        <v>170</v>
      </c>
      <c r="F6" s="2">
        <f>Land!U5</f>
        <v>92799510.546875</v>
      </c>
      <c r="G6" s="2">
        <f>Chemical!T3</f>
        <v>50260120.860300004</v>
      </c>
      <c r="H6" s="50">
        <f>SUM(F6:G6)</f>
        <v>143059631.407175</v>
      </c>
    </row>
    <row r="7" spans="5:8" x14ac:dyDescent="0.25">
      <c r="F7" s="52">
        <f>SUM(F5:F6)</f>
        <v>322451484.39687502</v>
      </c>
      <c r="G7" s="52">
        <f>SUM(G5:G6)</f>
        <v>194102492.7933</v>
      </c>
      <c r="H7" s="50">
        <f>SUM(H5:H6)</f>
        <v>516553977.190175</v>
      </c>
    </row>
    <row r="8" spans="5:8" x14ac:dyDescent="0.25">
      <c r="H8" s="2">
        <v>516500000</v>
      </c>
    </row>
    <row r="9" spans="5:8" x14ac:dyDescent="0.25">
      <c r="H9" s="7">
        <f>H8*0.85</f>
        <v>439025000</v>
      </c>
    </row>
    <row r="10" spans="5:8" x14ac:dyDescent="0.25">
      <c r="H10" s="7">
        <f>H8*0.75</f>
        <v>387375000</v>
      </c>
    </row>
    <row r="15" spans="5:8" x14ac:dyDescent="0.25">
      <c r="G15" s="2">
        <f>Chemical!R3</f>
        <v>102883926.59999998</v>
      </c>
    </row>
    <row r="16" spans="5:8" x14ac:dyDescent="0.25">
      <c r="G16" s="2">
        <f>Organic!S4</f>
        <v>350948379.60000002</v>
      </c>
    </row>
    <row r="17" spans="7:7" x14ac:dyDescent="0.25">
      <c r="G17" s="2">
        <f>SUM(G15:G16)</f>
        <v>453832306.19999999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Chemical</vt:lpstr>
      <vt:lpstr>Sheet2</vt:lpstr>
      <vt:lpstr>Organic</vt:lpstr>
      <vt:lpstr>Land</vt:lpstr>
      <vt:lpstr>Sheet1</vt:lpstr>
      <vt:lpstr>Summary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SUMIT KUMAR</dc:creator>
  <cp:lastModifiedBy>Abhinav Chaturvedi</cp:lastModifiedBy>
  <dcterms:created xsi:type="dcterms:W3CDTF">2023-06-12T08:20:08Z</dcterms:created>
  <dcterms:modified xsi:type="dcterms:W3CDTF">2023-07-04T10:03:08Z</dcterms:modified>
</cp:coreProperties>
</file>