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J25" i="3" l="1"/>
  <c r="J27" i="3" s="1"/>
  <c r="J29" i="3" s="1"/>
  <c r="J30" i="3" s="1"/>
  <c r="G26" i="3"/>
  <c r="C31" i="1"/>
  <c r="P30" i="1"/>
  <c r="P29" i="1"/>
  <c r="L32" i="1"/>
  <c r="L34" i="1" s="1"/>
  <c r="L36" i="1" s="1"/>
  <c r="L33" i="1"/>
  <c r="K33" i="1"/>
  <c r="K32" i="1"/>
  <c r="J34" i="1"/>
  <c r="S16" i="1"/>
  <c r="N24" i="1"/>
  <c r="O24" i="1" s="1"/>
  <c r="P24" i="1" s="1"/>
  <c r="N158" i="2"/>
  <c r="N159" i="2" s="1"/>
  <c r="N160" i="2" s="1"/>
  <c r="L158" i="2"/>
  <c r="N161" i="2" s="1"/>
  <c r="N162" i="2" s="1"/>
  <c r="K151" i="2"/>
  <c r="L151" i="2" s="1"/>
  <c r="L152" i="2" s="1"/>
  <c r="L136" i="2"/>
  <c r="K135" i="2"/>
  <c r="L137" i="2" s="1"/>
  <c r="L138" i="2" s="1"/>
  <c r="L126" i="2"/>
  <c r="K125" i="2"/>
  <c r="L127" i="2" s="1"/>
  <c r="L128" i="2" s="1"/>
  <c r="L129" i="2" s="1"/>
  <c r="T6" i="2"/>
  <c r="R6" i="2"/>
  <c r="T5" i="2"/>
  <c r="R5" i="2"/>
  <c r="E16" i="1"/>
  <c r="M7" i="1" s="1"/>
  <c r="M8" i="1" s="1"/>
  <c r="M9" i="1" s="1"/>
  <c r="H14" i="1"/>
  <c r="J14" i="1" s="1"/>
  <c r="J15" i="1" s="1"/>
  <c r="J16" i="1" s="1"/>
  <c r="G14" i="1"/>
  <c r="G15" i="1" s="1"/>
  <c r="D24" i="1"/>
  <c r="D27" i="1" s="1"/>
  <c r="D26" i="1"/>
  <c r="D17" i="1"/>
  <c r="G8" i="1"/>
  <c r="C8" i="1"/>
  <c r="E5" i="1"/>
  <c r="D5" i="1"/>
  <c r="L21" i="1" s="1"/>
  <c r="M21" i="1" s="1"/>
  <c r="P27" i="1" l="1"/>
  <c r="E9" i="1"/>
  <c r="Q28" i="1" s="1"/>
  <c r="R28" i="1" s="1"/>
  <c r="S28" i="1" s="1"/>
  <c r="H15" i="1"/>
  <c r="G11" i="1"/>
  <c r="G9" i="1"/>
  <c r="U5" i="2"/>
  <c r="W5" i="2" s="1"/>
  <c r="U6" i="2"/>
  <c r="W6" i="2" s="1"/>
</calcChain>
</file>

<file path=xl/sharedStrings.xml><?xml version="1.0" encoding="utf-8"?>
<sst xmlns="http://schemas.openxmlformats.org/spreadsheetml/2006/main" count="24" uniqueCount="22">
  <si>
    <t>Land Area</t>
  </si>
  <si>
    <t>Sqm</t>
  </si>
  <si>
    <t>Sqyd</t>
  </si>
  <si>
    <t>sqft</t>
  </si>
  <si>
    <t>Constructed Area</t>
  </si>
  <si>
    <t>Circle Value</t>
  </si>
  <si>
    <t>Rate</t>
  </si>
  <si>
    <t>Rate/sqm</t>
  </si>
  <si>
    <t>CoC</t>
  </si>
  <si>
    <t>Land Value</t>
  </si>
  <si>
    <t>Rate/sqft</t>
  </si>
  <si>
    <t>https://www.99acres.com/5-bhk-bedroom-independent-house-villa-for-sale-in-sidcul-haridwar-6400-sq-ft-spid-K68122212</t>
  </si>
  <si>
    <t>https://www.99acres.com/antriksh-nri-city-sidcul-nh-73-haridwar-npxid-r6158?src=SRP&amp;propertyTypes=2&amp;preferences=RESALE</t>
  </si>
  <si>
    <t>https://www.99acres.com/6-bhk-bedroom-independent-house-villa-for-sale-in-jwalapur-haridwar-2400-sq-ft-r7-spid-E42834313</t>
  </si>
  <si>
    <t>https://www.99acres.com/independent-house-in-haridwar-ffid?nn_account=Google_99acres-generic-new&amp;nn_campaign=16470576909&amp;nn_medium=16470576909&amp;nn_adtype=x_&amp;nn_keyword=&amp;nn_placement=&amp;gclid=EAIaIQobChMI28X7z9f-_gIVSZlmAh1u1ww6EAAYASAAEgJeB_D_BwE</t>
  </si>
  <si>
    <t>https://housing.com/in/buy/searches/M2P2ziq0frsl2yks0rwS1Y1</t>
  </si>
  <si>
    <t>Area</t>
  </si>
  <si>
    <t>FV</t>
  </si>
  <si>
    <t>GCRC</t>
  </si>
  <si>
    <t>Dep.</t>
  </si>
  <si>
    <t>DRC</t>
  </si>
  <si>
    <t>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</si>
</sst>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43" fontId="2" fillId="0" borderId="0" xfId="1" applyFont="1"/>
    <xf numFmtId="43" fontId="0" fillId="0" borderId="0" xfId="1" applyFont="1"/>
    <xf numFmtId="164" fontId="2" fillId="0" borderId="0" xfId="1" applyNumberFormat="1" applyFont="1"/>
    <xf numFmtId="164" fontId="0" fillId="0" borderId="0" xfId="1" applyNumberFormat="1" applyFont="1"/>
    <xf numFmtId="165" fontId="0" fillId="0" borderId="0" xfId="1" applyNumberFormat="1" applyFont="1"/>
    <xf numFmtId="43" fontId="0" fillId="0" borderId="0" xfId="0" applyNumberFormat="1"/>
    <xf numFmtId="164" fontId="0" fillId="0" borderId="0" xfId="0" applyNumberFormat="1"/>
    <xf numFmtId="9" fontId="0" fillId="0" borderId="0" xfId="0" applyNumberFormat="1"/>
    <xf numFmtId="10" fontId="0" fillId="0" borderId="0" xfId="2" applyNumberFormat="1" applyFont="1"/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400221</xdr:colOff>
      <xdr:row>17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131" t="40216" r="12952" b="21919"/>
        <a:stretch/>
      </xdr:blipFill>
      <xdr:spPr>
        <a:xfrm>
          <a:off x="0" y="0"/>
          <a:ext cx="8353596" cy="3362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12</xdr:col>
      <xdr:colOff>47625</xdr:colOff>
      <xdr:row>46</xdr:row>
      <xdr:rowOff>34130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19" t="10818" r="17317" b="2869"/>
        <a:stretch/>
      </xdr:blipFill>
      <xdr:spPr>
        <a:xfrm>
          <a:off x="0" y="3429000"/>
          <a:ext cx="8001000" cy="53681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45</xdr:row>
      <xdr:rowOff>161925</xdr:rowOff>
    </xdr:from>
    <xdr:to>
      <xdr:col>11</xdr:col>
      <xdr:colOff>571499</xdr:colOff>
      <xdr:row>73</xdr:row>
      <xdr:rowOff>20837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038" t="11995" r="18112" b="2633"/>
        <a:stretch/>
      </xdr:blipFill>
      <xdr:spPr>
        <a:xfrm>
          <a:off x="9524" y="8734425"/>
          <a:ext cx="7553325" cy="519291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76</xdr:row>
      <xdr:rowOff>38099</xdr:rowOff>
    </xdr:from>
    <xdr:to>
      <xdr:col>11</xdr:col>
      <xdr:colOff>628650</xdr:colOff>
      <xdr:row>91</xdr:row>
      <xdr:rowOff>52849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131" t="23283" r="12555" b="40028"/>
        <a:stretch/>
      </xdr:blipFill>
      <xdr:spPr>
        <a:xfrm>
          <a:off x="200025" y="14516099"/>
          <a:ext cx="7419975" cy="2872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38099</xdr:rowOff>
    </xdr:from>
    <xdr:to>
      <xdr:col>11</xdr:col>
      <xdr:colOff>552450</xdr:colOff>
      <xdr:row>107</xdr:row>
      <xdr:rowOff>36991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602" t="22813" r="11894" b="40498"/>
        <a:stretch/>
      </xdr:blipFill>
      <xdr:spPr>
        <a:xfrm>
          <a:off x="0" y="17564099"/>
          <a:ext cx="7543800" cy="2856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76199</xdr:rowOff>
    </xdr:from>
    <xdr:to>
      <xdr:col>11</xdr:col>
      <xdr:colOff>466725</xdr:colOff>
      <xdr:row>122</xdr:row>
      <xdr:rowOff>31672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3867" t="45861" r="12819" b="18391"/>
        <a:stretch/>
      </xdr:blipFill>
      <xdr:spPr>
        <a:xfrm>
          <a:off x="0" y="20459699"/>
          <a:ext cx="7458075" cy="2812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57149</xdr:rowOff>
    </xdr:from>
    <xdr:to>
      <xdr:col>9</xdr:col>
      <xdr:colOff>49041</xdr:colOff>
      <xdr:row>143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938" t="23518" r="46554" b="17921"/>
        <a:stretch/>
      </xdr:blipFill>
      <xdr:spPr>
        <a:xfrm>
          <a:off x="0" y="23298149"/>
          <a:ext cx="5592591" cy="404812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120</xdr:row>
      <xdr:rowOff>133349</xdr:rowOff>
    </xdr:from>
    <xdr:to>
      <xdr:col>18</xdr:col>
      <xdr:colOff>649966</xdr:colOff>
      <xdr:row>132</xdr:row>
      <xdr:rowOff>85724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066" t="39512" r="40998" b="21918"/>
        <a:stretch/>
      </xdr:blipFill>
      <xdr:spPr>
        <a:xfrm>
          <a:off x="8467724" y="22993349"/>
          <a:ext cx="4326617" cy="2238375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132</xdr:row>
      <xdr:rowOff>161924</xdr:rowOff>
    </xdr:from>
    <xdr:to>
      <xdr:col>17</xdr:col>
      <xdr:colOff>838200</xdr:colOff>
      <xdr:row>142</xdr:row>
      <xdr:rowOff>24205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669" t="40923" r="40072" b="21919"/>
        <a:stretch/>
      </xdr:blipFill>
      <xdr:spPr>
        <a:xfrm>
          <a:off x="8048625" y="25307924"/>
          <a:ext cx="3657600" cy="1767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</xdr:colOff>
      <xdr:row>0</xdr:row>
      <xdr:rowOff>0</xdr:rowOff>
    </xdr:from>
    <xdr:to>
      <xdr:col>22</xdr:col>
      <xdr:colOff>390525</xdr:colOff>
      <xdr:row>26</xdr:row>
      <xdr:rowOff>3986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46" t="10818" r="16392" b="10629"/>
        <a:stretch/>
      </xdr:blipFill>
      <xdr:spPr>
        <a:xfrm>
          <a:off x="6257925" y="0"/>
          <a:ext cx="7658100" cy="4956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10</xdr:col>
      <xdr:colOff>28575</xdr:colOff>
      <xdr:row>22</xdr:row>
      <xdr:rowOff>158611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960" t="20932" r="20229" b="7572"/>
        <a:stretch/>
      </xdr:blipFill>
      <xdr:spPr>
        <a:xfrm>
          <a:off x="0" y="9525"/>
          <a:ext cx="6238875" cy="4340086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27</xdr:row>
      <xdr:rowOff>85724</xdr:rowOff>
    </xdr:from>
    <xdr:to>
      <xdr:col>22</xdr:col>
      <xdr:colOff>465038</xdr:colOff>
      <xdr:row>50</xdr:row>
      <xdr:rowOff>19049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770" t="18815" r="18773" b="13452"/>
        <a:stretch/>
      </xdr:blipFill>
      <xdr:spPr>
        <a:xfrm>
          <a:off x="7143750" y="5229224"/>
          <a:ext cx="6846788" cy="431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S36"/>
  <sheetViews>
    <sheetView tabSelected="1" topLeftCell="A7" workbookViewId="0">
      <selection activeCell="I25" sqref="I25"/>
    </sheetView>
  </sheetViews>
  <sheetFormatPr defaultRowHeight="15" x14ac:dyDescent="0.25"/>
  <cols>
    <col min="3" max="3" width="12.5703125" style="3" bestFit="1" customWidth="1"/>
    <col min="4" max="4" width="9.140625" style="3"/>
    <col min="5" max="5" width="11.5703125" style="3" bestFit="1" customWidth="1"/>
    <col min="7" max="8" width="11.5703125" bestFit="1" customWidth="1"/>
    <col min="10" max="10" width="11.5703125" style="5" bestFit="1" customWidth="1"/>
    <col min="11" max="11" width="10" bestFit="1" customWidth="1"/>
    <col min="12" max="12" width="11.5703125" bestFit="1" customWidth="1"/>
    <col min="13" max="13" width="14.28515625" style="5" bestFit="1" customWidth="1"/>
    <col min="14" max="14" width="10" bestFit="1" customWidth="1"/>
    <col min="15" max="15" width="9" bestFit="1" customWidth="1"/>
    <col min="16" max="16" width="14.28515625" style="5" bestFit="1" customWidth="1"/>
    <col min="17" max="17" width="11.5703125" bestFit="1" customWidth="1"/>
  </cols>
  <sheetData>
    <row r="3" spans="3:19" x14ac:dyDescent="0.25">
      <c r="C3" s="11" t="s">
        <v>0</v>
      </c>
      <c r="D3" s="11"/>
      <c r="E3" s="11"/>
      <c r="G3" s="12" t="s">
        <v>4</v>
      </c>
      <c r="H3" s="12"/>
    </row>
    <row r="4" spans="3:19" x14ac:dyDescent="0.25">
      <c r="C4" s="2" t="s">
        <v>1</v>
      </c>
      <c r="D4" s="2" t="s">
        <v>3</v>
      </c>
      <c r="E4" s="2" t="s">
        <v>2</v>
      </c>
      <c r="G4" s="2" t="s">
        <v>1</v>
      </c>
    </row>
    <row r="5" spans="3:19" x14ac:dyDescent="0.25">
      <c r="C5" s="3">
        <v>206.5</v>
      </c>
      <c r="D5" s="3">
        <f>C5*10.764</f>
        <v>2222.7660000000001</v>
      </c>
      <c r="E5" s="3">
        <f>D5/9</f>
        <v>246.97400000000002</v>
      </c>
      <c r="G5">
        <v>206.5</v>
      </c>
    </row>
    <row r="6" spans="3:19" x14ac:dyDescent="0.25">
      <c r="M6" s="5">
        <v>35000000</v>
      </c>
    </row>
    <row r="7" spans="3:19" x14ac:dyDescent="0.25">
      <c r="C7" s="5">
        <v>39000</v>
      </c>
      <c r="D7" s="5"/>
      <c r="E7" s="5"/>
      <c r="F7" s="5"/>
      <c r="G7" s="5">
        <v>14000</v>
      </c>
      <c r="H7" s="13" t="s">
        <v>5</v>
      </c>
      <c r="I7" t="s">
        <v>7</v>
      </c>
      <c r="M7" s="5">
        <f>E16</f>
        <v>2270340</v>
      </c>
    </row>
    <row r="8" spans="3:19" x14ac:dyDescent="0.25">
      <c r="C8" s="5">
        <f>C7*C5</f>
        <v>8053500</v>
      </c>
      <c r="D8" s="5"/>
      <c r="E8" s="5"/>
      <c r="F8" s="5"/>
      <c r="G8" s="5">
        <f>G7*G5</f>
        <v>2891000</v>
      </c>
      <c r="H8" s="13"/>
      <c r="M8" s="5">
        <f>M6-M7</f>
        <v>32729660</v>
      </c>
    </row>
    <row r="9" spans="3:19" x14ac:dyDescent="0.25">
      <c r="D9" s="2"/>
      <c r="E9" s="4">
        <f>C8+G9</f>
        <v>10233314</v>
      </c>
      <c r="F9" s="1"/>
      <c r="G9" s="4">
        <f>G8*0.754</f>
        <v>2179814</v>
      </c>
      <c r="H9" s="13"/>
      <c r="M9" s="5">
        <f>M8/D5</f>
        <v>14724.743855178638</v>
      </c>
    </row>
    <row r="11" spans="3:19" x14ac:dyDescent="0.25">
      <c r="C11" s="5"/>
      <c r="D11" s="5"/>
      <c r="E11" s="5"/>
      <c r="F11" s="5"/>
      <c r="G11" s="5">
        <f>G8*1.15</f>
        <v>3324649.9999999995</v>
      </c>
    </row>
    <row r="13" spans="3:19" x14ac:dyDescent="0.25">
      <c r="G13" s="5">
        <v>18000</v>
      </c>
      <c r="H13" s="5">
        <v>22000</v>
      </c>
      <c r="J13" s="5">
        <v>19000</v>
      </c>
    </row>
    <row r="14" spans="3:19" x14ac:dyDescent="0.25">
      <c r="G14" s="5">
        <f>D5</f>
        <v>2222.7660000000001</v>
      </c>
      <c r="H14" s="5">
        <f>D5</f>
        <v>2222.7660000000001</v>
      </c>
      <c r="J14" s="5">
        <f>H14</f>
        <v>2222.7660000000001</v>
      </c>
    </row>
    <row r="15" spans="3:19" x14ac:dyDescent="0.25">
      <c r="G15" s="5">
        <f>G14*G13</f>
        <v>40009788</v>
      </c>
      <c r="H15" s="5">
        <f>H14*H13</f>
        <v>48900852</v>
      </c>
      <c r="J15" s="5">
        <f>J14*J13</f>
        <v>42232554</v>
      </c>
      <c r="R15">
        <v>70</v>
      </c>
      <c r="S15" s="9">
        <v>0.95</v>
      </c>
    </row>
    <row r="16" spans="3:19" x14ac:dyDescent="0.25">
      <c r="D16" s="3">
        <v>1261.3</v>
      </c>
      <c r="E16" s="5">
        <f>D16*1800</f>
        <v>2270340</v>
      </c>
      <c r="G16" s="5"/>
      <c r="H16" s="5"/>
      <c r="J16" s="5">
        <f>J15/E5</f>
        <v>171000</v>
      </c>
      <c r="S16" s="10">
        <f>S15/R15</f>
        <v>1.3571428571428571E-2</v>
      </c>
    </row>
    <row r="17" spans="3:19" x14ac:dyDescent="0.25">
      <c r="D17" s="3">
        <f>D16/10.764</f>
        <v>117.17762913415088</v>
      </c>
    </row>
    <row r="20" spans="3:19" x14ac:dyDescent="0.25">
      <c r="D20">
        <v>70</v>
      </c>
      <c r="K20" t="s">
        <v>6</v>
      </c>
      <c r="L20" t="s">
        <v>16</v>
      </c>
      <c r="M20" s="5" t="s">
        <v>17</v>
      </c>
    </row>
    <row r="21" spans="3:19" x14ac:dyDescent="0.25">
      <c r="D21">
        <v>18</v>
      </c>
      <c r="K21" s="5">
        <v>17500</v>
      </c>
      <c r="L21" s="5">
        <f>D5</f>
        <v>2222.7660000000001</v>
      </c>
      <c r="M21" s="5">
        <f>L21*K21</f>
        <v>38898405</v>
      </c>
    </row>
    <row r="22" spans="3:19" x14ac:dyDescent="0.25">
      <c r="D22">
        <v>1995</v>
      </c>
      <c r="O22">
        <v>2023</v>
      </c>
    </row>
    <row r="23" spans="3:19" x14ac:dyDescent="0.25">
      <c r="D23">
        <v>70</v>
      </c>
      <c r="N23" t="s">
        <v>18</v>
      </c>
      <c r="O23" t="s">
        <v>19</v>
      </c>
      <c r="P23" s="5" t="s">
        <v>20</v>
      </c>
    </row>
    <row r="24" spans="3:19" x14ac:dyDescent="0.25">
      <c r="D24">
        <f>D23+D22</f>
        <v>2065</v>
      </c>
      <c r="K24">
        <v>1261.3</v>
      </c>
      <c r="L24">
        <v>1995</v>
      </c>
      <c r="M24" s="5">
        <v>1300</v>
      </c>
      <c r="N24" s="8">
        <f>M24*K24</f>
        <v>1639690</v>
      </c>
      <c r="O24" s="5">
        <f>N24*(O22-L24)*S16</f>
        <v>623082.19999999995</v>
      </c>
      <c r="P24" s="5">
        <f>N24-O24</f>
        <v>1016607.8</v>
      </c>
    </row>
    <row r="25" spans="3:19" x14ac:dyDescent="0.25">
      <c r="D25">
        <v>2023</v>
      </c>
    </row>
    <row r="26" spans="3:19" x14ac:dyDescent="0.25">
      <c r="D26">
        <f>D25-D22</f>
        <v>28</v>
      </c>
      <c r="O26" t="s">
        <v>21</v>
      </c>
      <c r="P26" s="5">
        <v>200000</v>
      </c>
    </row>
    <row r="27" spans="3:19" x14ac:dyDescent="0.25">
      <c r="D27">
        <f>D24-D25</f>
        <v>42</v>
      </c>
      <c r="P27" s="5">
        <f>P26+P24+M21</f>
        <v>40115012.799999997</v>
      </c>
    </row>
    <row r="28" spans="3:19" x14ac:dyDescent="0.25">
      <c r="P28" s="5">
        <v>40000000</v>
      </c>
      <c r="Q28" s="8">
        <f>E9</f>
        <v>10233314</v>
      </c>
      <c r="R28" s="3">
        <f>Q28/P28</f>
        <v>0.25583285</v>
      </c>
      <c r="S28" s="7">
        <f>1-R28</f>
        <v>0.74416715</v>
      </c>
    </row>
    <row r="29" spans="3:19" x14ac:dyDescent="0.25">
      <c r="P29" s="5">
        <f>P28*0.85</f>
        <v>34000000</v>
      </c>
    </row>
    <row r="30" spans="3:19" x14ac:dyDescent="0.25">
      <c r="C30" s="3">
        <v>28000</v>
      </c>
      <c r="P30" s="5">
        <f>P28*0.75</f>
        <v>30000000</v>
      </c>
    </row>
    <row r="31" spans="3:19" x14ac:dyDescent="0.25">
      <c r="C31" s="3">
        <f>C30*1.15</f>
        <v>32199.999999999996</v>
      </c>
    </row>
    <row r="32" spans="3:19" x14ac:dyDescent="0.25">
      <c r="J32" s="5">
        <v>20.65</v>
      </c>
      <c r="K32" s="8">
        <f>J32</f>
        <v>20.65</v>
      </c>
      <c r="L32" s="8">
        <f>SUM(J32:K32)</f>
        <v>41.3</v>
      </c>
    </row>
    <row r="33" spans="10:12" x14ac:dyDescent="0.25">
      <c r="J33" s="5">
        <v>10</v>
      </c>
      <c r="K33" s="8">
        <f>J33</f>
        <v>10</v>
      </c>
      <c r="L33" s="8">
        <f>SUM(J33:K33)</f>
        <v>20</v>
      </c>
    </row>
    <row r="34" spans="10:12" x14ac:dyDescent="0.25">
      <c r="J34" s="3">
        <f>J33*J32</f>
        <v>206.5</v>
      </c>
      <c r="L34" s="3">
        <f>SUM(L32:L33)</f>
        <v>61.3</v>
      </c>
    </row>
    <row r="35" spans="10:12" x14ac:dyDescent="0.25">
      <c r="L35">
        <v>3000</v>
      </c>
    </row>
    <row r="36" spans="10:12" x14ac:dyDescent="0.25">
      <c r="L36" s="5">
        <f>L35*L34</f>
        <v>183900</v>
      </c>
    </row>
  </sheetData>
  <mergeCells count="3">
    <mergeCell ref="C3:E3"/>
    <mergeCell ref="G3:H3"/>
    <mergeCell ref="H7:H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4:AC162"/>
  <sheetViews>
    <sheetView topLeftCell="A70" zoomScaleNormal="100" workbookViewId="0">
      <selection activeCell="L135" sqref="L135"/>
    </sheetView>
  </sheetViews>
  <sheetFormatPr defaultRowHeight="15" x14ac:dyDescent="0.25"/>
  <cols>
    <col min="9" max="10" width="10" bestFit="1" customWidth="1"/>
    <col min="11" max="11" width="11.7109375" bestFit="1" customWidth="1"/>
    <col min="12" max="12" width="14.42578125" bestFit="1" customWidth="1"/>
    <col min="13" max="13" width="11.7109375" bestFit="1" customWidth="1"/>
    <col min="14" max="14" width="11.5703125" bestFit="1" customWidth="1"/>
    <col min="15" max="17" width="10" bestFit="1" customWidth="1"/>
    <col min="18" max="18" width="14.42578125" style="5" bestFit="1" customWidth="1"/>
    <col min="19" max="19" width="10" style="5" bestFit="1" customWidth="1"/>
    <col min="20" max="20" width="10.140625" bestFit="1" customWidth="1"/>
    <col min="21" max="21" width="11.7109375" bestFit="1" customWidth="1"/>
    <col min="22" max="22" width="10" bestFit="1" customWidth="1"/>
    <col min="23" max="23" width="9.140625" style="5"/>
  </cols>
  <sheetData>
    <row r="4" spans="17:23" x14ac:dyDescent="0.25">
      <c r="T4" t="s">
        <v>8</v>
      </c>
      <c r="U4" t="s">
        <v>9</v>
      </c>
      <c r="V4" t="s">
        <v>0</v>
      </c>
      <c r="W4" s="5" t="s">
        <v>10</v>
      </c>
    </row>
    <row r="5" spans="17:23" x14ac:dyDescent="0.25">
      <c r="Q5">
        <v>2.25</v>
      </c>
      <c r="R5" s="5">
        <f>Q5*10^7</f>
        <v>22500000</v>
      </c>
      <c r="S5" s="5">
        <v>2723</v>
      </c>
      <c r="T5" s="8">
        <f>S5*2000</f>
        <v>5446000</v>
      </c>
      <c r="U5" s="8">
        <f>R5-T5</f>
        <v>17054000</v>
      </c>
      <c r="V5">
        <v>2723</v>
      </c>
      <c r="W5" s="5">
        <f>U5/V5</f>
        <v>6262.9452809401391</v>
      </c>
    </row>
    <row r="6" spans="17:23" x14ac:dyDescent="0.25">
      <c r="Q6">
        <v>1.2</v>
      </c>
      <c r="R6" s="5">
        <f>Q6*10^7</f>
        <v>12000000</v>
      </c>
      <c r="S6" s="5">
        <v>1000</v>
      </c>
      <c r="T6" s="8">
        <f>S6*1500</f>
        <v>1500000</v>
      </c>
      <c r="U6" s="8">
        <f>R6-T6</f>
        <v>10500000</v>
      </c>
      <c r="V6">
        <v>2723</v>
      </c>
      <c r="W6" s="5">
        <f>U6/V6</f>
        <v>3856.0411311053986</v>
      </c>
    </row>
    <row r="21" spans="13:15" x14ac:dyDescent="0.25">
      <c r="O21" t="s">
        <v>14</v>
      </c>
    </row>
    <row r="22" spans="13:15" x14ac:dyDescent="0.25">
      <c r="M22" s="5"/>
    </row>
    <row r="23" spans="13:15" x14ac:dyDescent="0.25">
      <c r="M23" s="3"/>
    </row>
    <row r="24" spans="13:15" x14ac:dyDescent="0.25">
      <c r="M24" s="5"/>
    </row>
    <row r="25" spans="13:15" x14ac:dyDescent="0.25">
      <c r="M25" s="5"/>
    </row>
    <row r="26" spans="13:15" x14ac:dyDescent="0.25">
      <c r="M26" s="5"/>
    </row>
    <row r="27" spans="13:15" x14ac:dyDescent="0.25">
      <c r="M27" s="5"/>
    </row>
    <row r="81" spans="14:14" x14ac:dyDescent="0.25">
      <c r="N81" t="s">
        <v>11</v>
      </c>
    </row>
    <row r="95" spans="14:14" x14ac:dyDescent="0.25">
      <c r="N95" t="s">
        <v>12</v>
      </c>
    </row>
    <row r="113" spans="11:14" x14ac:dyDescent="0.25">
      <c r="N113" t="s">
        <v>13</v>
      </c>
    </row>
    <row r="125" spans="11:14" x14ac:dyDescent="0.25">
      <c r="K125" s="5">
        <f>3*10^7</f>
        <v>30000000</v>
      </c>
      <c r="L125" s="5">
        <v>2604</v>
      </c>
    </row>
    <row r="126" spans="11:14" x14ac:dyDescent="0.25">
      <c r="K126" s="5"/>
      <c r="L126" s="5">
        <f>L125*2000</f>
        <v>5208000</v>
      </c>
    </row>
    <row r="127" spans="11:14" x14ac:dyDescent="0.25">
      <c r="K127" s="5"/>
      <c r="L127" s="5">
        <f>K125-L126</f>
        <v>24792000</v>
      </c>
      <c r="M127" t="s">
        <v>15</v>
      </c>
    </row>
    <row r="128" spans="11:14" x14ac:dyDescent="0.25">
      <c r="K128" s="5"/>
      <c r="L128" s="5">
        <f>L127/L125</f>
        <v>9520.737327188941</v>
      </c>
    </row>
    <row r="129" spans="11:12" x14ac:dyDescent="0.25">
      <c r="K129" s="5"/>
      <c r="L129" s="5">
        <f>L128*1.5</f>
        <v>14281.105990783411</v>
      </c>
    </row>
    <row r="135" spans="11:12" x14ac:dyDescent="0.25">
      <c r="K135" s="5">
        <f>2.5*10^7</f>
        <v>25000000</v>
      </c>
      <c r="L135">
        <v>4500</v>
      </c>
    </row>
    <row r="136" spans="11:12" x14ac:dyDescent="0.25">
      <c r="L136" s="5">
        <f>L135*1500</f>
        <v>6750000</v>
      </c>
    </row>
    <row r="137" spans="11:12" x14ac:dyDescent="0.25">
      <c r="L137" s="8">
        <f>K135-L136</f>
        <v>18250000</v>
      </c>
    </row>
    <row r="138" spans="11:12" x14ac:dyDescent="0.25">
      <c r="L138" s="7">
        <f>L137/2722</f>
        <v>6704.628949301984</v>
      </c>
    </row>
    <row r="151" spans="8:29" x14ac:dyDescent="0.25">
      <c r="H151">
        <v>50000</v>
      </c>
      <c r="I151">
        <v>60000</v>
      </c>
      <c r="J151">
        <v>20</v>
      </c>
      <c r="K151">
        <f>J151*12</f>
        <v>240</v>
      </c>
      <c r="L151" s="5">
        <f>K151*I151</f>
        <v>14400000</v>
      </c>
    </row>
    <row r="152" spans="8:29" x14ac:dyDescent="0.25">
      <c r="L152" s="3">
        <f>L151/10^7</f>
        <v>1.44</v>
      </c>
    </row>
    <row r="154" spans="8:29" x14ac:dyDescent="0.25">
      <c r="I154" s="5"/>
      <c r="J154" s="5"/>
      <c r="K154" s="5"/>
      <c r="L154" s="5"/>
      <c r="M154" s="5"/>
      <c r="N154" s="5"/>
      <c r="O154" s="5"/>
      <c r="P154" s="5"/>
      <c r="Q154" s="5"/>
      <c r="T154" s="5"/>
      <c r="U154" s="5"/>
      <c r="V154" s="5"/>
      <c r="X154" s="5"/>
      <c r="Y154" s="5"/>
      <c r="Z154" s="5"/>
      <c r="AA154" s="5"/>
      <c r="AB154" s="5"/>
      <c r="AC154" s="5"/>
    </row>
    <row r="155" spans="8:29" x14ac:dyDescent="0.25">
      <c r="R155"/>
      <c r="S155"/>
      <c r="W155"/>
    </row>
    <row r="156" spans="8:29" x14ac:dyDescent="0.25"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8" spans="8:29" x14ac:dyDescent="0.25">
      <c r="L158" s="5">
        <f>6.5*10^7</f>
        <v>65000000</v>
      </c>
      <c r="M158">
        <v>300</v>
      </c>
      <c r="N158">
        <f>M158*10.764</f>
        <v>3229.2</v>
      </c>
    </row>
    <row r="159" spans="8:29" x14ac:dyDescent="0.25">
      <c r="N159">
        <f>N158*2</f>
        <v>6458.4</v>
      </c>
    </row>
    <row r="160" spans="8:29" x14ac:dyDescent="0.25">
      <c r="N160">
        <f>N159*1200</f>
        <v>7750080</v>
      </c>
    </row>
    <row r="161" spans="14:14" x14ac:dyDescent="0.25">
      <c r="N161" s="8">
        <f>L158-N160</f>
        <v>57249920</v>
      </c>
    </row>
    <row r="162" spans="14:14" x14ac:dyDescent="0.25">
      <c r="N162" s="7">
        <f>N161/N158</f>
        <v>17728.824476650563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5:J30"/>
  <sheetViews>
    <sheetView topLeftCell="J28" zoomScale="145" zoomScaleNormal="145" workbookViewId="0">
      <selection activeCell="L21" sqref="L21"/>
    </sheetView>
  </sheetViews>
  <sheetFormatPr defaultRowHeight="15" x14ac:dyDescent="0.25"/>
  <cols>
    <col min="7" max="7" width="10" bestFit="1" customWidth="1"/>
    <col min="10" max="10" width="10" style="5" bestFit="1" customWidth="1"/>
  </cols>
  <sheetData>
    <row r="25" spans="7:10" x14ac:dyDescent="0.25">
      <c r="G25" s="3">
        <v>206.5</v>
      </c>
      <c r="I25">
        <v>1261.3</v>
      </c>
      <c r="J25" s="3">
        <f>I25/10.764</f>
        <v>117.17762913415088</v>
      </c>
    </row>
    <row r="26" spans="7:10" x14ac:dyDescent="0.25">
      <c r="G26" s="5">
        <f>G25*39000</f>
        <v>8053500</v>
      </c>
      <c r="J26" s="5">
        <v>14000</v>
      </c>
    </row>
    <row r="27" spans="7:10" x14ac:dyDescent="0.25">
      <c r="J27" s="5">
        <f>J26*J25</f>
        <v>1640486.8078781122</v>
      </c>
    </row>
    <row r="28" spans="7:10" x14ac:dyDescent="0.25">
      <c r="J28" s="6">
        <v>0.754</v>
      </c>
    </row>
    <row r="29" spans="7:10" x14ac:dyDescent="0.25">
      <c r="J29" s="5">
        <f>J28*J27</f>
        <v>1236927.0531400966</v>
      </c>
    </row>
    <row r="30" spans="7:10" x14ac:dyDescent="0.25">
      <c r="J30" s="5">
        <f>J29+G26</f>
        <v>9290427.0531400964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2023-05-19T10:36:55Z</dcterms:modified>
</cp:coreProperties>
</file>