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VIS(2023-24)-PL087-074-089\uploads\VIS(2023-24)-PL087-074-089\"/>
    </mc:Choice>
  </mc:AlternateContent>
  <bookViews>
    <workbookView xWindow="0" yWindow="0" windowWidth="24000" windowHeight="9135" firstSheet="1" activeTab="2"/>
  </bookViews>
  <sheets>
    <sheet name="Sheet1" sheetId="3" state="hidden" r:id="rId1"/>
    <sheet name="As per invoice" sheetId="11" r:id="rId2"/>
    <sheet name="as per site" sheetId="12" r:id="rId3"/>
    <sheet name="link" sheetId="13" r:id="rId4"/>
  </sheets>
  <externalReferences>
    <externalReference r:id="rId5"/>
    <externalReference r:id="rId6"/>
  </externalReferences>
  <definedNames>
    <definedName name="_xlnm._FilterDatabase" localSheetId="0" hidden="1">Sheet1!$C$2:$T$211</definedName>
    <definedName name="cmb_TDS2.StateCode">[1]IT_FBT_DDTP!$H$65:$H$100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2" l="1"/>
  <c r="T17" i="12"/>
  <c r="T16" i="12"/>
  <c r="T15" i="12"/>
  <c r="T14" i="12"/>
  <c r="T13" i="12"/>
  <c r="T12" i="12"/>
  <c r="T11" i="12"/>
  <c r="T10" i="12"/>
  <c r="T9" i="12"/>
  <c r="T8" i="12"/>
  <c r="I27" i="12" l="1"/>
  <c r="I26" i="12"/>
  <c r="Q17" i="12" l="1"/>
  <c r="S16" i="12"/>
  <c r="S15" i="12"/>
  <c r="S14" i="12"/>
  <c r="S13" i="12"/>
  <c r="S12" i="12"/>
  <c r="S11" i="12"/>
  <c r="R11" i="12" l="1"/>
  <c r="R12" i="12"/>
  <c r="R13" i="12"/>
  <c r="R14" i="12"/>
  <c r="R15" i="12"/>
  <c r="R16" i="12"/>
  <c r="Q12" i="12"/>
  <c r="Q15" i="12"/>
  <c r="Q10" i="12"/>
  <c r="P8" i="12" l="1"/>
  <c r="R8" i="12" s="1"/>
  <c r="S8" i="12" s="1"/>
  <c r="P9" i="12"/>
  <c r="R9" i="12" s="1"/>
  <c r="S9" i="12" s="1"/>
  <c r="P10" i="12"/>
  <c r="R10" i="12" s="1"/>
  <c r="S10" i="12" s="1"/>
  <c r="P11" i="12"/>
  <c r="P12" i="12"/>
  <c r="P13" i="12"/>
  <c r="P14" i="12"/>
  <c r="P15" i="12"/>
  <c r="P16" i="12"/>
  <c r="P7" i="12"/>
  <c r="R7" i="12" s="1"/>
  <c r="N8" i="12"/>
  <c r="N9" i="12"/>
  <c r="N10" i="12"/>
  <c r="N11" i="12"/>
  <c r="N12" i="12"/>
  <c r="N13" i="12"/>
  <c r="N14" i="12"/>
  <c r="N15" i="12"/>
  <c r="N16" i="12"/>
  <c r="N7" i="12"/>
  <c r="R17" i="12" l="1"/>
  <c r="S7" i="12"/>
  <c r="S17" i="12" s="1"/>
  <c r="I186" i="3"/>
  <c r="N186" i="3"/>
  <c r="F124" i="3"/>
  <c r="N245" i="3" l="1"/>
  <c r="G230" i="3"/>
  <c r="K229" i="3"/>
  <c r="H229" i="3"/>
  <c r="G229" i="3"/>
  <c r="F229" i="3"/>
  <c r="F224" i="3"/>
  <c r="G222" i="3"/>
  <c r="AD215" i="3"/>
  <c r="AD217" i="3" s="1"/>
  <c r="AD210" i="3"/>
  <c r="AD211" i="3" s="1"/>
  <c r="AD213" i="3" s="1"/>
  <c r="K207" i="3"/>
  <c r="K238" i="3" s="1"/>
  <c r="J207" i="3"/>
  <c r="H207" i="3"/>
  <c r="H238" i="3" s="1"/>
  <c r="G207" i="3"/>
  <c r="F207" i="3"/>
  <c r="F238" i="3" s="1"/>
  <c r="R206" i="3"/>
  <c r="P206" i="3"/>
  <c r="X206" i="3" s="1"/>
  <c r="L206" i="3"/>
  <c r="I206" i="3"/>
  <c r="N206" i="3" s="1"/>
  <c r="R205" i="3"/>
  <c r="P205" i="3"/>
  <c r="X205" i="3" s="1"/>
  <c r="L205" i="3"/>
  <c r="I205" i="3"/>
  <c r="R204" i="3"/>
  <c r="P204" i="3"/>
  <c r="X204" i="3" s="1"/>
  <c r="N204" i="3"/>
  <c r="L204" i="3"/>
  <c r="I204" i="3"/>
  <c r="V203" i="3"/>
  <c r="R203" i="3"/>
  <c r="S203" i="3" s="1"/>
  <c r="P203" i="3"/>
  <c r="X203" i="3" s="1"/>
  <c r="Y203" i="3" s="1"/>
  <c r="N203" i="3"/>
  <c r="L203" i="3"/>
  <c r="I203" i="3"/>
  <c r="Q199" i="3"/>
  <c r="K199" i="3"/>
  <c r="K237" i="3" s="1"/>
  <c r="J199" i="3"/>
  <c r="H199" i="3"/>
  <c r="G199" i="3"/>
  <c r="G237" i="3" s="1"/>
  <c r="F199" i="3"/>
  <c r="F237" i="3" s="1"/>
  <c r="V198" i="3"/>
  <c r="X197" i="3"/>
  <c r="Y197" i="3" s="1"/>
  <c r="V197" i="3"/>
  <c r="R197" i="3"/>
  <c r="S197" i="3" s="1"/>
  <c r="T197" i="3" s="1"/>
  <c r="N197" i="3"/>
  <c r="L197" i="3"/>
  <c r="I197" i="3"/>
  <c r="X196" i="3"/>
  <c r="Y196" i="3" s="1"/>
  <c r="V196" i="3"/>
  <c r="R196" i="3"/>
  <c r="S196" i="3" s="1"/>
  <c r="T196" i="3" s="1"/>
  <c r="N196" i="3"/>
  <c r="L196" i="3"/>
  <c r="I196" i="3"/>
  <c r="X195" i="3"/>
  <c r="Y195" i="3" s="1"/>
  <c r="V195" i="3"/>
  <c r="R195" i="3"/>
  <c r="S195" i="3" s="1"/>
  <c r="T195" i="3" s="1"/>
  <c r="N195" i="3"/>
  <c r="L195" i="3"/>
  <c r="I195" i="3"/>
  <c r="X194" i="3"/>
  <c r="Y194" i="3" s="1"/>
  <c r="V194" i="3"/>
  <c r="R194" i="3"/>
  <c r="S194" i="3" s="1"/>
  <c r="T194" i="3" s="1"/>
  <c r="N194" i="3"/>
  <c r="L194" i="3"/>
  <c r="I194" i="3"/>
  <c r="R193" i="3"/>
  <c r="W191" i="3"/>
  <c r="U191" i="3"/>
  <c r="P191" i="3"/>
  <c r="K191" i="3"/>
  <c r="K236" i="3" s="1"/>
  <c r="J191" i="3"/>
  <c r="G191" i="3"/>
  <c r="G236" i="3" s="1"/>
  <c r="F191" i="3"/>
  <c r="F236" i="3" s="1"/>
  <c r="X190" i="3"/>
  <c r="R190" i="3"/>
  <c r="N190" i="3"/>
  <c r="L190" i="3"/>
  <c r="I190" i="3"/>
  <c r="X189" i="3"/>
  <c r="Y189" i="3" s="1"/>
  <c r="V189" i="3"/>
  <c r="R189" i="3"/>
  <c r="S189" i="3" s="1"/>
  <c r="T189" i="3" s="1"/>
  <c r="N189" i="3"/>
  <c r="L189" i="3"/>
  <c r="I189" i="3"/>
  <c r="X188" i="3"/>
  <c r="Y188" i="3" s="1"/>
  <c r="V188" i="3"/>
  <c r="R188" i="3"/>
  <c r="S188" i="3" s="1"/>
  <c r="T188" i="3" s="1"/>
  <c r="N188" i="3"/>
  <c r="L188" i="3"/>
  <c r="I188" i="3"/>
  <c r="X187" i="3"/>
  <c r="Y187" i="3" s="1"/>
  <c r="V187" i="3"/>
  <c r="R187" i="3"/>
  <c r="S187" i="3" s="1"/>
  <c r="T187" i="3" s="1"/>
  <c r="N187" i="3"/>
  <c r="L187" i="3"/>
  <c r="I187" i="3"/>
  <c r="X185" i="3"/>
  <c r="Y185" i="3" s="1"/>
  <c r="V185" i="3"/>
  <c r="R185" i="3"/>
  <c r="S185" i="3" s="1"/>
  <c r="T185" i="3" s="1"/>
  <c r="N185" i="3"/>
  <c r="L185" i="3"/>
  <c r="I185" i="3"/>
  <c r="X184" i="3"/>
  <c r="Y184" i="3" s="1"/>
  <c r="V184" i="3"/>
  <c r="R184" i="3"/>
  <c r="S184" i="3" s="1"/>
  <c r="T184" i="3" s="1"/>
  <c r="N184" i="3"/>
  <c r="L184" i="3"/>
  <c r="I184" i="3"/>
  <c r="X183" i="3"/>
  <c r="Y183" i="3" s="1"/>
  <c r="V183" i="3"/>
  <c r="R183" i="3"/>
  <c r="S183" i="3" s="1"/>
  <c r="T183" i="3" s="1"/>
  <c r="N183" i="3"/>
  <c r="L183" i="3"/>
  <c r="I183" i="3"/>
  <c r="X182" i="3"/>
  <c r="Y182" i="3" s="1"/>
  <c r="V182" i="3"/>
  <c r="R182" i="3"/>
  <c r="S182" i="3" s="1"/>
  <c r="T182" i="3" s="1"/>
  <c r="N182" i="3"/>
  <c r="L182" i="3"/>
  <c r="I182" i="3"/>
  <c r="X181" i="3"/>
  <c r="Y181" i="3" s="1"/>
  <c r="V181" i="3"/>
  <c r="R181" i="3"/>
  <c r="S181" i="3" s="1"/>
  <c r="T181" i="3" s="1"/>
  <c r="N181" i="3"/>
  <c r="L181" i="3"/>
  <c r="I181" i="3"/>
  <c r="X180" i="3"/>
  <c r="Y180" i="3" s="1"/>
  <c r="V180" i="3"/>
  <c r="R180" i="3"/>
  <c r="N180" i="3"/>
  <c r="L180" i="3"/>
  <c r="I180" i="3"/>
  <c r="O179" i="3"/>
  <c r="L177" i="3"/>
  <c r="L218" i="3" s="1"/>
  <c r="K177" i="3"/>
  <c r="K235" i="3" s="1"/>
  <c r="J177" i="3"/>
  <c r="H177" i="3"/>
  <c r="G177" i="3"/>
  <c r="G235" i="3" s="1"/>
  <c r="F177" i="3"/>
  <c r="F235" i="3" s="1"/>
  <c r="X176" i="3"/>
  <c r="R176" i="3"/>
  <c r="N176" i="3"/>
  <c r="I176" i="3"/>
  <c r="X175" i="3"/>
  <c r="R175" i="3"/>
  <c r="N175" i="3"/>
  <c r="I175" i="3"/>
  <c r="X174" i="3"/>
  <c r="R174" i="3"/>
  <c r="N174" i="3"/>
  <c r="I174" i="3"/>
  <c r="X173" i="3"/>
  <c r="R173" i="3"/>
  <c r="N173" i="3"/>
  <c r="I173" i="3"/>
  <c r="X172" i="3"/>
  <c r="Y172" i="3" s="1"/>
  <c r="V172" i="3"/>
  <c r="R172" i="3"/>
  <c r="S172" i="3" s="1"/>
  <c r="T172" i="3" s="1"/>
  <c r="N172" i="3"/>
  <c r="I172" i="3"/>
  <c r="M172" i="3" s="1"/>
  <c r="Q169" i="3"/>
  <c r="L234" i="3" s="1"/>
  <c r="K169" i="3"/>
  <c r="J169" i="3"/>
  <c r="H169" i="3"/>
  <c r="H234" i="3" s="1"/>
  <c r="G169" i="3"/>
  <c r="G234" i="3" s="1"/>
  <c r="F169" i="3"/>
  <c r="X168" i="3"/>
  <c r="Y168" i="3" s="1"/>
  <c r="V168" i="3"/>
  <c r="R168" i="3"/>
  <c r="S168" i="3" s="1"/>
  <c r="T168" i="3" s="1"/>
  <c r="N168" i="3"/>
  <c r="L168" i="3"/>
  <c r="I168" i="3"/>
  <c r="X167" i="3"/>
  <c r="Y167" i="3" s="1"/>
  <c r="V167" i="3"/>
  <c r="R167" i="3"/>
  <c r="S167" i="3" s="1"/>
  <c r="T167" i="3" s="1"/>
  <c r="N167" i="3"/>
  <c r="L167" i="3"/>
  <c r="I167" i="3"/>
  <c r="X166" i="3"/>
  <c r="Y166" i="3" s="1"/>
  <c r="V166" i="3"/>
  <c r="R166" i="3"/>
  <c r="S166" i="3" s="1"/>
  <c r="T166" i="3" s="1"/>
  <c r="N166" i="3"/>
  <c r="L166" i="3"/>
  <c r="I166" i="3"/>
  <c r="X165" i="3"/>
  <c r="Y165" i="3" s="1"/>
  <c r="V165" i="3"/>
  <c r="R165" i="3"/>
  <c r="S165" i="3" s="1"/>
  <c r="T165" i="3" s="1"/>
  <c r="N165" i="3"/>
  <c r="L165" i="3"/>
  <c r="I165" i="3"/>
  <c r="X164" i="3"/>
  <c r="Y164" i="3" s="1"/>
  <c r="V164" i="3"/>
  <c r="R164" i="3"/>
  <c r="S164" i="3" s="1"/>
  <c r="T164" i="3" s="1"/>
  <c r="N164" i="3"/>
  <c r="L164" i="3"/>
  <c r="I164" i="3"/>
  <c r="X163" i="3"/>
  <c r="Y163" i="3" s="1"/>
  <c r="V163" i="3"/>
  <c r="R163" i="3"/>
  <c r="S163" i="3" s="1"/>
  <c r="T163" i="3" s="1"/>
  <c r="N163" i="3"/>
  <c r="L163" i="3"/>
  <c r="I163" i="3"/>
  <c r="X162" i="3"/>
  <c r="Y162" i="3" s="1"/>
  <c r="V162" i="3"/>
  <c r="R162" i="3"/>
  <c r="S162" i="3" s="1"/>
  <c r="T162" i="3" s="1"/>
  <c r="N162" i="3"/>
  <c r="L162" i="3"/>
  <c r="I162" i="3"/>
  <c r="X161" i="3"/>
  <c r="Y161" i="3" s="1"/>
  <c r="V161" i="3"/>
  <c r="R161" i="3"/>
  <c r="S161" i="3" s="1"/>
  <c r="T161" i="3" s="1"/>
  <c r="N161" i="3"/>
  <c r="L161" i="3"/>
  <c r="I161" i="3"/>
  <c r="X160" i="3"/>
  <c r="Y160" i="3" s="1"/>
  <c r="V160" i="3"/>
  <c r="R160" i="3"/>
  <c r="S160" i="3" s="1"/>
  <c r="T160" i="3" s="1"/>
  <c r="N160" i="3"/>
  <c r="L160" i="3"/>
  <c r="I160" i="3"/>
  <c r="X159" i="3"/>
  <c r="Y159" i="3" s="1"/>
  <c r="V159" i="3"/>
  <c r="R159" i="3"/>
  <c r="S159" i="3" s="1"/>
  <c r="N159" i="3"/>
  <c r="L159" i="3"/>
  <c r="I159" i="3"/>
  <c r="W155" i="3"/>
  <c r="U155" i="3"/>
  <c r="K155" i="3"/>
  <c r="K233" i="3" s="1"/>
  <c r="J155" i="3"/>
  <c r="H155" i="3"/>
  <c r="H233" i="3" s="1"/>
  <c r="G155" i="3"/>
  <c r="G233" i="3" s="1"/>
  <c r="F155" i="3"/>
  <c r="F233" i="3" s="1"/>
  <c r="D155" i="3"/>
  <c r="X154" i="3"/>
  <c r="R154" i="3"/>
  <c r="N154" i="3"/>
  <c r="L154" i="3"/>
  <c r="I154" i="3"/>
  <c r="X153" i="3"/>
  <c r="R153" i="3"/>
  <c r="N153" i="3"/>
  <c r="L153" i="3"/>
  <c r="I153" i="3"/>
  <c r="X152" i="3"/>
  <c r="R152" i="3"/>
  <c r="N152" i="3"/>
  <c r="L152" i="3"/>
  <c r="I152" i="3"/>
  <c r="X151" i="3"/>
  <c r="R151" i="3"/>
  <c r="N151" i="3"/>
  <c r="L151" i="3"/>
  <c r="I151" i="3"/>
  <c r="X150" i="3"/>
  <c r="R150" i="3"/>
  <c r="N150" i="3"/>
  <c r="L150" i="3"/>
  <c r="I150" i="3"/>
  <c r="F148" i="3"/>
  <c r="K147" i="3"/>
  <c r="K232" i="3" s="1"/>
  <c r="J147" i="3"/>
  <c r="H147" i="3"/>
  <c r="H232" i="3" s="1"/>
  <c r="G147" i="3"/>
  <c r="G232" i="3" s="1"/>
  <c r="X146" i="3"/>
  <c r="R146" i="3"/>
  <c r="I146" i="3"/>
  <c r="N146" i="3" s="1"/>
  <c r="X145" i="3"/>
  <c r="R145" i="3"/>
  <c r="I145" i="3"/>
  <c r="X144" i="3"/>
  <c r="R144" i="3"/>
  <c r="N144" i="3"/>
  <c r="L144" i="3"/>
  <c r="I144" i="3"/>
  <c r="X143" i="3"/>
  <c r="R143" i="3"/>
  <c r="N143" i="3"/>
  <c r="L143" i="3"/>
  <c r="I143" i="3"/>
  <c r="X142" i="3"/>
  <c r="R142" i="3"/>
  <c r="N142" i="3"/>
  <c r="L142" i="3"/>
  <c r="I142" i="3"/>
  <c r="X141" i="3"/>
  <c r="R141" i="3"/>
  <c r="L141" i="3"/>
  <c r="F141" i="3"/>
  <c r="X140" i="3"/>
  <c r="R140" i="3"/>
  <c r="N140" i="3"/>
  <c r="L140" i="3"/>
  <c r="I140" i="3"/>
  <c r="X139" i="3"/>
  <c r="R139" i="3"/>
  <c r="N139" i="3"/>
  <c r="L139" i="3"/>
  <c r="I139" i="3"/>
  <c r="X138" i="3"/>
  <c r="R138" i="3"/>
  <c r="N138" i="3"/>
  <c r="L138" i="3"/>
  <c r="I138" i="3"/>
  <c r="X137" i="3"/>
  <c r="R137" i="3"/>
  <c r="N137" i="3"/>
  <c r="L137" i="3"/>
  <c r="I137" i="3"/>
  <c r="X136" i="3"/>
  <c r="R136" i="3"/>
  <c r="N136" i="3"/>
  <c r="L136" i="3"/>
  <c r="I136" i="3"/>
  <c r="X135" i="3"/>
  <c r="R135" i="3"/>
  <c r="N135" i="3"/>
  <c r="L135" i="3"/>
  <c r="I135" i="3"/>
  <c r="X134" i="3"/>
  <c r="R134" i="3"/>
  <c r="N134" i="3"/>
  <c r="L134" i="3"/>
  <c r="I134" i="3"/>
  <c r="X133" i="3"/>
  <c r="R133" i="3"/>
  <c r="N133" i="3"/>
  <c r="L133" i="3"/>
  <c r="I133" i="3"/>
  <c r="X132" i="3"/>
  <c r="R132" i="3"/>
  <c r="N132" i="3"/>
  <c r="L132" i="3"/>
  <c r="I132" i="3"/>
  <c r="J129" i="3"/>
  <c r="H129" i="3"/>
  <c r="H231" i="3" s="1"/>
  <c r="G129" i="3"/>
  <c r="G231" i="3" s="1"/>
  <c r="F129" i="3"/>
  <c r="F231" i="3" s="1"/>
  <c r="R128" i="3"/>
  <c r="N128" i="3"/>
  <c r="L128" i="3"/>
  <c r="I128" i="3"/>
  <c r="R127" i="3"/>
  <c r="N127" i="3"/>
  <c r="L127" i="3"/>
  <c r="I127" i="3"/>
  <c r="X126" i="3"/>
  <c r="R126" i="3"/>
  <c r="N126" i="3"/>
  <c r="L126" i="3"/>
  <c r="I126" i="3"/>
  <c r="X125" i="3"/>
  <c r="R125" i="3"/>
  <c r="N125" i="3"/>
  <c r="L125" i="3"/>
  <c r="I125" i="3"/>
  <c r="X124" i="3"/>
  <c r="R124" i="3"/>
  <c r="N124" i="3"/>
  <c r="L124" i="3"/>
  <c r="I124" i="3"/>
  <c r="X123" i="3"/>
  <c r="R123" i="3"/>
  <c r="N123" i="3"/>
  <c r="L123" i="3"/>
  <c r="I123" i="3"/>
  <c r="X122" i="3"/>
  <c r="R122" i="3"/>
  <c r="N122" i="3"/>
  <c r="L122" i="3"/>
  <c r="I122" i="3"/>
  <c r="X121" i="3"/>
  <c r="R121" i="3"/>
  <c r="N121" i="3"/>
  <c r="L121" i="3"/>
  <c r="I121" i="3"/>
  <c r="X120" i="3"/>
  <c r="R120" i="3"/>
  <c r="N120" i="3"/>
  <c r="L120" i="3"/>
  <c r="I120" i="3"/>
  <c r="X119" i="3"/>
  <c r="R119" i="3"/>
  <c r="N119" i="3"/>
  <c r="L119" i="3"/>
  <c r="I119" i="3"/>
  <c r="X118" i="3"/>
  <c r="R118" i="3"/>
  <c r="N118" i="3"/>
  <c r="L118" i="3"/>
  <c r="I118" i="3"/>
  <c r="X117" i="3"/>
  <c r="R117" i="3"/>
  <c r="N117" i="3"/>
  <c r="L117" i="3"/>
  <c r="I117" i="3"/>
  <c r="X116" i="3"/>
  <c r="R116" i="3"/>
  <c r="N116" i="3"/>
  <c r="L116" i="3"/>
  <c r="I116" i="3"/>
  <c r="X115" i="3"/>
  <c r="R115" i="3"/>
  <c r="N115" i="3"/>
  <c r="L115" i="3"/>
  <c r="I115" i="3"/>
  <c r="X114" i="3"/>
  <c r="R114" i="3"/>
  <c r="N114" i="3"/>
  <c r="L114" i="3"/>
  <c r="I114" i="3"/>
  <c r="X113" i="3"/>
  <c r="R113" i="3"/>
  <c r="N113" i="3"/>
  <c r="L113" i="3"/>
  <c r="I113" i="3"/>
  <c r="X112" i="3"/>
  <c r="R112" i="3"/>
  <c r="N112" i="3"/>
  <c r="L112" i="3"/>
  <c r="I112" i="3"/>
  <c r="X111" i="3"/>
  <c r="R111" i="3"/>
  <c r="N111" i="3"/>
  <c r="L111" i="3"/>
  <c r="I111" i="3"/>
  <c r="X110" i="3"/>
  <c r="R110" i="3"/>
  <c r="N110" i="3"/>
  <c r="L110" i="3"/>
  <c r="I110" i="3"/>
  <c r="X109" i="3"/>
  <c r="R109" i="3"/>
  <c r="N109" i="3"/>
  <c r="L109" i="3"/>
  <c r="I109" i="3"/>
  <c r="X108" i="3"/>
  <c r="R108" i="3"/>
  <c r="N108" i="3"/>
  <c r="L108" i="3"/>
  <c r="I108" i="3"/>
  <c r="X107" i="3"/>
  <c r="R107" i="3"/>
  <c r="N107" i="3"/>
  <c r="L107" i="3"/>
  <c r="I107" i="3"/>
  <c r="X106" i="3"/>
  <c r="R106" i="3"/>
  <c r="N106" i="3"/>
  <c r="L106" i="3"/>
  <c r="I106" i="3"/>
  <c r="X105" i="3"/>
  <c r="R105" i="3"/>
  <c r="N105" i="3"/>
  <c r="L105" i="3"/>
  <c r="I105" i="3"/>
  <c r="X104" i="3"/>
  <c r="R104" i="3"/>
  <c r="N104" i="3"/>
  <c r="L104" i="3"/>
  <c r="I104" i="3"/>
  <c r="X103" i="3"/>
  <c r="R103" i="3"/>
  <c r="N103" i="3"/>
  <c r="L103" i="3"/>
  <c r="I103" i="3"/>
  <c r="X102" i="3"/>
  <c r="R102" i="3"/>
  <c r="N102" i="3"/>
  <c r="L102" i="3"/>
  <c r="I102" i="3"/>
  <c r="X101" i="3"/>
  <c r="R101" i="3"/>
  <c r="N101" i="3"/>
  <c r="L101" i="3"/>
  <c r="I101" i="3"/>
  <c r="X100" i="3"/>
  <c r="R100" i="3"/>
  <c r="N100" i="3"/>
  <c r="L100" i="3"/>
  <c r="I100" i="3"/>
  <c r="X99" i="3"/>
  <c r="R99" i="3"/>
  <c r="N99" i="3"/>
  <c r="L99" i="3"/>
  <c r="I99" i="3"/>
  <c r="X98" i="3"/>
  <c r="R98" i="3"/>
  <c r="N98" i="3"/>
  <c r="L98" i="3"/>
  <c r="I98" i="3"/>
  <c r="X97" i="3"/>
  <c r="R97" i="3"/>
  <c r="N97" i="3"/>
  <c r="L97" i="3"/>
  <c r="I97" i="3"/>
  <c r="X96" i="3"/>
  <c r="R96" i="3"/>
  <c r="N96" i="3"/>
  <c r="L96" i="3"/>
  <c r="I96" i="3"/>
  <c r="X95" i="3"/>
  <c r="R95" i="3"/>
  <c r="N95" i="3"/>
  <c r="L95" i="3"/>
  <c r="I95" i="3"/>
  <c r="X94" i="3"/>
  <c r="R94" i="3"/>
  <c r="N94" i="3"/>
  <c r="L94" i="3"/>
  <c r="I94" i="3"/>
  <c r="X93" i="3"/>
  <c r="R93" i="3"/>
  <c r="N93" i="3"/>
  <c r="L93" i="3"/>
  <c r="I93" i="3"/>
  <c r="X92" i="3"/>
  <c r="R92" i="3"/>
  <c r="N92" i="3"/>
  <c r="L92" i="3"/>
  <c r="I92" i="3"/>
  <c r="X91" i="3"/>
  <c r="Y91" i="3" s="1"/>
  <c r="V91" i="3"/>
  <c r="R91" i="3"/>
  <c r="S91" i="3" s="1"/>
  <c r="T91" i="3" s="1"/>
  <c r="N91" i="3"/>
  <c r="L91" i="3"/>
  <c r="I91" i="3"/>
  <c r="Y90" i="3"/>
  <c r="V90" i="3"/>
  <c r="R90" i="3"/>
  <c r="S90" i="3" s="1"/>
  <c r="T90" i="3" s="1"/>
  <c r="N90" i="3"/>
  <c r="L90" i="3"/>
  <c r="I90" i="3"/>
  <c r="V89" i="3"/>
  <c r="R89" i="3"/>
  <c r="N89" i="3"/>
  <c r="O89" i="3" s="1"/>
  <c r="I89" i="3"/>
  <c r="S88" i="3"/>
  <c r="I88" i="3"/>
  <c r="N88" i="3" s="1"/>
  <c r="O88" i="3" s="1"/>
  <c r="S87" i="3"/>
  <c r="I87" i="3"/>
  <c r="K86" i="3"/>
  <c r="S86" i="3" s="1"/>
  <c r="I86" i="3"/>
  <c r="S85" i="3"/>
  <c r="I85" i="3"/>
  <c r="N85" i="3" s="1"/>
  <c r="O85" i="3" s="1"/>
  <c r="S84" i="3"/>
  <c r="I84" i="3"/>
  <c r="N84" i="3" s="1"/>
  <c r="O84" i="3" s="1"/>
  <c r="K83" i="3"/>
  <c r="I83" i="3"/>
  <c r="R82" i="3"/>
  <c r="I82" i="3"/>
  <c r="M82" i="3" s="1"/>
  <c r="R81" i="3"/>
  <c r="L81" i="3"/>
  <c r="I81" i="3"/>
  <c r="N81" i="3" s="1"/>
  <c r="X80" i="3"/>
  <c r="R80" i="3"/>
  <c r="L80" i="3"/>
  <c r="I80" i="3"/>
  <c r="R79" i="3"/>
  <c r="I79" i="3"/>
  <c r="R78" i="3"/>
  <c r="N78" i="3"/>
  <c r="L78" i="3"/>
  <c r="I78" i="3"/>
  <c r="R77" i="3"/>
  <c r="N77" i="3"/>
  <c r="L77" i="3"/>
  <c r="I77" i="3"/>
  <c r="R76" i="3"/>
  <c r="N76" i="3"/>
  <c r="L76" i="3"/>
  <c r="I76" i="3"/>
  <c r="R75" i="3"/>
  <c r="S75" i="3" s="1"/>
  <c r="T75" i="3" s="1"/>
  <c r="N75" i="3"/>
  <c r="L75" i="3"/>
  <c r="I75" i="3"/>
  <c r="R74" i="3"/>
  <c r="N74" i="3"/>
  <c r="L74" i="3"/>
  <c r="I74" i="3"/>
  <c r="X73" i="3"/>
  <c r="R73" i="3"/>
  <c r="N73" i="3"/>
  <c r="L73" i="3"/>
  <c r="I73" i="3"/>
  <c r="X72" i="3"/>
  <c r="R72" i="3"/>
  <c r="N72" i="3"/>
  <c r="L72" i="3"/>
  <c r="I72" i="3"/>
  <c r="X71" i="3"/>
  <c r="R71" i="3"/>
  <c r="N71" i="3"/>
  <c r="L71" i="3"/>
  <c r="I71" i="3"/>
  <c r="X70" i="3"/>
  <c r="R70" i="3"/>
  <c r="N70" i="3"/>
  <c r="L70" i="3"/>
  <c r="I70" i="3"/>
  <c r="X69" i="3"/>
  <c r="R69" i="3"/>
  <c r="N69" i="3"/>
  <c r="L69" i="3"/>
  <c r="I69" i="3"/>
  <c r="X68" i="3"/>
  <c r="R68" i="3"/>
  <c r="N68" i="3"/>
  <c r="L68" i="3"/>
  <c r="I68" i="3"/>
  <c r="X67" i="3"/>
  <c r="R67" i="3"/>
  <c r="N67" i="3"/>
  <c r="L67" i="3"/>
  <c r="I67" i="3"/>
  <c r="X66" i="3"/>
  <c r="R66" i="3"/>
  <c r="N66" i="3"/>
  <c r="L66" i="3"/>
  <c r="I66" i="3"/>
  <c r="X65" i="3"/>
  <c r="R65" i="3"/>
  <c r="N65" i="3"/>
  <c r="L65" i="3"/>
  <c r="I65" i="3"/>
  <c r="V64" i="3"/>
  <c r="R64" i="3"/>
  <c r="N64" i="3"/>
  <c r="O64" i="3" s="1"/>
  <c r="I64" i="3"/>
  <c r="X63" i="3"/>
  <c r="R63" i="3"/>
  <c r="N63" i="3"/>
  <c r="L63" i="3"/>
  <c r="I63" i="3"/>
  <c r="X62" i="3"/>
  <c r="R62" i="3"/>
  <c r="N62" i="3"/>
  <c r="L62" i="3"/>
  <c r="I62" i="3"/>
  <c r="X61" i="3"/>
  <c r="R61" i="3"/>
  <c r="N61" i="3"/>
  <c r="L61" i="3"/>
  <c r="I61" i="3"/>
  <c r="X60" i="3"/>
  <c r="R60" i="3"/>
  <c r="N60" i="3"/>
  <c r="L60" i="3"/>
  <c r="I60" i="3"/>
  <c r="X59" i="3"/>
  <c r="R59" i="3"/>
  <c r="N59" i="3"/>
  <c r="L59" i="3"/>
  <c r="I59" i="3"/>
  <c r="X58" i="3"/>
  <c r="R58" i="3"/>
  <c r="N58" i="3"/>
  <c r="L58" i="3"/>
  <c r="I58" i="3"/>
  <c r="X57" i="3"/>
  <c r="R57" i="3"/>
  <c r="N57" i="3"/>
  <c r="L57" i="3"/>
  <c r="I57" i="3"/>
  <c r="X56" i="3"/>
  <c r="R56" i="3"/>
  <c r="N56" i="3"/>
  <c r="L56" i="3"/>
  <c r="I56" i="3"/>
  <c r="X55" i="3"/>
  <c r="Y55" i="3" s="1"/>
  <c r="V55" i="3"/>
  <c r="R55" i="3"/>
  <c r="S55" i="3" s="1"/>
  <c r="T55" i="3" s="1"/>
  <c r="N55" i="3"/>
  <c r="L55" i="3"/>
  <c r="I55" i="3"/>
  <c r="X54" i="3"/>
  <c r="R54" i="3"/>
  <c r="N54" i="3"/>
  <c r="L54" i="3"/>
  <c r="I54" i="3"/>
  <c r="X53" i="3"/>
  <c r="R53" i="3"/>
  <c r="N53" i="3"/>
  <c r="L53" i="3"/>
  <c r="I53" i="3"/>
  <c r="X52" i="3"/>
  <c r="R52" i="3"/>
  <c r="N52" i="3"/>
  <c r="L52" i="3"/>
  <c r="I52" i="3"/>
  <c r="X51" i="3"/>
  <c r="R51" i="3"/>
  <c r="N51" i="3"/>
  <c r="L51" i="3"/>
  <c r="I51" i="3"/>
  <c r="X50" i="3"/>
  <c r="R50" i="3"/>
  <c r="N50" i="3"/>
  <c r="L50" i="3"/>
  <c r="I50" i="3"/>
  <c r="X49" i="3"/>
  <c r="R49" i="3"/>
  <c r="N49" i="3"/>
  <c r="L49" i="3"/>
  <c r="I49" i="3"/>
  <c r="X48" i="3"/>
  <c r="R48" i="3"/>
  <c r="N48" i="3"/>
  <c r="L48" i="3"/>
  <c r="I48" i="3"/>
  <c r="X47" i="3"/>
  <c r="R47" i="3"/>
  <c r="N47" i="3"/>
  <c r="L47" i="3"/>
  <c r="I47" i="3"/>
  <c r="X46" i="3"/>
  <c r="R46" i="3"/>
  <c r="N46" i="3"/>
  <c r="L46" i="3"/>
  <c r="I46" i="3"/>
  <c r="X45" i="3"/>
  <c r="R45" i="3"/>
  <c r="N45" i="3"/>
  <c r="L45" i="3"/>
  <c r="I45" i="3"/>
  <c r="X44" i="3"/>
  <c r="R44" i="3"/>
  <c r="N44" i="3"/>
  <c r="L44" i="3"/>
  <c r="I44" i="3"/>
  <c r="X43" i="3"/>
  <c r="R43" i="3"/>
  <c r="N43" i="3"/>
  <c r="L43" i="3"/>
  <c r="I43" i="3"/>
  <c r="X42" i="3"/>
  <c r="R42" i="3"/>
  <c r="N42" i="3"/>
  <c r="L42" i="3"/>
  <c r="I42" i="3"/>
  <c r="X41" i="3"/>
  <c r="R41" i="3"/>
  <c r="N41" i="3"/>
  <c r="L41" i="3"/>
  <c r="I41" i="3"/>
  <c r="X40" i="3"/>
  <c r="R40" i="3"/>
  <c r="N40" i="3"/>
  <c r="L40" i="3"/>
  <c r="I40" i="3"/>
  <c r="X39" i="3"/>
  <c r="R39" i="3"/>
  <c r="N39" i="3"/>
  <c r="L39" i="3"/>
  <c r="I39" i="3"/>
  <c r="X38" i="3"/>
  <c r="R38" i="3"/>
  <c r="N38" i="3"/>
  <c r="L38" i="3"/>
  <c r="I38" i="3"/>
  <c r="X37" i="3"/>
  <c r="Y37" i="3" s="1"/>
  <c r="V37" i="3"/>
  <c r="R37" i="3"/>
  <c r="S37" i="3" s="1"/>
  <c r="T37" i="3" s="1"/>
  <c r="N37" i="3"/>
  <c r="L37" i="3"/>
  <c r="I37" i="3"/>
  <c r="X36" i="3"/>
  <c r="Y36" i="3" s="1"/>
  <c r="V36" i="3"/>
  <c r="R36" i="3"/>
  <c r="S36" i="3" s="1"/>
  <c r="T36" i="3" s="1"/>
  <c r="N36" i="3"/>
  <c r="L36" i="3"/>
  <c r="I36" i="3"/>
  <c r="X35" i="3"/>
  <c r="R35" i="3"/>
  <c r="N35" i="3"/>
  <c r="L35" i="3"/>
  <c r="I35" i="3"/>
  <c r="X34" i="3"/>
  <c r="R34" i="3"/>
  <c r="N34" i="3"/>
  <c r="L34" i="3"/>
  <c r="I34" i="3"/>
  <c r="X33" i="3"/>
  <c r="R33" i="3"/>
  <c r="N33" i="3"/>
  <c r="L33" i="3"/>
  <c r="I33" i="3"/>
  <c r="X32" i="3"/>
  <c r="R32" i="3"/>
  <c r="N32" i="3"/>
  <c r="L32" i="3"/>
  <c r="I32" i="3"/>
  <c r="X31" i="3"/>
  <c r="R31" i="3"/>
  <c r="N31" i="3"/>
  <c r="L31" i="3"/>
  <c r="I31" i="3"/>
  <c r="X30" i="3"/>
  <c r="R30" i="3"/>
  <c r="N30" i="3"/>
  <c r="L30" i="3"/>
  <c r="I30" i="3"/>
  <c r="X29" i="3"/>
  <c r="R29" i="3"/>
  <c r="N29" i="3"/>
  <c r="L29" i="3"/>
  <c r="I29" i="3"/>
  <c r="X28" i="3"/>
  <c r="R28" i="3"/>
  <c r="N28" i="3"/>
  <c r="L28" i="3"/>
  <c r="I28" i="3"/>
  <c r="X27" i="3"/>
  <c r="Y27" i="3" s="1"/>
  <c r="V27" i="3"/>
  <c r="R27" i="3"/>
  <c r="S27" i="3" s="1"/>
  <c r="T27" i="3" s="1"/>
  <c r="N27" i="3"/>
  <c r="L27" i="3"/>
  <c r="I27" i="3"/>
  <c r="X26" i="3"/>
  <c r="R26" i="3"/>
  <c r="N26" i="3"/>
  <c r="L26" i="3"/>
  <c r="I26" i="3"/>
  <c r="X25" i="3"/>
  <c r="R25" i="3"/>
  <c r="N25" i="3"/>
  <c r="L25" i="3"/>
  <c r="I25" i="3"/>
  <c r="X24" i="3"/>
  <c r="R24" i="3"/>
  <c r="N24" i="3"/>
  <c r="L24" i="3"/>
  <c r="I24" i="3"/>
  <c r="X23" i="3"/>
  <c r="R23" i="3"/>
  <c r="N23" i="3"/>
  <c r="L23" i="3"/>
  <c r="I23" i="3"/>
  <c r="I20" i="3"/>
  <c r="W19" i="3"/>
  <c r="P19" i="3"/>
  <c r="M19" i="3"/>
  <c r="K19" i="3"/>
  <c r="K230" i="3" s="1"/>
  <c r="J19" i="3"/>
  <c r="H19" i="3"/>
  <c r="H230" i="3" s="1"/>
  <c r="F19" i="3"/>
  <c r="F230" i="3" s="1"/>
  <c r="X17" i="3"/>
  <c r="R17" i="3"/>
  <c r="N17" i="3"/>
  <c r="L17" i="3"/>
  <c r="I17" i="3"/>
  <c r="X16" i="3"/>
  <c r="R16" i="3"/>
  <c r="N16" i="3"/>
  <c r="L16" i="3"/>
  <c r="I16" i="3"/>
  <c r="X15" i="3"/>
  <c r="R15" i="3"/>
  <c r="N15" i="3"/>
  <c r="L15" i="3"/>
  <c r="I15" i="3"/>
  <c r="X14" i="3"/>
  <c r="R14" i="3"/>
  <c r="N14" i="3"/>
  <c r="L14" i="3"/>
  <c r="I14" i="3"/>
  <c r="X13" i="3"/>
  <c r="R13" i="3"/>
  <c r="N13" i="3"/>
  <c r="L13" i="3"/>
  <c r="I13" i="3"/>
  <c r="X12" i="3"/>
  <c r="R12" i="3"/>
  <c r="N12" i="3"/>
  <c r="L12" i="3"/>
  <c r="I12" i="3"/>
  <c r="X11" i="3"/>
  <c r="R11" i="3"/>
  <c r="N11" i="3"/>
  <c r="L11" i="3"/>
  <c r="I11" i="3"/>
  <c r="X10" i="3"/>
  <c r="R10" i="3"/>
  <c r="N10" i="3"/>
  <c r="L10" i="3"/>
  <c r="I10" i="3"/>
  <c r="X9" i="3"/>
  <c r="R9" i="3"/>
  <c r="N9" i="3"/>
  <c r="L9" i="3"/>
  <c r="I9" i="3"/>
  <c r="X8" i="3"/>
  <c r="R8" i="3"/>
  <c r="N8" i="3"/>
  <c r="L8" i="3"/>
  <c r="I8" i="3"/>
  <c r="X7" i="3"/>
  <c r="R7" i="3"/>
  <c r="N7" i="3"/>
  <c r="L7" i="3"/>
  <c r="I7" i="3"/>
  <c r="T5" i="3"/>
  <c r="S5" i="3"/>
  <c r="R5" i="3"/>
  <c r="Q5" i="3"/>
  <c r="P5" i="3"/>
  <c r="O5" i="3"/>
  <c r="L4" i="3"/>
  <c r="I4" i="3"/>
  <c r="I229" i="3" s="1"/>
  <c r="K1" i="3"/>
  <c r="M71" i="3" l="1"/>
  <c r="M139" i="3"/>
  <c r="N83" i="3"/>
  <c r="M92" i="3"/>
  <c r="M152" i="3"/>
  <c r="M167" i="3"/>
  <c r="O15" i="3"/>
  <c r="Q15" i="3" s="1"/>
  <c r="Y15" i="3" s="1"/>
  <c r="O17" i="3"/>
  <c r="Q17" i="3" s="1"/>
  <c r="Y17" i="3" s="1"/>
  <c r="M97" i="3"/>
  <c r="M106" i="3"/>
  <c r="M126" i="3"/>
  <c r="M103" i="3"/>
  <c r="O107" i="3"/>
  <c r="Q107" i="3" s="1"/>
  <c r="S107" i="3" s="1"/>
  <c r="T107" i="3" s="1"/>
  <c r="M204" i="3"/>
  <c r="G130" i="3"/>
  <c r="O196" i="3"/>
  <c r="M27" i="3"/>
  <c r="T87" i="3"/>
  <c r="M38" i="3"/>
  <c r="M42" i="3"/>
  <c r="M46" i="3"/>
  <c r="M50" i="3"/>
  <c r="M54" i="3"/>
  <c r="M70" i="3"/>
  <c r="O74" i="3"/>
  <c r="Q74" i="3" s="1"/>
  <c r="S74" i="3" s="1"/>
  <c r="T74" i="3" s="1"/>
  <c r="M75" i="3"/>
  <c r="M153" i="3"/>
  <c r="Z168" i="3"/>
  <c r="AA168" i="3" s="1"/>
  <c r="Z184" i="3"/>
  <c r="AA184" i="3" s="1"/>
  <c r="M134" i="3"/>
  <c r="M160" i="3"/>
  <c r="M164" i="3"/>
  <c r="O7" i="3"/>
  <c r="Q7" i="3" s="1"/>
  <c r="M39" i="3"/>
  <c r="M43" i="3"/>
  <c r="M47" i="3"/>
  <c r="M51" i="3"/>
  <c r="M55" i="3"/>
  <c r="M116" i="3"/>
  <c r="O132" i="3"/>
  <c r="Q132" i="3" s="1"/>
  <c r="M136" i="3"/>
  <c r="M154" i="3"/>
  <c r="M159" i="3"/>
  <c r="M163" i="3"/>
  <c r="Z189" i="3"/>
  <c r="AA189" i="3" s="1"/>
  <c r="O194" i="3"/>
  <c r="M196" i="3"/>
  <c r="O204" i="3"/>
  <c r="Q204" i="3" s="1"/>
  <c r="V204" i="3" s="1"/>
  <c r="Q217" i="3"/>
  <c r="R217" i="3" s="1"/>
  <c r="S217" i="3" s="1"/>
  <c r="M61" i="3"/>
  <c r="M81" i="3"/>
  <c r="M195" i="3"/>
  <c r="O24" i="3"/>
  <c r="Q24" i="3" s="1"/>
  <c r="Y24" i="3" s="1"/>
  <c r="M35" i="3"/>
  <c r="Z36" i="3"/>
  <c r="AA36" i="3" s="1"/>
  <c r="O41" i="3"/>
  <c r="Q41" i="3" s="1"/>
  <c r="S41" i="3" s="1"/>
  <c r="T41" i="3" s="1"/>
  <c r="O45" i="3"/>
  <c r="Q45" i="3" s="1"/>
  <c r="Y45" i="3" s="1"/>
  <c r="O49" i="3"/>
  <c r="Q49" i="3" s="1"/>
  <c r="Y49" i="3" s="1"/>
  <c r="O53" i="3"/>
  <c r="Q53" i="3" s="1"/>
  <c r="Y53" i="3" s="1"/>
  <c r="O56" i="3"/>
  <c r="Q56" i="3" s="1"/>
  <c r="S56" i="3" s="1"/>
  <c r="T56" i="3" s="1"/>
  <c r="M60" i="3"/>
  <c r="M65" i="3"/>
  <c r="M69" i="3"/>
  <c r="M72" i="3"/>
  <c r="M102" i="3"/>
  <c r="M105" i="3"/>
  <c r="M117" i="3"/>
  <c r="M125" i="3"/>
  <c r="O174" i="3"/>
  <c r="Q174" i="3" s="1"/>
  <c r="Y174" i="3" s="1"/>
  <c r="Z183" i="3"/>
  <c r="AA183" i="3" s="1"/>
  <c r="M189" i="3"/>
  <c r="L199" i="3"/>
  <c r="L220" i="3" s="1"/>
  <c r="N87" i="3"/>
  <c r="O87" i="3" s="1"/>
  <c r="O9" i="3"/>
  <c r="Q9" i="3" s="1"/>
  <c r="V9" i="3" s="1"/>
  <c r="M25" i="3"/>
  <c r="M26" i="3"/>
  <c r="O36" i="3"/>
  <c r="M45" i="3"/>
  <c r="Z55" i="3"/>
  <c r="AA55" i="3" s="1"/>
  <c r="M77" i="3"/>
  <c r="N82" i="3"/>
  <c r="O82" i="3" s="1"/>
  <c r="Q82" i="3" s="1"/>
  <c r="S82" i="3" s="1"/>
  <c r="T82" i="3" s="1"/>
  <c r="T86" i="3"/>
  <c r="M90" i="3"/>
  <c r="M99" i="3"/>
  <c r="O109" i="3"/>
  <c r="Q109" i="3" s="1"/>
  <c r="V109" i="3" s="1"/>
  <c r="M113" i="3"/>
  <c r="M124" i="3"/>
  <c r="Z162" i="3"/>
  <c r="AA162" i="3" s="1"/>
  <c r="M190" i="3"/>
  <c r="O203" i="3"/>
  <c r="M206" i="3"/>
  <c r="M63" i="3"/>
  <c r="O10" i="3"/>
  <c r="Q10" i="3" s="1"/>
  <c r="Y10" i="3" s="1"/>
  <c r="O16" i="3"/>
  <c r="Q16" i="3" s="1"/>
  <c r="S16" i="3" s="1"/>
  <c r="T16" i="3" s="1"/>
  <c r="M23" i="3"/>
  <c r="M24" i="3"/>
  <c r="M28" i="3"/>
  <c r="M29" i="3"/>
  <c r="M32" i="3"/>
  <c r="M33" i="3"/>
  <c r="Z91" i="3"/>
  <c r="AA91" i="3" s="1"/>
  <c r="M93" i="3"/>
  <c r="M101" i="3"/>
  <c r="O105" i="3"/>
  <c r="Q105" i="3" s="1"/>
  <c r="Y105" i="3" s="1"/>
  <c r="M107" i="3"/>
  <c r="M110" i="3"/>
  <c r="O116" i="3"/>
  <c r="Q116" i="3" s="1"/>
  <c r="Y116" i="3" s="1"/>
  <c r="M121" i="3"/>
  <c r="M122" i="3"/>
  <c r="M137" i="3"/>
  <c r="M140" i="3"/>
  <c r="M142" i="3"/>
  <c r="L155" i="3"/>
  <c r="L216" i="3" s="1"/>
  <c r="N169" i="3"/>
  <c r="Z185" i="3"/>
  <c r="AA185" i="3" s="1"/>
  <c r="R207" i="3"/>
  <c r="R147" i="3"/>
  <c r="O138" i="3"/>
  <c r="Q138" i="3" s="1"/>
  <c r="Y138" i="3" s="1"/>
  <c r="O153" i="3"/>
  <c r="Q153" i="3" s="1"/>
  <c r="Y153" i="3" s="1"/>
  <c r="M185" i="3"/>
  <c r="M114" i="3"/>
  <c r="O113" i="3"/>
  <c r="Q113" i="3" s="1"/>
  <c r="V113" i="3" s="1"/>
  <c r="O110" i="3"/>
  <c r="Q110" i="3" s="1"/>
  <c r="V110" i="3" s="1"/>
  <c r="O119" i="3"/>
  <c r="Q119" i="3" s="1"/>
  <c r="V119" i="3" s="1"/>
  <c r="M119" i="3"/>
  <c r="N145" i="3"/>
  <c r="O145" i="3" s="1"/>
  <c r="Q145" i="3" s="1"/>
  <c r="M145" i="3"/>
  <c r="I155" i="3"/>
  <c r="I216" i="3" s="1"/>
  <c r="M150" i="3"/>
  <c r="I19" i="3"/>
  <c r="I230" i="3" s="1"/>
  <c r="O111" i="3"/>
  <c r="Q111" i="3" s="1"/>
  <c r="S111" i="3" s="1"/>
  <c r="T111" i="3" s="1"/>
  <c r="M111" i="3"/>
  <c r="O123" i="3"/>
  <c r="Q123" i="3" s="1"/>
  <c r="S123" i="3" s="1"/>
  <c r="M123" i="3"/>
  <c r="O162" i="3"/>
  <c r="M162" i="3"/>
  <c r="M98" i="3"/>
  <c r="O98" i="3"/>
  <c r="Q98" i="3" s="1"/>
  <c r="V98" i="3" s="1"/>
  <c r="O128" i="3"/>
  <c r="Q128" i="3" s="1"/>
  <c r="S128" i="3" s="1"/>
  <c r="T128" i="3" s="1"/>
  <c r="M128" i="3"/>
  <c r="O143" i="3"/>
  <c r="Q143" i="3" s="1"/>
  <c r="S143" i="3" s="1"/>
  <c r="T143" i="3" s="1"/>
  <c r="M143" i="3"/>
  <c r="Z164" i="3"/>
  <c r="AA164" i="3" s="1"/>
  <c r="Z166" i="3"/>
  <c r="AA166" i="3" s="1"/>
  <c r="Z182" i="3"/>
  <c r="AA182" i="3" s="1"/>
  <c r="Z188" i="3"/>
  <c r="AA188" i="3" s="1"/>
  <c r="O173" i="3"/>
  <c r="Q173" i="3" s="1"/>
  <c r="V173" i="3" s="1"/>
  <c r="I177" i="3"/>
  <c r="M173" i="3"/>
  <c r="O59" i="3"/>
  <c r="Q59" i="3" s="1"/>
  <c r="V59" i="3" s="1"/>
  <c r="M59" i="3"/>
  <c r="O11" i="3"/>
  <c r="Q11" i="3" s="1"/>
  <c r="Y11" i="3" s="1"/>
  <c r="M41" i="3"/>
  <c r="M49" i="3"/>
  <c r="M53" i="3"/>
  <c r="O57" i="3"/>
  <c r="Q57" i="3" s="1"/>
  <c r="S57" i="3" s="1"/>
  <c r="T57" i="3" s="1"/>
  <c r="M57" i="3"/>
  <c r="O67" i="3"/>
  <c r="Q67" i="3" s="1"/>
  <c r="V67" i="3" s="1"/>
  <c r="M73" i="3"/>
  <c r="O76" i="3"/>
  <c r="Q76" i="3" s="1"/>
  <c r="S76" i="3" s="1"/>
  <c r="T76" i="3" s="1"/>
  <c r="M78" i="3"/>
  <c r="Z90" i="3"/>
  <c r="O95" i="3"/>
  <c r="Q95" i="3" s="1"/>
  <c r="S95" i="3" s="1"/>
  <c r="T95" i="3" s="1"/>
  <c r="M95" i="3"/>
  <c r="O104" i="3"/>
  <c r="Q104" i="3" s="1"/>
  <c r="S104" i="3" s="1"/>
  <c r="T104" i="3" s="1"/>
  <c r="M104" i="3"/>
  <c r="M109" i="3"/>
  <c r="R155" i="3"/>
  <c r="N205" i="3"/>
  <c r="N207" i="3" s="1"/>
  <c r="M205" i="3"/>
  <c r="M168" i="3"/>
  <c r="O183" i="3"/>
  <c r="M4" i="3"/>
  <c r="N4" i="3" s="1"/>
  <c r="O13" i="3"/>
  <c r="Q13" i="3" s="1"/>
  <c r="Y13" i="3" s="1"/>
  <c r="O27" i="3"/>
  <c r="O30" i="3"/>
  <c r="Q30" i="3" s="1"/>
  <c r="V30" i="3" s="1"/>
  <c r="O34" i="3"/>
  <c r="Q34" i="3" s="1"/>
  <c r="Y34" i="3" s="1"/>
  <c r="M36" i="3"/>
  <c r="O39" i="3"/>
  <c r="Q39" i="3" s="1"/>
  <c r="Y39" i="3" s="1"/>
  <c r="O43" i="3"/>
  <c r="Q43" i="3" s="1"/>
  <c r="V43" i="3" s="1"/>
  <c r="O47" i="3"/>
  <c r="Q47" i="3" s="1"/>
  <c r="V47" i="3" s="1"/>
  <c r="O51" i="3"/>
  <c r="Q51" i="3" s="1"/>
  <c r="V51" i="3" s="1"/>
  <c r="O55" i="3"/>
  <c r="O62" i="3"/>
  <c r="Q62" i="3" s="1"/>
  <c r="V62" i="3" s="1"/>
  <c r="O66" i="3"/>
  <c r="Q66" i="3" s="1"/>
  <c r="S66" i="3" s="1"/>
  <c r="T66" i="3" s="1"/>
  <c r="M68" i="3"/>
  <c r="O72" i="3"/>
  <c r="Q72" i="3" s="1"/>
  <c r="V72" i="3" s="1"/>
  <c r="M74" i="3"/>
  <c r="T84" i="3"/>
  <c r="T85" i="3"/>
  <c r="M91" i="3"/>
  <c r="M96" i="3"/>
  <c r="O102" i="3"/>
  <c r="Q102" i="3" s="1"/>
  <c r="O103" i="3"/>
  <c r="Q103" i="3" s="1"/>
  <c r="Y103" i="3" s="1"/>
  <c r="M115" i="3"/>
  <c r="M120" i="3"/>
  <c r="O122" i="3"/>
  <c r="Q122" i="3" s="1"/>
  <c r="S122" i="3" s="1"/>
  <c r="O126" i="3"/>
  <c r="Q126" i="3" s="1"/>
  <c r="V126" i="3" s="1"/>
  <c r="M132" i="3"/>
  <c r="O133" i="3"/>
  <c r="Q133" i="3" s="1"/>
  <c r="Y133" i="3" s="1"/>
  <c r="O136" i="3"/>
  <c r="Q136" i="3" s="1"/>
  <c r="V136" i="3" s="1"/>
  <c r="M138" i="3"/>
  <c r="O146" i="3"/>
  <c r="Q146" i="3" s="1"/>
  <c r="V146" i="3" s="1"/>
  <c r="N155" i="3"/>
  <c r="O163" i="3"/>
  <c r="M174" i="3"/>
  <c r="O176" i="3"/>
  <c r="Q176" i="3" s="1"/>
  <c r="S176" i="3" s="1"/>
  <c r="T176" i="3" s="1"/>
  <c r="R191" i="3"/>
  <c r="Z181" i="3"/>
  <c r="AA181" i="3" s="1"/>
  <c r="Z195" i="3"/>
  <c r="AA195" i="3" s="1"/>
  <c r="R177" i="3"/>
  <c r="R19" i="3"/>
  <c r="O14" i="3"/>
  <c r="Q14" i="3" s="1"/>
  <c r="S14" i="3" s="1"/>
  <c r="T14" i="3" s="1"/>
  <c r="O25" i="3"/>
  <c r="Q25" i="3" s="1"/>
  <c r="V25" i="3" s="1"/>
  <c r="O28" i="3"/>
  <c r="Q28" i="3" s="1"/>
  <c r="V28" i="3" s="1"/>
  <c r="M30" i="3"/>
  <c r="M31" i="3"/>
  <c r="M34" i="3"/>
  <c r="M40" i="3"/>
  <c r="M44" i="3"/>
  <c r="M48" i="3"/>
  <c r="M52" i="3"/>
  <c r="O58" i="3"/>
  <c r="Q58" i="3" s="1"/>
  <c r="Y58" i="3" s="1"/>
  <c r="O61" i="3"/>
  <c r="Q61" i="3" s="1"/>
  <c r="Y61" i="3" s="1"/>
  <c r="M66" i="3"/>
  <c r="M67" i="3"/>
  <c r="M76" i="3"/>
  <c r="T88" i="3"/>
  <c r="M94" i="3"/>
  <c r="O97" i="3"/>
  <c r="Q97" i="3" s="1"/>
  <c r="Y97" i="3" s="1"/>
  <c r="M100" i="3"/>
  <c r="M108" i="3"/>
  <c r="O121" i="3"/>
  <c r="Q121" i="3" s="1"/>
  <c r="V121" i="3" s="1"/>
  <c r="O124" i="3"/>
  <c r="Q124" i="3" s="1"/>
  <c r="S124" i="3" s="1"/>
  <c r="M146" i="3"/>
  <c r="O151" i="3"/>
  <c r="Q151" i="3" s="1"/>
  <c r="V151" i="3" s="1"/>
  <c r="O160" i="3"/>
  <c r="Z160" i="3"/>
  <c r="AA160" i="3" s="1"/>
  <c r="O161" i="3"/>
  <c r="Z161" i="3"/>
  <c r="AA161" i="3" s="1"/>
  <c r="Z165" i="3"/>
  <c r="AA165" i="3" s="1"/>
  <c r="O167" i="3"/>
  <c r="M176" i="3"/>
  <c r="S180" i="3"/>
  <c r="T180" i="3" s="1"/>
  <c r="Z180" i="3" s="1"/>
  <c r="AA180" i="3" s="1"/>
  <c r="Z187" i="3"/>
  <c r="AA187" i="3" s="1"/>
  <c r="R199" i="3"/>
  <c r="V199" i="3"/>
  <c r="V220" i="3" s="1"/>
  <c r="Z197" i="3"/>
  <c r="AA197" i="3" s="1"/>
  <c r="L207" i="3"/>
  <c r="L221" i="3" s="1"/>
  <c r="Y9" i="3"/>
  <c r="V24" i="3"/>
  <c r="Z27" i="3"/>
  <c r="AA27" i="3" s="1"/>
  <c r="Z37" i="3"/>
  <c r="AA37" i="3" s="1"/>
  <c r="V66" i="3"/>
  <c r="V122" i="3"/>
  <c r="O8" i="3"/>
  <c r="Q8" i="3" s="1"/>
  <c r="O12" i="3"/>
  <c r="Q12" i="3" s="1"/>
  <c r="V45" i="3"/>
  <c r="Y107" i="3"/>
  <c r="S10" i="3"/>
  <c r="T10" i="3" s="1"/>
  <c r="S15" i="3"/>
  <c r="T15" i="3" s="1"/>
  <c r="V17" i="3"/>
  <c r="L19" i="3"/>
  <c r="L213" i="3" s="1"/>
  <c r="V10" i="3"/>
  <c r="N19" i="3"/>
  <c r="O26" i="3"/>
  <c r="Q26" i="3" s="1"/>
  <c r="O32" i="3"/>
  <c r="Q32" i="3" s="1"/>
  <c r="O37" i="3"/>
  <c r="M37" i="3"/>
  <c r="S109" i="3"/>
  <c r="T109" i="3" s="1"/>
  <c r="O29" i="3"/>
  <c r="Q29" i="3" s="1"/>
  <c r="O31" i="3"/>
  <c r="Q31" i="3" s="1"/>
  <c r="O40" i="3"/>
  <c r="Q40" i="3" s="1"/>
  <c r="O42" i="3"/>
  <c r="Q42" i="3" s="1"/>
  <c r="O46" i="3"/>
  <c r="Q46" i="3" s="1"/>
  <c r="O65" i="3"/>
  <c r="Q65" i="3" s="1"/>
  <c r="O73" i="3"/>
  <c r="Q73" i="3" s="1"/>
  <c r="N79" i="3"/>
  <c r="O96" i="3"/>
  <c r="Q96" i="3" s="1"/>
  <c r="O120" i="3"/>
  <c r="Q120" i="3" s="1"/>
  <c r="M135" i="3"/>
  <c r="O135" i="3"/>
  <c r="Q135" i="3" s="1"/>
  <c r="I129" i="3"/>
  <c r="O23" i="3"/>
  <c r="M56" i="3"/>
  <c r="M58" i="3"/>
  <c r="O63" i="3"/>
  <c r="Q63" i="3" s="1"/>
  <c r="O70" i="3"/>
  <c r="Q70" i="3" s="1"/>
  <c r="O71" i="3"/>
  <c r="Q71" i="3" s="1"/>
  <c r="O75" i="3"/>
  <c r="M79" i="3"/>
  <c r="O83" i="3"/>
  <c r="O90" i="3"/>
  <c r="O93" i="3"/>
  <c r="Q93" i="3" s="1"/>
  <c r="O94" i="3"/>
  <c r="Q94" i="3" s="1"/>
  <c r="O101" i="3"/>
  <c r="Q101" i="3" s="1"/>
  <c r="M112" i="3"/>
  <c r="O112" i="3"/>
  <c r="Q112" i="3" s="1"/>
  <c r="O137" i="3"/>
  <c r="Q137" i="3" s="1"/>
  <c r="O139" i="3"/>
  <c r="Q139" i="3" s="1"/>
  <c r="O140" i="3"/>
  <c r="Q140" i="3" s="1"/>
  <c r="O142" i="3"/>
  <c r="Q142" i="3" s="1"/>
  <c r="M144" i="3"/>
  <c r="O144" i="3"/>
  <c r="Q144" i="3" s="1"/>
  <c r="O154" i="3"/>
  <c r="Q154" i="3" s="1"/>
  <c r="S169" i="3"/>
  <c r="N234" i="3" s="1"/>
  <c r="F234" i="3"/>
  <c r="K234" i="3"/>
  <c r="M194" i="3"/>
  <c r="I199" i="3"/>
  <c r="M118" i="3"/>
  <c r="O118" i="3"/>
  <c r="Q118" i="3" s="1"/>
  <c r="M182" i="3"/>
  <c r="O182" i="3"/>
  <c r="O33" i="3"/>
  <c r="Q33" i="3" s="1"/>
  <c r="O35" i="3"/>
  <c r="Q35" i="3" s="1"/>
  <c r="O38" i="3"/>
  <c r="Q38" i="3" s="1"/>
  <c r="O44" i="3"/>
  <c r="Q44" i="3" s="1"/>
  <c r="O48" i="3"/>
  <c r="Q48" i="3" s="1"/>
  <c r="O50" i="3"/>
  <c r="Q50" i="3" s="1"/>
  <c r="O52" i="3"/>
  <c r="Q52" i="3" s="1"/>
  <c r="O54" i="3"/>
  <c r="Q54" i="3" s="1"/>
  <c r="O77" i="3"/>
  <c r="Q77" i="3" s="1"/>
  <c r="S77" i="3" s="1"/>
  <c r="T77" i="3" s="1"/>
  <c r="N80" i="3"/>
  <c r="M80" i="3"/>
  <c r="O106" i="3"/>
  <c r="Q106" i="3" s="1"/>
  <c r="Y136" i="3"/>
  <c r="F147" i="3"/>
  <c r="F232" i="3" s="1"/>
  <c r="I141" i="3"/>
  <c r="I147" i="3" s="1"/>
  <c r="M180" i="3"/>
  <c r="O180" i="3"/>
  <c r="I191" i="3"/>
  <c r="T203" i="3"/>
  <c r="L129" i="3"/>
  <c r="L214" i="3" s="1"/>
  <c r="O60" i="3"/>
  <c r="Q60" i="3" s="1"/>
  <c r="M62" i="3"/>
  <c r="O68" i="3"/>
  <c r="Q68" i="3" s="1"/>
  <c r="O69" i="3"/>
  <c r="Q69" i="3" s="1"/>
  <c r="O78" i="3"/>
  <c r="Q78" i="3" s="1"/>
  <c r="S78" i="3" s="1"/>
  <c r="T78" i="3" s="1"/>
  <c r="R83" i="3"/>
  <c r="S83" i="3" s="1"/>
  <c r="T83" i="3" s="1"/>
  <c r="K129" i="3"/>
  <c r="K231" i="3" s="1"/>
  <c r="N86" i="3"/>
  <c r="O86" i="3" s="1"/>
  <c r="O91" i="3"/>
  <c r="O92" i="3"/>
  <c r="Q92" i="3" s="1"/>
  <c r="O99" i="3"/>
  <c r="Q99" i="3" s="1"/>
  <c r="O100" i="3"/>
  <c r="Q100" i="3" s="1"/>
  <c r="O108" i="3"/>
  <c r="Q108" i="3" s="1"/>
  <c r="O115" i="3"/>
  <c r="Q115" i="3" s="1"/>
  <c r="O125" i="3"/>
  <c r="Q125" i="3" s="1"/>
  <c r="M127" i="3"/>
  <c r="O127" i="3"/>
  <c r="Q127" i="3" s="1"/>
  <c r="M133" i="3"/>
  <c r="N141" i="3"/>
  <c r="L147" i="3"/>
  <c r="L215" i="3" s="1"/>
  <c r="T159" i="3"/>
  <c r="M166" i="3"/>
  <c r="O166" i="3"/>
  <c r="M187" i="3"/>
  <c r="O187" i="3"/>
  <c r="G238" i="3"/>
  <c r="G239" i="3" s="1"/>
  <c r="G210" i="3"/>
  <c r="O81" i="3"/>
  <c r="Q81" i="3" s="1"/>
  <c r="S81" i="3" s="1"/>
  <c r="T81" i="3" s="1"/>
  <c r="O152" i="3"/>
  <c r="Q152" i="3" s="1"/>
  <c r="Z163" i="3"/>
  <c r="AA163" i="3" s="1"/>
  <c r="S173" i="3"/>
  <c r="T173" i="3" s="1"/>
  <c r="M184" i="3"/>
  <c r="O184" i="3"/>
  <c r="O114" i="3"/>
  <c r="Q114" i="3" s="1"/>
  <c r="O117" i="3"/>
  <c r="Q117" i="3" s="1"/>
  <c r="O134" i="3"/>
  <c r="Q134" i="3" s="1"/>
  <c r="O150" i="3"/>
  <c r="M151" i="3"/>
  <c r="M161" i="3"/>
  <c r="M165" i="3"/>
  <c r="O165" i="3"/>
  <c r="Z167" i="3"/>
  <c r="AA167" i="3" s="1"/>
  <c r="N177" i="3"/>
  <c r="M188" i="3"/>
  <c r="O188" i="3"/>
  <c r="O189" i="3"/>
  <c r="M197" i="3"/>
  <c r="O197" i="3"/>
  <c r="H237" i="3"/>
  <c r="Q220" i="3"/>
  <c r="R220" i="3" s="1"/>
  <c r="S220" i="3" s="1"/>
  <c r="L237" i="3"/>
  <c r="I169" i="3"/>
  <c r="O159" i="3"/>
  <c r="V169" i="3"/>
  <c r="V217" i="3" s="1"/>
  <c r="O172" i="3"/>
  <c r="O181" i="3"/>
  <c r="Z196" i="3"/>
  <c r="AA196" i="3" s="1"/>
  <c r="J210" i="3"/>
  <c r="L169" i="3"/>
  <c r="L217" i="3" s="1"/>
  <c r="R169" i="3"/>
  <c r="O164" i="3"/>
  <c r="O168" i="3"/>
  <c r="Z172" i="3"/>
  <c r="AA172" i="3" s="1"/>
  <c r="O175" i="3"/>
  <c r="Q175" i="3" s="1"/>
  <c r="M175" i="3"/>
  <c r="H191" i="3"/>
  <c r="H236" i="3" s="1"/>
  <c r="H235" i="3"/>
  <c r="L191" i="3"/>
  <c r="L219" i="3" s="1"/>
  <c r="N199" i="3"/>
  <c r="T199" i="3"/>
  <c r="Z194" i="3"/>
  <c r="AA194" i="3" s="1"/>
  <c r="I207" i="3"/>
  <c r="M203" i="3"/>
  <c r="O185" i="3"/>
  <c r="O195" i="3"/>
  <c r="N191" i="3"/>
  <c r="M181" i="3"/>
  <c r="M183" i="3"/>
  <c r="O190" i="3"/>
  <c r="Q190" i="3" s="1"/>
  <c r="S199" i="3"/>
  <c r="N237" i="3" s="1"/>
  <c r="O206" i="3"/>
  <c r="Q206" i="3" s="1"/>
  <c r="Y56" i="3" l="1"/>
  <c r="Y151" i="3"/>
  <c r="Y41" i="3"/>
  <c r="I213" i="3"/>
  <c r="N147" i="3"/>
  <c r="V103" i="3"/>
  <c r="Y98" i="3"/>
  <c r="S59" i="3"/>
  <c r="T59" i="3" s="1"/>
  <c r="S67" i="3"/>
  <c r="T67" i="3" s="1"/>
  <c r="Z67" i="3" s="1"/>
  <c r="AA67" i="3" s="1"/>
  <c r="Y67" i="3"/>
  <c r="Y121" i="3"/>
  <c r="S34" i="3"/>
  <c r="T34" i="3" s="1"/>
  <c r="Z34" i="3" s="1"/>
  <c r="AA34" i="3" s="1"/>
  <c r="V107" i="3"/>
  <c r="S47" i="3"/>
  <c r="T47" i="3" s="1"/>
  <c r="V74" i="3"/>
  <c r="V16" i="3"/>
  <c r="V49" i="3"/>
  <c r="S151" i="3"/>
  <c r="T151" i="3" s="1"/>
  <c r="Y59" i="3"/>
  <c r="S136" i="3"/>
  <c r="T136" i="3" s="1"/>
  <c r="Y47" i="3"/>
  <c r="S9" i="3"/>
  <c r="T9" i="3" s="1"/>
  <c r="Z9" i="3" s="1"/>
  <c r="AA9" i="3" s="1"/>
  <c r="Y204" i="3"/>
  <c r="S204" i="3"/>
  <c r="T204" i="3" s="1"/>
  <c r="S17" i="3"/>
  <c r="T17" i="3" s="1"/>
  <c r="Y28" i="3"/>
  <c r="S30" i="3"/>
  <c r="T30" i="3" s="1"/>
  <c r="V105" i="3"/>
  <c r="I233" i="3"/>
  <c r="S62" i="3"/>
  <c r="T62" i="3" s="1"/>
  <c r="V56" i="3"/>
  <c r="V41" i="3"/>
  <c r="Z151" i="3"/>
  <c r="AA151" i="3" s="1"/>
  <c r="Y173" i="3"/>
  <c r="Z173" i="3" s="1"/>
  <c r="AA173" i="3" s="1"/>
  <c r="S116" i="3"/>
  <c r="T116" i="3" s="1"/>
  <c r="Z116" i="3" s="1"/>
  <c r="AA116" i="3" s="1"/>
  <c r="S121" i="3"/>
  <c r="T121" i="3" s="1"/>
  <c r="Z121" i="3" s="1"/>
  <c r="AA121" i="3" s="1"/>
  <c r="V34" i="3"/>
  <c r="V15" i="3"/>
  <c r="Y95" i="3"/>
  <c r="Y66" i="3"/>
  <c r="Z66" i="3" s="1"/>
  <c r="AA66" i="3" s="1"/>
  <c r="S51" i="3"/>
  <c r="T51" i="3" s="1"/>
  <c r="Y14" i="3"/>
  <c r="S126" i="3"/>
  <c r="T126" i="3" s="1"/>
  <c r="V153" i="3"/>
  <c r="V13" i="3"/>
  <c r="Y51" i="3"/>
  <c r="S43" i="3"/>
  <c r="T43" i="3" s="1"/>
  <c r="V58" i="3"/>
  <c r="S133" i="3"/>
  <c r="T133" i="3" s="1"/>
  <c r="Z133" i="3" s="1"/>
  <c r="AA133" i="3" s="1"/>
  <c r="V11" i="3"/>
  <c r="Y122" i="3"/>
  <c r="Z122" i="3" s="1"/>
  <c r="AA122" i="3" s="1"/>
  <c r="S113" i="3"/>
  <c r="M207" i="3"/>
  <c r="V123" i="3"/>
  <c r="Y176" i="3"/>
  <c r="S103" i="3"/>
  <c r="T103" i="3" s="1"/>
  <c r="Z103" i="3" s="1"/>
  <c r="AA103" i="3" s="1"/>
  <c r="Y126" i="3"/>
  <c r="V97" i="3"/>
  <c r="S13" i="3"/>
  <c r="T13" i="3" s="1"/>
  <c r="Z13" i="3" s="1"/>
  <c r="AA13" i="3" s="1"/>
  <c r="V95" i="3"/>
  <c r="S53" i="3"/>
  <c r="T53" i="3" s="1"/>
  <c r="Z53" i="3" s="1"/>
  <c r="AA53" i="3" s="1"/>
  <c r="S138" i="3"/>
  <c r="T138" i="3" s="1"/>
  <c r="Y16" i="3"/>
  <c r="Z16" i="3" s="1"/>
  <c r="S11" i="3"/>
  <c r="T11" i="3" s="1"/>
  <c r="Z11" i="3" s="1"/>
  <c r="AA11" i="3" s="1"/>
  <c r="S49" i="3"/>
  <c r="T49" i="3" s="1"/>
  <c r="Z49" i="3" s="1"/>
  <c r="AA49" i="3" s="1"/>
  <c r="K239" i="3"/>
  <c r="K243" i="3" s="1"/>
  <c r="K245" i="3" s="1"/>
  <c r="Y113" i="3"/>
  <c r="Z113" i="3" s="1"/>
  <c r="AA113" i="3" s="1"/>
  <c r="V53" i="3"/>
  <c r="V138" i="3"/>
  <c r="M155" i="3"/>
  <c r="V14" i="3"/>
  <c r="Z47" i="3"/>
  <c r="AA47" i="3" s="1"/>
  <c r="O205" i="3"/>
  <c r="Q205" i="3" s="1"/>
  <c r="V205" i="3" s="1"/>
  <c r="Y111" i="3"/>
  <c r="Z111" i="3" s="1"/>
  <c r="AA111" i="3" s="1"/>
  <c r="V174" i="3"/>
  <c r="S174" i="3"/>
  <c r="T174" i="3" s="1"/>
  <c r="Z174" i="3" s="1"/>
  <c r="AA174" i="3" s="1"/>
  <c r="Y109" i="3"/>
  <c r="Z109" i="3" s="1"/>
  <c r="AA109" i="3" s="1"/>
  <c r="S58" i="3"/>
  <c r="T58" i="3" s="1"/>
  <c r="Z58" i="3" s="1"/>
  <c r="AA58" i="3" s="1"/>
  <c r="S45" i="3"/>
  <c r="T45" i="3" s="1"/>
  <c r="Z45" i="3" s="1"/>
  <c r="AA45" i="3" s="1"/>
  <c r="V133" i="3"/>
  <c r="Y62" i="3"/>
  <c r="Y43" i="3"/>
  <c r="Z43" i="3" s="1"/>
  <c r="AA43" i="3" s="1"/>
  <c r="S24" i="3"/>
  <c r="T24" i="3" s="1"/>
  <c r="Z24" i="3" s="1"/>
  <c r="AA24" i="3" s="1"/>
  <c r="Y30" i="3"/>
  <c r="Z30" i="3" s="1"/>
  <c r="AA30" i="3" s="1"/>
  <c r="S119" i="3"/>
  <c r="T119" i="3" s="1"/>
  <c r="Y104" i="3"/>
  <c r="Z104" i="3" s="1"/>
  <c r="AA104" i="3" s="1"/>
  <c r="S105" i="3"/>
  <c r="T105" i="3" s="1"/>
  <c r="V111" i="3"/>
  <c r="Y119" i="3"/>
  <c r="V104" i="3"/>
  <c r="S98" i="3"/>
  <c r="T98" i="3" s="1"/>
  <c r="Z98" i="3" s="1"/>
  <c r="AA98" i="3" s="1"/>
  <c r="Z95" i="3"/>
  <c r="AA95" i="3" s="1"/>
  <c r="S28" i="3"/>
  <c r="T28" i="3" s="1"/>
  <c r="Z56" i="3"/>
  <c r="AA56" i="3" s="1"/>
  <c r="Z176" i="3"/>
  <c r="AA176" i="3" s="1"/>
  <c r="O199" i="3"/>
  <c r="Q177" i="3"/>
  <c r="Q218" i="3" s="1"/>
  <c r="R218" i="3" s="1"/>
  <c r="S218" i="3" s="1"/>
  <c r="V116" i="3"/>
  <c r="Z17" i="3"/>
  <c r="Z10" i="3"/>
  <c r="AA10" i="3" s="1"/>
  <c r="S72" i="3"/>
  <c r="T72" i="3" s="1"/>
  <c r="Y57" i="3"/>
  <c r="Z57" i="3" s="1"/>
  <c r="AA57" i="3" s="1"/>
  <c r="Z204" i="3"/>
  <c r="AA204" i="3" s="1"/>
  <c r="S153" i="3"/>
  <c r="T153" i="3" s="1"/>
  <c r="Z153" i="3" s="1"/>
  <c r="AA153" i="3" s="1"/>
  <c r="K210" i="3"/>
  <c r="Y123" i="3"/>
  <c r="Z123" i="3" s="1"/>
  <c r="AA123" i="3" s="1"/>
  <c r="S110" i="3"/>
  <c r="Y110" i="3"/>
  <c r="Z110" i="3" s="1"/>
  <c r="AA110" i="3" s="1"/>
  <c r="V124" i="3"/>
  <c r="O177" i="3"/>
  <c r="Z136" i="3"/>
  <c r="AA136" i="3" s="1"/>
  <c r="Y146" i="3"/>
  <c r="S97" i="3"/>
  <c r="T97" i="3" s="1"/>
  <c r="Z97" i="3" s="1"/>
  <c r="AA97" i="3" s="1"/>
  <c r="Z107" i="3"/>
  <c r="AA107" i="3" s="1"/>
  <c r="Y72" i="3"/>
  <c r="V39" i="3"/>
  <c r="S25" i="3"/>
  <c r="T25" i="3" s="1"/>
  <c r="V57" i="3"/>
  <c r="I235" i="3"/>
  <c r="I218" i="3"/>
  <c r="H239" i="3"/>
  <c r="S146" i="3"/>
  <c r="T146" i="3" s="1"/>
  <c r="N129" i="3"/>
  <c r="N210" i="3" s="1"/>
  <c r="M129" i="3"/>
  <c r="R129" i="3"/>
  <c r="R210" i="3" s="1"/>
  <c r="S39" i="3"/>
  <c r="T39" i="3" s="1"/>
  <c r="Z39" i="3" s="1"/>
  <c r="AA39" i="3" s="1"/>
  <c r="Y25" i="3"/>
  <c r="V61" i="3"/>
  <c r="S61" i="3"/>
  <c r="T61" i="3" s="1"/>
  <c r="Z61" i="3" s="1"/>
  <c r="AA61" i="3" s="1"/>
  <c r="V102" i="3"/>
  <c r="S102" i="3"/>
  <c r="T102" i="3" s="1"/>
  <c r="Y102" i="3"/>
  <c r="F239" i="3"/>
  <c r="F245" i="3" s="1"/>
  <c r="V176" i="3"/>
  <c r="Y143" i="3"/>
  <c r="Z143" i="3" s="1"/>
  <c r="AA143" i="3" s="1"/>
  <c r="L210" i="3"/>
  <c r="M211" i="3" s="1"/>
  <c r="M177" i="3"/>
  <c r="M169" i="3"/>
  <c r="V143" i="3"/>
  <c r="Y124" i="3"/>
  <c r="Z124" i="3" s="1"/>
  <c r="AA124" i="3" s="1"/>
  <c r="O79" i="3"/>
  <c r="Q79" i="3" s="1"/>
  <c r="S79" i="3" s="1"/>
  <c r="T79" i="3" s="1"/>
  <c r="Z15" i="3"/>
  <c r="O19" i="3"/>
  <c r="Z138" i="3"/>
  <c r="AA138" i="3" s="1"/>
  <c r="V152" i="3"/>
  <c r="S152" i="3"/>
  <c r="T152" i="3" s="1"/>
  <c r="Y152" i="3"/>
  <c r="Z159" i="3"/>
  <c r="AA159" i="3" s="1"/>
  <c r="T169" i="3"/>
  <c r="V108" i="3"/>
  <c r="Y108" i="3"/>
  <c r="S108" i="3"/>
  <c r="T108" i="3" s="1"/>
  <c r="Y99" i="3"/>
  <c r="S99" i="3"/>
  <c r="T99" i="3" s="1"/>
  <c r="V99" i="3"/>
  <c r="Y68" i="3"/>
  <c r="S68" i="3"/>
  <c r="T68" i="3" s="1"/>
  <c r="V68" i="3"/>
  <c r="I219" i="3"/>
  <c r="I236" i="3"/>
  <c r="V94" i="3"/>
  <c r="Y94" i="3"/>
  <c r="S94" i="3"/>
  <c r="T94" i="3" s="1"/>
  <c r="Y70" i="3"/>
  <c r="S70" i="3"/>
  <c r="T70" i="3" s="1"/>
  <c r="V70" i="3"/>
  <c r="V31" i="3"/>
  <c r="Y31" i="3"/>
  <c r="S31" i="3"/>
  <c r="T31" i="3" s="1"/>
  <c r="Q191" i="3"/>
  <c r="V190" i="3"/>
  <c r="V191" i="3" s="1"/>
  <c r="V219" i="3" s="1"/>
  <c r="Y190" i="3"/>
  <c r="S190" i="3"/>
  <c r="I221" i="3"/>
  <c r="I210" i="3"/>
  <c r="I238" i="3"/>
  <c r="Q150" i="3"/>
  <c r="O155" i="3"/>
  <c r="Y117" i="3"/>
  <c r="S117" i="3"/>
  <c r="T117" i="3" s="1"/>
  <c r="V117" i="3"/>
  <c r="O191" i="3"/>
  <c r="V106" i="3"/>
  <c r="S106" i="3"/>
  <c r="T106" i="3" s="1"/>
  <c r="Y106" i="3"/>
  <c r="Y52" i="3"/>
  <c r="S52" i="3"/>
  <c r="T52" i="3" s="1"/>
  <c r="V52" i="3"/>
  <c r="Y142" i="3"/>
  <c r="S142" i="3"/>
  <c r="T142" i="3" s="1"/>
  <c r="V142" i="3"/>
  <c r="I214" i="3"/>
  <c r="I231" i="3"/>
  <c r="V73" i="3"/>
  <c r="S73" i="3"/>
  <c r="T73" i="3" s="1"/>
  <c r="Y73" i="3"/>
  <c r="S205" i="3"/>
  <c r="T205" i="3" s="1"/>
  <c r="V175" i="3"/>
  <c r="S175" i="3"/>
  <c r="Y175" i="3"/>
  <c r="Y132" i="3"/>
  <c r="S132" i="3"/>
  <c r="V132" i="3"/>
  <c r="V92" i="3"/>
  <c r="Y92" i="3"/>
  <c r="S92" i="3"/>
  <c r="T92" i="3" s="1"/>
  <c r="M191" i="3"/>
  <c r="Z126" i="3"/>
  <c r="AA126" i="3" s="1"/>
  <c r="Y50" i="3"/>
  <c r="V50" i="3"/>
  <c r="S50" i="3"/>
  <c r="T50" i="3" s="1"/>
  <c r="V35" i="3"/>
  <c r="Y35" i="3"/>
  <c r="S35" i="3"/>
  <c r="T35" i="3" s="1"/>
  <c r="Q207" i="3"/>
  <c r="M199" i="3"/>
  <c r="M234" i="3"/>
  <c r="V154" i="3"/>
  <c r="S154" i="3"/>
  <c r="T154" i="3" s="1"/>
  <c r="Y154" i="3"/>
  <c r="Y140" i="3"/>
  <c r="S140" i="3"/>
  <c r="T140" i="3" s="1"/>
  <c r="V140" i="3"/>
  <c r="S112" i="3"/>
  <c r="Y112" i="3"/>
  <c r="Z112" i="3" s="1"/>
  <c r="AA112" i="3" s="1"/>
  <c r="V112" i="3"/>
  <c r="V120" i="3"/>
  <c r="Y120" i="3"/>
  <c r="S120" i="3"/>
  <c r="T120" i="3" s="1"/>
  <c r="V42" i="3"/>
  <c r="Y42" i="3"/>
  <c r="S42" i="3"/>
  <c r="T42" i="3" s="1"/>
  <c r="Y32" i="3"/>
  <c r="S32" i="3"/>
  <c r="T32" i="3" s="1"/>
  <c r="V32" i="3"/>
  <c r="S206" i="3"/>
  <c r="T206" i="3" s="1"/>
  <c r="Y206" i="3"/>
  <c r="V206" i="3"/>
  <c r="I217" i="3"/>
  <c r="I234" i="3"/>
  <c r="I232" i="3"/>
  <c r="I215" i="3"/>
  <c r="S54" i="3"/>
  <c r="T54" i="3" s="1"/>
  <c r="V54" i="3"/>
  <c r="Y54" i="3"/>
  <c r="Y44" i="3"/>
  <c r="V44" i="3"/>
  <c r="S44" i="3"/>
  <c r="T44" i="3" s="1"/>
  <c r="V137" i="3"/>
  <c r="Y137" i="3"/>
  <c r="S137" i="3"/>
  <c r="T137" i="3" s="1"/>
  <c r="Q23" i="3"/>
  <c r="V8" i="3"/>
  <c r="S8" i="3"/>
  <c r="T8" i="3" s="1"/>
  <c r="Y8" i="3"/>
  <c r="L235" i="3"/>
  <c r="Y125" i="3"/>
  <c r="S125" i="3"/>
  <c r="T125" i="3" s="1"/>
  <c r="V125" i="3"/>
  <c r="O80" i="3"/>
  <c r="Q80" i="3" s="1"/>
  <c r="Z203" i="3"/>
  <c r="AA203" i="3" s="1"/>
  <c r="O141" i="3"/>
  <c r="Q141" i="3" s="1"/>
  <c r="M141" i="3"/>
  <c r="M147" i="3" s="1"/>
  <c r="Y38" i="3"/>
  <c r="S38" i="3"/>
  <c r="T38" i="3" s="1"/>
  <c r="V38" i="3"/>
  <c r="I237" i="3"/>
  <c r="I220" i="3"/>
  <c r="Y101" i="3"/>
  <c r="S101" i="3"/>
  <c r="T101" i="3" s="1"/>
  <c r="V101" i="3"/>
  <c r="Y93" i="3"/>
  <c r="S93" i="3"/>
  <c r="T93" i="3" s="1"/>
  <c r="V93" i="3"/>
  <c r="Y46" i="3"/>
  <c r="S46" i="3"/>
  <c r="T46" i="3" s="1"/>
  <c r="V46" i="3"/>
  <c r="V29" i="3"/>
  <c r="Y29" i="3"/>
  <c r="S29" i="3"/>
  <c r="T29" i="3" s="1"/>
  <c r="Y26" i="3"/>
  <c r="S26" i="3"/>
  <c r="T26" i="3" s="1"/>
  <c r="V26" i="3"/>
  <c r="O169" i="3"/>
  <c r="H210" i="3"/>
  <c r="Y134" i="3"/>
  <c r="S134" i="3"/>
  <c r="T134" i="3" s="1"/>
  <c r="V134" i="3"/>
  <c r="V114" i="3"/>
  <c r="Y114" i="3"/>
  <c r="Z114" i="3" s="1"/>
  <c r="AA114" i="3" s="1"/>
  <c r="S114" i="3"/>
  <c r="V145" i="3"/>
  <c r="Y145" i="3"/>
  <c r="S145" i="3"/>
  <c r="T145" i="3" s="1"/>
  <c r="S127" i="3"/>
  <c r="T127" i="3" s="1"/>
  <c r="V127" i="3"/>
  <c r="Y115" i="3"/>
  <c r="S115" i="3"/>
  <c r="T115" i="3" s="1"/>
  <c r="V115" i="3"/>
  <c r="V100" i="3"/>
  <c r="Y100" i="3"/>
  <c r="S100" i="3"/>
  <c r="T100" i="3" s="1"/>
  <c r="V69" i="3"/>
  <c r="S69" i="3"/>
  <c r="T69" i="3" s="1"/>
  <c r="Y69" i="3"/>
  <c r="Y60" i="3"/>
  <c r="S60" i="3"/>
  <c r="T60" i="3" s="1"/>
  <c r="V60" i="3"/>
  <c r="Z59" i="3"/>
  <c r="AA59" i="3" s="1"/>
  <c r="Y48" i="3"/>
  <c r="S48" i="3"/>
  <c r="T48" i="3" s="1"/>
  <c r="V48" i="3"/>
  <c r="V33" i="3"/>
  <c r="S33" i="3"/>
  <c r="T33" i="3" s="1"/>
  <c r="Y33" i="3"/>
  <c r="V118" i="3"/>
  <c r="Y118" i="3"/>
  <c r="S118" i="3"/>
  <c r="T118" i="3" s="1"/>
  <c r="F210" i="3"/>
  <c r="F211" i="3" s="1"/>
  <c r="Y144" i="3"/>
  <c r="S144" i="3"/>
  <c r="T144" i="3" s="1"/>
  <c r="V144" i="3"/>
  <c r="V139" i="3"/>
  <c r="S139" i="3"/>
  <c r="T139" i="3" s="1"/>
  <c r="Y139" i="3"/>
  <c r="V71" i="3"/>
  <c r="Y71" i="3"/>
  <c r="S71" i="3"/>
  <c r="T71" i="3" s="1"/>
  <c r="V63" i="3"/>
  <c r="S63" i="3"/>
  <c r="T63" i="3" s="1"/>
  <c r="Y63" i="3"/>
  <c r="V135" i="3"/>
  <c r="Y135" i="3"/>
  <c r="S135" i="3"/>
  <c r="T135" i="3" s="1"/>
  <c r="V96" i="3"/>
  <c r="S96" i="3"/>
  <c r="T96" i="3" s="1"/>
  <c r="Y96" i="3"/>
  <c r="V65" i="3"/>
  <c r="S65" i="3"/>
  <c r="T65" i="3" s="1"/>
  <c r="Y65" i="3"/>
  <c r="Y40" i="3"/>
  <c r="S40" i="3"/>
  <c r="T40" i="3" s="1"/>
  <c r="V40" i="3"/>
  <c r="Z105" i="3"/>
  <c r="AA105" i="3" s="1"/>
  <c r="L222" i="3"/>
  <c r="L224" i="3" s="1"/>
  <c r="Q19" i="3"/>
  <c r="Y7" i="3"/>
  <c r="S7" i="3"/>
  <c r="V7" i="3"/>
  <c r="V12" i="3"/>
  <c r="S12" i="3"/>
  <c r="T12" i="3" s="1"/>
  <c r="Y12" i="3"/>
  <c r="Z14" i="3"/>
  <c r="AA14" i="3" s="1"/>
  <c r="Z41" i="3"/>
  <c r="AA41" i="3" s="1"/>
  <c r="Z51" i="3" l="1"/>
  <c r="AA51" i="3" s="1"/>
  <c r="Z62" i="3"/>
  <c r="AA62" i="3" s="1"/>
  <c r="Y205" i="3"/>
  <c r="Z28" i="3"/>
  <c r="AA28" i="3" s="1"/>
  <c r="Z100" i="3"/>
  <c r="AA100" i="3" s="1"/>
  <c r="Z115" i="3"/>
  <c r="AA115" i="3" s="1"/>
  <c r="Z26" i="3"/>
  <c r="AA26" i="3" s="1"/>
  <c r="Z101" i="3"/>
  <c r="AA101" i="3" s="1"/>
  <c r="Z125" i="3"/>
  <c r="AA125" i="3" s="1"/>
  <c r="Z32" i="3"/>
  <c r="AA32" i="3" s="1"/>
  <c r="Z140" i="3"/>
  <c r="AA140" i="3" s="1"/>
  <c r="Z35" i="3"/>
  <c r="AA35" i="3" s="1"/>
  <c r="Z152" i="3"/>
  <c r="AA152" i="3" s="1"/>
  <c r="Z50" i="3"/>
  <c r="AA50" i="3" s="1"/>
  <c r="Z108" i="3"/>
  <c r="AA108" i="3" s="1"/>
  <c r="O207" i="3"/>
  <c r="Z72" i="3"/>
  <c r="AA72" i="3" s="1"/>
  <c r="Z119" i="3"/>
  <c r="AA119" i="3" s="1"/>
  <c r="Z117" i="3"/>
  <c r="AA117" i="3" s="1"/>
  <c r="Z71" i="3"/>
  <c r="AA71" i="3" s="1"/>
  <c r="Z144" i="3"/>
  <c r="AA144" i="3" s="1"/>
  <c r="Z93" i="3"/>
  <c r="AA93" i="3" s="1"/>
  <c r="Z38" i="3"/>
  <c r="AA38" i="3" s="1"/>
  <c r="Z154" i="3"/>
  <c r="AA154" i="3" s="1"/>
  <c r="Z68" i="3"/>
  <c r="AA68" i="3" s="1"/>
  <c r="T207" i="3"/>
  <c r="Z40" i="3"/>
  <c r="AA40" i="3" s="1"/>
  <c r="Z135" i="3"/>
  <c r="AA135" i="3" s="1"/>
  <c r="M210" i="3"/>
  <c r="I239" i="3"/>
  <c r="I245" i="3" s="1"/>
  <c r="S207" i="3"/>
  <c r="N238" i="3" s="1"/>
  <c r="V19" i="3"/>
  <c r="V213" i="3" s="1"/>
  <c r="Z44" i="3"/>
  <c r="AA44" i="3" s="1"/>
  <c r="V177" i="3"/>
  <c r="V218" i="3" s="1"/>
  <c r="Z106" i="3"/>
  <c r="AA106" i="3" s="1"/>
  <c r="O129" i="3"/>
  <c r="Z102" i="3"/>
  <c r="AA102" i="3" s="1"/>
  <c r="Z63" i="3"/>
  <c r="AA63" i="3" s="1"/>
  <c r="O147" i="3"/>
  <c r="Z69" i="3"/>
  <c r="AA69" i="3" s="1"/>
  <c r="Z118" i="3"/>
  <c r="AA118" i="3" s="1"/>
  <c r="Z48" i="3"/>
  <c r="AA48" i="3" s="1"/>
  <c r="Z60" i="3"/>
  <c r="AA60" i="3" s="1"/>
  <c r="Z134" i="3"/>
  <c r="AA134" i="3" s="1"/>
  <c r="Z29" i="3"/>
  <c r="AA29" i="3" s="1"/>
  <c r="Z206" i="3"/>
  <c r="AA206" i="3" s="1"/>
  <c r="V207" i="3"/>
  <c r="V221" i="3" s="1"/>
  <c r="Z52" i="3"/>
  <c r="AA52" i="3" s="1"/>
  <c r="Z94" i="3"/>
  <c r="AA94" i="3" s="1"/>
  <c r="Z25" i="3"/>
  <c r="AA25" i="3" s="1"/>
  <c r="V141" i="3"/>
  <c r="V147" i="3" s="1"/>
  <c r="V215" i="3" s="1"/>
  <c r="S141" i="3"/>
  <c r="T141" i="3" s="1"/>
  <c r="Y141" i="3"/>
  <c r="Z12" i="3"/>
  <c r="AA12" i="3" s="1"/>
  <c r="S19" i="3"/>
  <c r="N230" i="3" s="1"/>
  <c r="T7" i="3"/>
  <c r="Z96" i="3"/>
  <c r="AA96" i="3" s="1"/>
  <c r="Z33" i="3"/>
  <c r="AA33" i="3" s="1"/>
  <c r="Z46" i="3"/>
  <c r="AA46" i="3" s="1"/>
  <c r="Z8" i="3"/>
  <c r="AA8" i="3" s="1"/>
  <c r="Z137" i="3"/>
  <c r="AA137" i="3" s="1"/>
  <c r="Z54" i="3"/>
  <c r="AA54" i="3" s="1"/>
  <c r="Z120" i="3"/>
  <c r="AA120" i="3" s="1"/>
  <c r="Z205" i="3"/>
  <c r="AA205" i="3" s="1"/>
  <c r="Z142" i="3"/>
  <c r="AA142" i="3" s="1"/>
  <c r="Q219" i="3"/>
  <c r="R219" i="3" s="1"/>
  <c r="S219" i="3" s="1"/>
  <c r="L236" i="3"/>
  <c r="L238" i="3"/>
  <c r="Q221" i="3"/>
  <c r="R221" i="3" s="1"/>
  <c r="S221" i="3" s="1"/>
  <c r="T132" i="3"/>
  <c r="Q129" i="3"/>
  <c r="V23" i="3"/>
  <c r="Y23" i="3"/>
  <c r="S23" i="3"/>
  <c r="Z73" i="3"/>
  <c r="AA73" i="3" s="1"/>
  <c r="L230" i="3"/>
  <c r="Q213" i="3"/>
  <c r="Z65" i="3"/>
  <c r="AA65" i="3" s="1"/>
  <c r="Z139" i="3"/>
  <c r="AA139" i="3" s="1"/>
  <c r="Z145" i="3"/>
  <c r="AA145" i="3" s="1"/>
  <c r="Y80" i="3"/>
  <c r="S80" i="3"/>
  <c r="T80" i="3" s="1"/>
  <c r="V80" i="3"/>
  <c r="Z42" i="3"/>
  <c r="AA42" i="3" s="1"/>
  <c r="Z92" i="3"/>
  <c r="AA92" i="3" s="1"/>
  <c r="Q147" i="3"/>
  <c r="T175" i="3"/>
  <c r="S177" i="3"/>
  <c r="N235" i="3" s="1"/>
  <c r="M235" i="3" s="1"/>
  <c r="Q155" i="3"/>
  <c r="V150" i="3"/>
  <c r="V155" i="3" s="1"/>
  <c r="V216" i="3" s="1"/>
  <c r="Y150" i="3"/>
  <c r="S150" i="3"/>
  <c r="T190" i="3"/>
  <c r="T191" i="3" s="1"/>
  <c r="S191" i="3"/>
  <c r="N236" i="3" s="1"/>
  <c r="Z31" i="3"/>
  <c r="AA31" i="3" s="1"/>
  <c r="Z70" i="3"/>
  <c r="AA70" i="3" s="1"/>
  <c r="Z99" i="3"/>
  <c r="AA99" i="3" s="1"/>
  <c r="M230" i="3" l="1"/>
  <c r="V129" i="3"/>
  <c r="V214" i="3" s="1"/>
  <c r="V222" i="3" s="1"/>
  <c r="Q210" i="3"/>
  <c r="Z141" i="3"/>
  <c r="AA141" i="3" s="1"/>
  <c r="Z80" i="3"/>
  <c r="AA80" i="3" s="1"/>
  <c r="O210" i="3"/>
  <c r="S147" i="3"/>
  <c r="N232" i="3" s="1"/>
  <c r="Q215" i="3"/>
  <c r="R215" i="3" s="1"/>
  <c r="S215" i="3" s="1"/>
  <c r="L232" i="3"/>
  <c r="L233" i="3"/>
  <c r="Q216" i="3"/>
  <c r="R216" i="3" s="1"/>
  <c r="S216" i="3" s="1"/>
  <c r="S129" i="3"/>
  <c r="N231" i="3" s="1"/>
  <c r="T23" i="3"/>
  <c r="Z175" i="3"/>
  <c r="AA175" i="3" s="1"/>
  <c r="T177" i="3"/>
  <c r="Q214" i="3"/>
  <c r="R214" i="3" s="1"/>
  <c r="S214" i="3" s="1"/>
  <c r="Q130" i="3"/>
  <c r="L231" i="3"/>
  <c r="T150" i="3"/>
  <c r="S155" i="3"/>
  <c r="R213" i="3"/>
  <c r="T147" i="3"/>
  <c r="Z132" i="3"/>
  <c r="AA132" i="3" s="1"/>
  <c r="M236" i="3"/>
  <c r="T19" i="3"/>
  <c r="Z7" i="3"/>
  <c r="AA7" i="3" s="1"/>
  <c r="M232" i="3" l="1"/>
  <c r="V210" i="3"/>
  <c r="M231" i="3"/>
  <c r="Q222" i="3"/>
  <c r="N233" i="3"/>
  <c r="N239" i="3" s="1"/>
  <c r="S210" i="3"/>
  <c r="T129" i="3"/>
  <c r="Z23" i="3"/>
  <c r="AA23" i="3" s="1"/>
  <c r="S213" i="3"/>
  <c r="R222" i="3"/>
  <c r="T155" i="3"/>
  <c r="Z150" i="3"/>
  <c r="AA150" i="3" s="1"/>
  <c r="AA210" i="3" s="1"/>
  <c r="T210" i="3" l="1"/>
  <c r="R223" i="3"/>
  <c r="S222" i="3"/>
  <c r="M233" i="3"/>
</calcChain>
</file>

<file path=xl/comments1.xml><?xml version="1.0" encoding="utf-8"?>
<comments xmlns="http://schemas.openxmlformats.org/spreadsheetml/2006/main">
  <authors>
    <author>Dell</author>
  </authors>
  <commentList>
    <comment ref="C84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TRF FROM P&amp;M</t>
        </r>
      </text>
    </comment>
    <comment ref="P8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DEP CLAIMED IN ABAD 
UNIT
</t>
        </r>
      </text>
    </comment>
  </commentList>
</comments>
</file>

<file path=xl/sharedStrings.xml><?xml version="1.0" encoding="utf-8"?>
<sst xmlns="http://schemas.openxmlformats.org/spreadsheetml/2006/main" count="496" uniqueCount="227">
  <si>
    <t xml:space="preserve">              Assets</t>
  </si>
  <si>
    <t>Page No</t>
  </si>
  <si>
    <t>ADDITION</t>
  </si>
  <si>
    <t>DELETION</t>
  </si>
  <si>
    <t>CY Depreciation</t>
  </si>
  <si>
    <t>BF Depreciation</t>
  </si>
  <si>
    <t>Total Depreciation</t>
  </si>
  <si>
    <t>WDV</t>
  </si>
  <si>
    <t>Residual Value</t>
  </si>
  <si>
    <t>Resultant</t>
  </si>
  <si>
    <t>Depriciation</t>
  </si>
  <si>
    <t>Till Date Dep</t>
  </si>
  <si>
    <t>Total Dep</t>
  </si>
  <si>
    <t>Rreate of dep</t>
  </si>
  <si>
    <t>A</t>
  </si>
  <si>
    <t>LAND</t>
  </si>
  <si>
    <t>FREEHOLD LAND</t>
  </si>
  <si>
    <t>2009-2010</t>
  </si>
  <si>
    <t>B</t>
  </si>
  <si>
    <t>BUILDING</t>
  </si>
  <si>
    <t>FACTORY BUILDING</t>
  </si>
  <si>
    <t>2010-2011</t>
  </si>
  <si>
    <t>2011-2012</t>
  </si>
  <si>
    <t>2012-2013</t>
  </si>
  <si>
    <t>FIRE FIGHTING EQUIPMENTS</t>
  </si>
  <si>
    <t>2013-2014</t>
  </si>
  <si>
    <t>2014-2015</t>
  </si>
  <si>
    <t>2015-2016</t>
  </si>
  <si>
    <t>2016-2017</t>
  </si>
  <si>
    <t>TOTAL</t>
  </si>
  <si>
    <t>C</t>
  </si>
  <si>
    <t>PLANT &amp; MACHINERIES</t>
  </si>
  <si>
    <t>INDEGINEOUS PURCHASE</t>
  </si>
  <si>
    <t>CHAIN PULLY</t>
  </si>
  <si>
    <t>WATER TANK</t>
  </si>
  <si>
    <t>CHILLER</t>
  </si>
  <si>
    <t>COMPRESSURE</t>
  </si>
  <si>
    <t>LABELLING MACHINE</t>
  </si>
  <si>
    <t>MOULDING MACHINE</t>
  </si>
  <si>
    <t>PHOTOPOLYMER PRINTING PLATE</t>
  </si>
  <si>
    <t>TRANSFORMER</t>
  </si>
  <si>
    <t>STABLIZER</t>
  </si>
  <si>
    <t>UPS</t>
  </si>
  <si>
    <t>STACKER</t>
  </si>
  <si>
    <t>WEIGHING SCALE</t>
  </si>
  <si>
    <t>OTHER MACHINERIES</t>
  </si>
  <si>
    <t>GENERATORS SETS</t>
  </si>
  <si>
    <t>AIR CONDITIONERS</t>
  </si>
  <si>
    <t>CHAKKAR PALLET</t>
  </si>
  <si>
    <t>RACKS</t>
  </si>
  <si>
    <t>RO SYSTEMS</t>
  </si>
  <si>
    <t>STRAPPING MACHINE</t>
  </si>
  <si>
    <t>SCRUBER,VACCUM CLEANER, MAIN LEAD WIRE</t>
  </si>
  <si>
    <t>TOOLING MACHINES</t>
  </si>
  <si>
    <t>OPACITY METER</t>
  </si>
  <si>
    <t>MELT FLOW TESTER</t>
  </si>
  <si>
    <t>MOULD TEMPREATURE CONTROLLLER</t>
  </si>
  <si>
    <t>HYDRAULIC LIFT</t>
  </si>
  <si>
    <t>INSECT KILLER</t>
  </si>
  <si>
    <t>WEIGHT MACHINE</t>
  </si>
  <si>
    <t>CHILLER COOLING TOWER-2</t>
  </si>
  <si>
    <t>LABELLING PANEL AND MOTOR</t>
  </si>
  <si>
    <t>MOISTURE TESTING MACHINE</t>
  </si>
  <si>
    <t>EPOXY</t>
  </si>
  <si>
    <t>BLUE STAR AC</t>
  </si>
  <si>
    <t>LABEL INSPECTION MACHINER</t>
  </si>
  <si>
    <t>SEALING MACHINE</t>
  </si>
  <si>
    <t>GRANULATORS MACHINE</t>
  </si>
  <si>
    <t>FREIGHT OF GRANULATOR MACHINE</t>
  </si>
  <si>
    <t>LADDER</t>
  </si>
  <si>
    <t>SUPER CHILLER PVT LTD</t>
  </si>
  <si>
    <t>AUTOMATIC VOLTAGE CONTROLLER</t>
  </si>
  <si>
    <t>HOT FOIL STAMPING MACHINE</t>
  </si>
  <si>
    <t>CHILLER PLANT</t>
  </si>
  <si>
    <t>MALIK AIRCONDITIONING</t>
  </si>
  <si>
    <t>JOGINDERA ENGINEERING</t>
  </si>
  <si>
    <t>GAURAV FREIGHT CARRIERS</t>
  </si>
  <si>
    <t>2017-2018</t>
  </si>
  <si>
    <t>HOT STAMPING MACHINE</t>
  </si>
  <si>
    <t>KENN AUTOMATION PVT LTD</t>
  </si>
  <si>
    <t>2018-2019</t>
  </si>
  <si>
    <t>LACQUER AND LABEL MACHINE TECHNOSHELL</t>
  </si>
  <si>
    <t>2019-2020</t>
  </si>
  <si>
    <t>TECHNOSHELL MACHINE</t>
  </si>
  <si>
    <t>SHRINK SLEEVE MACHINE</t>
  </si>
  <si>
    <t>IMPORTED PURCHASED</t>
  </si>
  <si>
    <t>SHUTTLE INJECTION MOULDING MACHINE</t>
  </si>
  <si>
    <t>PRINTING MACHINE-BONMART</t>
  </si>
  <si>
    <t>POLYTYPE MACHINE</t>
  </si>
  <si>
    <t>COMBITOOL MACHINE</t>
  </si>
  <si>
    <t>BERYER MACHINE</t>
  </si>
  <si>
    <t xml:space="preserve">COMBITOOL TOOLING </t>
  </si>
  <si>
    <t>BREYER</t>
  </si>
  <si>
    <t>POLYTYPE REINSTATEMENT &amp; CAPITAL SPARES</t>
  </si>
  <si>
    <t>COMBITOOL LTD-2</t>
  </si>
  <si>
    <t>OLD COMBITOOL LTD PAYMENT EXCHANE GAIN</t>
  </si>
  <si>
    <t>REINSTATEMENT OF COMBITOOL LTD-1</t>
  </si>
  <si>
    <t>REINSTATEMENT OF COMBITOOL LTD-2</t>
  </si>
  <si>
    <t>BREYER PAYMENT EXCHANGE GAIN LOSS</t>
  </si>
  <si>
    <t>POLYTYPE MODIFICATION CHARGES</t>
  </si>
  <si>
    <t>POLYTYPE PAYMENT EXCHANGE GAIN LOSS</t>
  </si>
  <si>
    <t xml:space="preserve">POLYTYPE REINSTATEMENT </t>
  </si>
  <si>
    <t>BONMART MACHINE</t>
  </si>
  <si>
    <t>COMBITOOL LTD TOOLING</t>
  </si>
  <si>
    <t>NEW COMBITOOL LTD PAYMENT EXCHANGE GAIN</t>
  </si>
  <si>
    <t>OLD COMBITOOL LTD REINSTATEMENT</t>
  </si>
  <si>
    <t>NEW COMBITOOL LTD REINSTATEMENT</t>
  </si>
  <si>
    <t>BONMART GAIN/LOSS ON TRANSFER</t>
  </si>
  <si>
    <t>BONMART REINSTATEMENT</t>
  </si>
  <si>
    <t>POLYTYPE REINSTATEMENT</t>
  </si>
  <si>
    <t>NEWCOMBITOOL LTD PAYMENT EXCHANE GAIN</t>
  </si>
  <si>
    <t>BONMART PAYMENT FLUCTUATION</t>
  </si>
  <si>
    <t>POYTYPE PAYMENT FLUCTUATION</t>
  </si>
  <si>
    <t>COMBITOOL MACHINE PAYMENT FLUCTUATIN</t>
  </si>
  <si>
    <t>COMBITOOL LTD REM</t>
  </si>
  <si>
    <t>COMBITOOL LTD</t>
  </si>
  <si>
    <t>POLYEYPE SA</t>
  </si>
  <si>
    <t>TOOLS AND DIES</t>
  </si>
  <si>
    <t>DIGIMETIC  VERNIER CALIPER</t>
  </si>
  <si>
    <t>OTHER TOOLS</t>
  </si>
  <si>
    <t>TOOLS AND HOTRUNNER</t>
  </si>
  <si>
    <t>CHINA MOULD-MACROVISION</t>
  </si>
  <si>
    <t>WEIGHING MACHINE</t>
  </si>
  <si>
    <t>VASANTHA TOOL CRAFT MODIFICATIN CHARGES</t>
  </si>
  <si>
    <t>WITMENT BATTEN FIELD</t>
  </si>
  <si>
    <t>FUYANG CHINA MOULD</t>
  </si>
  <si>
    <t xml:space="preserve">NEEL KAMAL </t>
  </si>
  <si>
    <t>PALLETS</t>
  </si>
  <si>
    <t>25 AND 40 DIA MOULD</t>
  </si>
  <si>
    <t>ELECTRICAL INSTALLATION</t>
  </si>
  <si>
    <t>D</t>
  </si>
  <si>
    <t>OFFICE EQUIPMENT</t>
  </si>
  <si>
    <t>COOLER FAN</t>
  </si>
  <si>
    <t>OFFICE ALMIRAH</t>
  </si>
  <si>
    <t>E</t>
  </si>
  <si>
    <t>FURNITURE &amp; FIXTURES</t>
  </si>
  <si>
    <t>F</t>
  </si>
  <si>
    <t>COMPUTER</t>
  </si>
  <si>
    <t>PRINTER CANON</t>
  </si>
  <si>
    <t>SECURITY CAMERAS</t>
  </si>
  <si>
    <t>G</t>
  </si>
  <si>
    <t>MOBILE</t>
  </si>
  <si>
    <t>MOBILE PHONE</t>
  </si>
  <si>
    <t>total</t>
  </si>
  <si>
    <t>I</t>
  </si>
  <si>
    <t>VEHICLE (8years)</t>
  </si>
  <si>
    <t>RITZ 4886</t>
  </si>
  <si>
    <t>MAHINDRA SUPRO</t>
  </si>
  <si>
    <t>DZIRE 9863</t>
  </si>
  <si>
    <t>CIAZ</t>
  </si>
  <si>
    <t>PLANT AND MACHINERY</t>
  </si>
  <si>
    <t>FURNITURE AND FIXTURES</t>
  </si>
  <si>
    <t>VEHICLE</t>
  </si>
  <si>
    <t>DIFFERENCE IN POLICY</t>
  </si>
  <si>
    <t>OPENING BALANCE</t>
  </si>
  <si>
    <t>AS ON 31.03.2018</t>
  </si>
  <si>
    <t>OPENING RESERVE</t>
  </si>
  <si>
    <t>ADD GROSS</t>
  </si>
  <si>
    <t>AS PER BOOKS</t>
  </si>
  <si>
    <t>ASSETS AS ON 01.04.20</t>
  </si>
  <si>
    <t>NET ASSETS 31.3.21</t>
  </si>
  <si>
    <t>Age of Asset 31.03.2021</t>
  </si>
  <si>
    <t>2020-21</t>
  </si>
  <si>
    <t>INJECTION HEADING MACHINE MODEL GCH 2000 - GCM</t>
  </si>
  <si>
    <t>COMPRESSER "CHICAGO PNEUMATIC)</t>
  </si>
  <si>
    <t>GCM HEADER</t>
  </si>
  <si>
    <t>INJECTION MOULDING MACHINE MODEL STS 150/510-600 IU TOSIBA ( DOMESTIC)</t>
  </si>
  <si>
    <t>AIR COOLED CHILLER 10 TR, OUTLET 10 C, INLET 15 C</t>
  </si>
  <si>
    <t>POLYTYPE TRF FROM ABAD</t>
  </si>
  <si>
    <t>2021-2022</t>
  </si>
  <si>
    <t>S.No.`</t>
  </si>
  <si>
    <t>Items as per Invoice</t>
  </si>
  <si>
    <t>Invoice No.</t>
  </si>
  <si>
    <t>Items found at site</t>
  </si>
  <si>
    <t>Quantity</t>
  </si>
  <si>
    <t>Condition</t>
  </si>
  <si>
    <t>Injection Moulding machine</t>
  </si>
  <si>
    <t>Good</t>
  </si>
  <si>
    <t>Plastic Water Tank</t>
  </si>
  <si>
    <t>Transformer with Panel</t>
  </si>
  <si>
    <t>Bad</t>
  </si>
  <si>
    <t>Plastic Chair</t>
  </si>
  <si>
    <t>Wooden Table</t>
  </si>
  <si>
    <t>Fire Extinguisher</t>
  </si>
  <si>
    <t>Cooling Tower</t>
  </si>
  <si>
    <t>Unable to verify</t>
  </si>
  <si>
    <t>Rapid Granulator</t>
  </si>
  <si>
    <t>Date of Valuation</t>
  </si>
  <si>
    <t>S.No.</t>
  </si>
  <si>
    <t>Invoice date</t>
  </si>
  <si>
    <t>Economic Life</t>
  </si>
  <si>
    <t>Life Consumed</t>
  </si>
  <si>
    <t>GCRC</t>
  </si>
  <si>
    <t>Depreciation Rate</t>
  </si>
  <si>
    <t>Depreciation</t>
  </si>
  <si>
    <t>DRC</t>
  </si>
  <si>
    <t>Average</t>
  </si>
  <si>
    <t>Weighing Machine</t>
  </si>
  <si>
    <t>Salvage Value</t>
  </si>
  <si>
    <t>https://www.indiamart.com/proddetail/315-kva-power-distribution-transformers-21871564812.html</t>
  </si>
  <si>
    <t>https://www.indiamart.com/proddetail/aluminium-section-cutting-machine-box-type-26433307348.html</t>
  </si>
  <si>
    <t>transformer</t>
  </si>
  <si>
    <t>cutting m/c</t>
  </si>
  <si>
    <t>https://www.moglix.com/wetmeasure-spider-505-200kg-400x400mm-platform-scale/mp/msn75dqrndwv92?s_kwcid=AL!10177!3!650648470319!!!g!2088212223316!&amp;utm_source=google&amp;utm_medium=cpc&amp;utm_network=shopping&amp;utm_campaign=&amp;adgroup_id=145441319694&amp;keyword=&amp;gclid=EAIaIQobChMI9e25hrD8_wIVAkZ9Ch1OcwrREAQYBSABEgLocvD_BwE</t>
  </si>
  <si>
    <t>Weighing m/c</t>
  </si>
  <si>
    <t>https://www.indiamart.com/proddetail/frp-square-type-cooling-tower-23673929112.html?pos=1&amp;pla=n</t>
  </si>
  <si>
    <t>cooling tower</t>
  </si>
  <si>
    <t>https://dir.indiamart.com/impcat/fire-extinguishers.html</t>
  </si>
  <si>
    <t>fire extinguishers</t>
  </si>
  <si>
    <t>rapid granulator</t>
  </si>
  <si>
    <t>https://www.exportersindia.com/product-detail/plastic-scrap-grinder-machine-2522239.htm</t>
  </si>
  <si>
    <t>https://www.amazon.in/dp/B0B3RTLG7F/ref=sbl_dpx_in-office-desks_B0BDVRLM3T_0</t>
  </si>
  <si>
    <t>wooden table</t>
  </si>
  <si>
    <t>https://www.indiamart.com/proddetail/plastic-chairs-strong-lowest-price-22765728555.html</t>
  </si>
  <si>
    <t>plastic chair</t>
  </si>
  <si>
    <t>https://www.indiamart.com/proddetail/300-ltr-water-tank-19150266733.html</t>
  </si>
  <si>
    <t>water tank, 300 L</t>
  </si>
  <si>
    <t>Cutting machine</t>
  </si>
  <si>
    <t>PLANT AND MACHINERY VALUATION | M/s SUBH INDUSTRIES | UNIT NO. A7A, SIDCUL, GROWTH CENTRE, KOTDWAR, UTTARAKHAND</t>
  </si>
  <si>
    <t>1. The P&amp;M Valuation carried out for the machines situated at Unit no.A7A, SIDCUL Growth Centre, Kotdwar, Uttarakhand</t>
  </si>
  <si>
    <t>2. We have been provided with some of the invoices of the machines. However some other machines/equipments/F&amp;F has been found at site and the same has also been considered in valuation along with the machines whose invoices has been shared.</t>
  </si>
  <si>
    <t>4. The physical condition of machine is average and require reapairing and maintenance to make them operational.</t>
  </si>
  <si>
    <t>5. We have assumed the date of capitalization/invoice date as 07-08-2015 for plastic water tank, Cutting Machine, Weighing Machine, Plastic Chair, Fire Extinguisher and Wooden Table. The inovice date/date of capitalization has been not shared with us.</t>
  </si>
  <si>
    <t>FMV Round up</t>
  </si>
  <si>
    <t>RV</t>
  </si>
  <si>
    <t>DSV</t>
  </si>
  <si>
    <t>3. The plant was not in operation since 1.5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</si>
</sst>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 &quot;₹&quot;\ * #,##0_ ;_ &quot;₹&quot;\ * \-#,##0_ ;_ &quot;₹&quot;\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89">
    <xf numFmtId="0" fontId="0" fillId="0" borderId="0" xfId="0"/>
    <xf numFmtId="164" fontId="3" fillId="0" borderId="0" xfId="3" applyFont="1" applyFill="1"/>
    <xf numFmtId="10" fontId="3" fillId="0" borderId="25" xfId="4" applyNumberFormat="1" applyFont="1" applyFill="1" applyBorder="1" applyAlignment="1"/>
    <xf numFmtId="10" fontId="3" fillId="0" borderId="0" xfId="4" applyNumberFormat="1" applyFont="1" applyFill="1" applyBorder="1" applyAlignment="1"/>
    <xf numFmtId="10" fontId="3" fillId="0" borderId="26" xfId="4" applyNumberFormat="1" applyFont="1" applyFill="1" applyBorder="1" applyAlignment="1"/>
    <xf numFmtId="164" fontId="4" fillId="0" borderId="4" xfId="3" applyFont="1" applyFill="1" applyBorder="1" applyAlignment="1">
      <alignment wrapText="1"/>
    </xf>
    <xf numFmtId="164" fontId="4" fillId="0" borderId="5" xfId="3" applyFont="1" applyFill="1" applyBorder="1" applyAlignment="1">
      <alignment wrapText="1"/>
    </xf>
    <xf numFmtId="164" fontId="4" fillId="0" borderId="3" xfId="3" applyFont="1" applyFill="1" applyBorder="1" applyAlignment="1">
      <alignment wrapText="1"/>
    </xf>
    <xf numFmtId="164" fontId="4" fillId="0" borderId="7" xfId="3" applyFont="1" applyFill="1" applyBorder="1" applyAlignment="1">
      <alignment wrapText="1"/>
    </xf>
    <xf numFmtId="164" fontId="4" fillId="0" borderId="0" xfId="3" applyFont="1" applyFill="1" applyBorder="1" applyAlignment="1">
      <alignment wrapText="1"/>
    </xf>
    <xf numFmtId="0" fontId="3" fillId="0" borderId="11" xfId="2" applyFont="1" applyBorder="1"/>
    <xf numFmtId="164" fontId="3" fillId="0" borderId="14" xfId="3" applyFont="1" applyFill="1" applyBorder="1" applyAlignment="1"/>
    <xf numFmtId="164" fontId="3" fillId="0" borderId="11" xfId="3" applyFont="1" applyFill="1" applyBorder="1" applyAlignment="1"/>
    <xf numFmtId="164" fontId="3" fillId="0" borderId="21" xfId="3" applyFont="1" applyFill="1" applyBorder="1"/>
    <xf numFmtId="164" fontId="3" fillId="0" borderId="16" xfId="3" applyFont="1" applyFill="1" applyBorder="1"/>
    <xf numFmtId="164" fontId="3" fillId="0" borderId="14" xfId="3" applyFont="1" applyFill="1" applyBorder="1" applyAlignment="1">
      <alignment horizontal="center"/>
    </xf>
    <xf numFmtId="164" fontId="3" fillId="0" borderId="14" xfId="1" applyFont="1" applyFill="1" applyBorder="1"/>
    <xf numFmtId="164" fontId="3" fillId="0" borderId="14" xfId="3" applyFont="1" applyFill="1" applyBorder="1"/>
    <xf numFmtId="164" fontId="3" fillId="0" borderId="0" xfId="3" applyFont="1" applyFill="1" applyBorder="1"/>
    <xf numFmtId="164" fontId="3" fillId="0" borderId="0" xfId="1" applyFont="1" applyFill="1" applyBorder="1"/>
    <xf numFmtId="164" fontId="3" fillId="0" borderId="25" xfId="3" applyFont="1" applyFill="1" applyBorder="1"/>
    <xf numFmtId="164" fontId="4" fillId="0" borderId="3" xfId="3" applyFont="1" applyFill="1" applyBorder="1"/>
    <xf numFmtId="164" fontId="4" fillId="0" borderId="3" xfId="1" applyFont="1" applyFill="1" applyBorder="1"/>
    <xf numFmtId="164" fontId="4" fillId="0" borderId="0" xfId="3" applyFont="1" applyFill="1" applyBorder="1"/>
    <xf numFmtId="164" fontId="3" fillId="0" borderId="11" xfId="3" applyFont="1" applyFill="1" applyBorder="1"/>
    <xf numFmtId="164" fontId="3" fillId="0" borderId="0" xfId="1" applyFont="1" applyFill="1"/>
    <xf numFmtId="164" fontId="3" fillId="0" borderId="27" xfId="3" applyFont="1" applyFill="1" applyBorder="1"/>
    <xf numFmtId="164" fontId="4" fillId="0" borderId="14" xfId="3" applyFont="1" applyFill="1" applyBorder="1"/>
    <xf numFmtId="164" fontId="4" fillId="0" borderId="0" xfId="1" applyFont="1" applyFill="1"/>
    <xf numFmtId="164" fontId="4" fillId="0" borderId="4" xfId="1" applyFont="1" applyFill="1" applyBorder="1"/>
    <xf numFmtId="164" fontId="4" fillId="0" borderId="14" xfId="1" applyFont="1" applyFill="1" applyBorder="1"/>
    <xf numFmtId="164" fontId="4" fillId="0" borderId="14" xfId="2" applyNumberFormat="1" applyFont="1" applyBorder="1"/>
    <xf numFmtId="164" fontId="4" fillId="0" borderId="27" xfId="2" applyNumberFormat="1" applyFont="1" applyBorder="1"/>
    <xf numFmtId="164" fontId="4" fillId="0" borderId="35" xfId="2" applyNumberFormat="1" applyFont="1" applyBorder="1"/>
    <xf numFmtId="164" fontId="4" fillId="0" borderId="5" xfId="3" applyFont="1" applyFill="1" applyBorder="1"/>
    <xf numFmtId="0" fontId="3" fillId="0" borderId="23" xfId="2" applyFont="1" applyBorder="1"/>
    <xf numFmtId="0" fontId="3" fillId="0" borderId="14" xfId="2" applyFont="1" applyBorder="1"/>
    <xf numFmtId="0" fontId="3" fillId="0" borderId="14" xfId="2" applyFont="1" applyBorder="1" applyAlignment="1">
      <alignment horizontal="center"/>
    </xf>
    <xf numFmtId="164" fontId="3" fillId="0" borderId="11" xfId="1" applyFont="1" applyFill="1" applyBorder="1" applyAlignment="1"/>
    <xf numFmtId="10" fontId="3" fillId="0" borderId="0" xfId="2" applyNumberFormat="1" applyFont="1"/>
    <xf numFmtId="164" fontId="3" fillId="0" borderId="0" xfId="2" applyNumberFormat="1" applyFont="1"/>
    <xf numFmtId="0" fontId="3" fillId="0" borderId="0" xfId="2" applyFont="1"/>
    <xf numFmtId="164" fontId="3" fillId="0" borderId="21" xfId="1" applyFont="1" applyFill="1" applyBorder="1"/>
    <xf numFmtId="164" fontId="3" fillId="0" borderId="9" xfId="3" applyFont="1" applyFill="1" applyBorder="1"/>
    <xf numFmtId="164" fontId="7" fillId="0" borderId="14" xfId="1" applyFont="1" applyFill="1" applyBorder="1"/>
    <xf numFmtId="164" fontId="7" fillId="0" borderId="14" xfId="3" applyFont="1" applyFill="1" applyBorder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164" fontId="4" fillId="0" borderId="5" xfId="1" applyFont="1" applyFill="1" applyBorder="1" applyAlignment="1">
      <alignment wrapText="1"/>
    </xf>
    <xf numFmtId="0" fontId="4" fillId="0" borderId="5" xfId="2" applyFont="1" applyBorder="1" applyAlignment="1">
      <alignment wrapText="1"/>
    </xf>
    <xf numFmtId="164" fontId="4" fillId="0" borderId="3" xfId="1" applyFont="1" applyFill="1" applyBorder="1" applyAlignment="1">
      <alignment wrapText="1"/>
    </xf>
    <xf numFmtId="164" fontId="4" fillId="0" borderId="6" xfId="1" applyFont="1" applyFill="1" applyBorder="1" applyAlignment="1">
      <alignment wrapText="1"/>
    </xf>
    <xf numFmtId="0" fontId="4" fillId="0" borderId="4" xfId="2" applyFont="1" applyBorder="1" applyAlignment="1">
      <alignment wrapText="1"/>
    </xf>
    <xf numFmtId="0" fontId="4" fillId="0" borderId="3" xfId="2" applyFont="1" applyBorder="1" applyAlignment="1">
      <alignment wrapText="1"/>
    </xf>
    <xf numFmtId="0" fontId="3" fillId="0" borderId="0" xfId="2" applyFont="1" applyAlignment="1">
      <alignment wrapText="1"/>
    </xf>
    <xf numFmtId="164" fontId="3" fillId="0" borderId="0" xfId="1" applyFont="1" applyFill="1" applyAlignment="1">
      <alignment wrapText="1"/>
    </xf>
    <xf numFmtId="0" fontId="4" fillId="0" borderId="8" xfId="2" applyFont="1" applyBorder="1"/>
    <xf numFmtId="0" fontId="4" fillId="0" borderId="9" xfId="2" applyFont="1" applyBorder="1"/>
    <xf numFmtId="0" fontId="3" fillId="0" borderId="10" xfId="2" applyFont="1" applyBorder="1" applyAlignment="1">
      <alignment horizontal="center"/>
    </xf>
    <xf numFmtId="164" fontId="3" fillId="0" borderId="11" xfId="1" applyFont="1" applyFill="1" applyBorder="1"/>
    <xf numFmtId="0" fontId="3" fillId="0" borderId="12" xfId="2" applyFont="1" applyBorder="1"/>
    <xf numFmtId="0" fontId="3" fillId="0" borderId="13" xfId="2" applyFont="1" applyBorder="1"/>
    <xf numFmtId="164" fontId="3" fillId="0" borderId="14" xfId="2" applyNumberFormat="1" applyFont="1" applyBorder="1"/>
    <xf numFmtId="0" fontId="4" fillId="0" borderId="19" xfId="2" applyFont="1" applyBorder="1"/>
    <xf numFmtId="0" fontId="3" fillId="0" borderId="20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164" fontId="3" fillId="0" borderId="16" xfId="1" applyFont="1" applyFill="1" applyBorder="1"/>
    <xf numFmtId="0" fontId="3" fillId="0" borderId="16" xfId="2" applyFont="1" applyBorder="1"/>
    <xf numFmtId="0" fontId="3" fillId="0" borderId="22" xfId="2" applyFont="1" applyBorder="1"/>
    <xf numFmtId="0" fontId="3" fillId="0" borderId="24" xfId="2" applyFont="1" applyBorder="1"/>
    <xf numFmtId="165" fontId="3" fillId="0" borderId="0" xfId="2" applyNumberFormat="1" applyFont="1"/>
    <xf numFmtId="0" fontId="4" fillId="0" borderId="23" xfId="2" applyFont="1" applyBorder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0" xfId="2" applyFont="1"/>
    <xf numFmtId="165" fontId="3" fillId="0" borderId="26" xfId="2" applyNumberFormat="1" applyFont="1" applyBorder="1"/>
    <xf numFmtId="0" fontId="3" fillId="0" borderId="27" xfId="2" applyFont="1" applyBorder="1"/>
    <xf numFmtId="0" fontId="4" fillId="0" borderId="28" xfId="2" applyFont="1" applyBorder="1"/>
    <xf numFmtId="0" fontId="3" fillId="0" borderId="29" xfId="2" applyFont="1" applyBorder="1" applyAlignment="1">
      <alignment horizontal="center"/>
    </xf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21" xfId="2" applyFont="1" applyBorder="1"/>
    <xf numFmtId="49" fontId="3" fillId="0" borderId="14" xfId="2" applyNumberFormat="1" applyFont="1" applyBorder="1" applyAlignment="1">
      <alignment horizontal="center"/>
    </xf>
    <xf numFmtId="165" fontId="3" fillId="0" borderId="14" xfId="2" applyNumberFormat="1" applyFont="1" applyBorder="1"/>
    <xf numFmtId="0" fontId="3" fillId="0" borderId="21" xfId="2" applyFont="1" applyBorder="1" applyAlignment="1">
      <alignment horizontal="center"/>
    </xf>
    <xf numFmtId="164" fontId="3" fillId="0" borderId="0" xfId="1" applyFont="1" applyFill="1" applyBorder="1" applyAlignment="1"/>
    <xf numFmtId="164" fontId="3" fillId="0" borderId="14" xfId="1" applyFont="1" applyFill="1" applyBorder="1" applyAlignment="1"/>
    <xf numFmtId="10" fontId="3" fillId="0" borderId="14" xfId="2" applyNumberFormat="1" applyFont="1" applyBorder="1"/>
    <xf numFmtId="0" fontId="7" fillId="0" borderId="14" xfId="2" applyFont="1" applyBorder="1"/>
    <xf numFmtId="0" fontId="4" fillId="0" borderId="36" xfId="2" applyFont="1" applyBorder="1"/>
    <xf numFmtId="0" fontId="3" fillId="0" borderId="37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4" fillId="0" borderId="14" xfId="2" applyFont="1" applyBorder="1"/>
    <xf numFmtId="0" fontId="4" fillId="0" borderId="14" xfId="2" applyFont="1" applyBorder="1" applyAlignment="1">
      <alignment horizontal="center"/>
    </xf>
    <xf numFmtId="164" fontId="8" fillId="0" borderId="14" xfId="3" applyFont="1" applyFill="1" applyBorder="1"/>
    <xf numFmtId="164" fontId="4" fillId="0" borderId="0" xfId="2" applyNumberFormat="1" applyFont="1"/>
    <xf numFmtId="164" fontId="3" fillId="0" borderId="26" xfId="3" applyFont="1" applyFill="1" applyBorder="1"/>
    <xf numFmtId="164" fontId="3" fillId="0" borderId="25" xfId="1" applyFont="1" applyFill="1" applyBorder="1"/>
    <xf numFmtId="164" fontId="4" fillId="0" borderId="4" xfId="2" applyNumberFormat="1" applyFont="1" applyBorder="1"/>
    <xf numFmtId="165" fontId="4" fillId="0" borderId="14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165" fontId="4" fillId="0" borderId="14" xfId="2" applyNumberFormat="1" applyFont="1" applyBorder="1"/>
    <xf numFmtId="0" fontId="4" fillId="0" borderId="30" xfId="2" applyFont="1" applyBorder="1"/>
    <xf numFmtId="0" fontId="4" fillId="0" borderId="1" xfId="2" applyFont="1" applyBorder="1"/>
    <xf numFmtId="0" fontId="4" fillId="0" borderId="1" xfId="2" applyFont="1" applyBorder="1" applyAlignment="1">
      <alignment horizontal="center"/>
    </xf>
    <xf numFmtId="0" fontId="4" fillId="0" borderId="31" xfId="2" applyFont="1" applyBorder="1"/>
    <xf numFmtId="49" fontId="4" fillId="0" borderId="14" xfId="2" applyNumberFormat="1" applyFont="1" applyBorder="1" applyAlignment="1">
      <alignment horizontal="center"/>
    </xf>
    <xf numFmtId="0" fontId="3" fillId="0" borderId="32" xfId="2" applyFont="1" applyBorder="1"/>
    <xf numFmtId="0" fontId="3" fillId="0" borderId="11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4" fillId="0" borderId="33" xfId="2" applyFont="1" applyBorder="1"/>
    <xf numFmtId="0" fontId="3" fillId="0" borderId="1" xfId="2" applyFont="1" applyBorder="1" applyAlignment="1">
      <alignment horizontal="center"/>
    </xf>
    <xf numFmtId="0" fontId="4" fillId="0" borderId="24" xfId="2" applyFont="1" applyBorder="1"/>
    <xf numFmtId="49" fontId="4" fillId="0" borderId="0" xfId="2" applyNumberFormat="1" applyFont="1" applyAlignment="1">
      <alignment horizontal="center"/>
    </xf>
    <xf numFmtId="164" fontId="4" fillId="0" borderId="27" xfId="1" applyFont="1" applyFill="1" applyBorder="1"/>
    <xf numFmtId="0" fontId="4" fillId="0" borderId="13" xfId="2" applyFont="1" applyBorder="1"/>
    <xf numFmtId="164" fontId="4" fillId="0" borderId="0" xfId="1" applyFont="1" applyFill="1" applyBorder="1"/>
    <xf numFmtId="164" fontId="4" fillId="0" borderId="25" xfId="2" applyNumberFormat="1" applyFont="1" applyBorder="1"/>
    <xf numFmtId="0" fontId="4" fillId="0" borderId="25" xfId="2" applyFont="1" applyBorder="1"/>
    <xf numFmtId="164" fontId="4" fillId="0" borderId="25" xfId="3" applyFont="1" applyFill="1" applyBorder="1"/>
    <xf numFmtId="164" fontId="4" fillId="0" borderId="21" xfId="3" applyFont="1" applyFill="1" applyBorder="1"/>
    <xf numFmtId="10" fontId="3" fillId="0" borderId="0" xfId="2" applyNumberFormat="1" applyFont="1" applyAlignment="1">
      <alignment horizontal="center"/>
    </xf>
    <xf numFmtId="0" fontId="4" fillId="0" borderId="34" xfId="2" applyFont="1" applyBorder="1"/>
    <xf numFmtId="0" fontId="4" fillId="0" borderId="34" xfId="2" applyFont="1" applyBorder="1" applyAlignment="1">
      <alignment horizontal="center"/>
    </xf>
    <xf numFmtId="164" fontId="4" fillId="0" borderId="35" xfId="1" applyFont="1" applyFill="1" applyBorder="1"/>
    <xf numFmtId="0" fontId="4" fillId="0" borderId="35" xfId="2" applyFont="1" applyBorder="1"/>
    <xf numFmtId="164" fontId="4" fillId="0" borderId="35" xfId="3" applyFont="1" applyFill="1" applyBorder="1"/>
    <xf numFmtId="0" fontId="4" fillId="0" borderId="7" xfId="2" applyFont="1" applyBorder="1"/>
    <xf numFmtId="0" fontId="4" fillId="0" borderId="2" xfId="2" applyFont="1" applyBorder="1" applyAlignment="1">
      <alignment horizontal="center"/>
    </xf>
    <xf numFmtId="164" fontId="4" fillId="0" borderId="5" xfId="1" applyFont="1" applyFill="1" applyBorder="1"/>
    <xf numFmtId="43" fontId="3" fillId="0" borderId="0" xfId="2" applyNumberFormat="1" applyFont="1"/>
    <xf numFmtId="0" fontId="7" fillId="0" borderId="23" xfId="2" applyFont="1" applyBorder="1"/>
    <xf numFmtId="0" fontId="7" fillId="0" borderId="14" xfId="2" applyFont="1" applyBorder="1" applyAlignment="1">
      <alignment horizontal="center"/>
    </xf>
    <xf numFmtId="164" fontId="7" fillId="0" borderId="11" xfId="1" applyFont="1" applyFill="1" applyBorder="1" applyAlignment="1"/>
    <xf numFmtId="10" fontId="7" fillId="0" borderId="0" xfId="2" applyNumberFormat="1" applyFont="1"/>
    <xf numFmtId="164" fontId="7" fillId="0" borderId="0" xfId="3" applyFont="1" applyFill="1"/>
    <xf numFmtId="164" fontId="7" fillId="0" borderId="0" xfId="2" applyNumberFormat="1" applyFont="1"/>
    <xf numFmtId="164" fontId="7" fillId="0" borderId="0" xfId="1" applyFont="1" applyFill="1"/>
    <xf numFmtId="0" fontId="7" fillId="0" borderId="0" xfId="2" applyFont="1"/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164" fontId="0" fillId="0" borderId="0" xfId="1" applyFont="1"/>
    <xf numFmtId="9" fontId="0" fillId="0" borderId="0" xfId="10" applyFont="1"/>
    <xf numFmtId="166" fontId="0" fillId="0" borderId="0" xfId="1" applyNumberFormat="1" applyFont="1"/>
    <xf numFmtId="166" fontId="0" fillId="0" borderId="0" xfId="0" applyNumberFormat="1"/>
    <xf numFmtId="167" fontId="0" fillId="0" borderId="0" xfId="0" applyNumberFormat="1"/>
    <xf numFmtId="167" fontId="0" fillId="0" borderId="0" xfId="1" applyNumberFormat="1" applyFont="1"/>
    <xf numFmtId="0" fontId="11" fillId="0" borderId="0" xfId="0" applyFont="1" applyFill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164" fontId="0" fillId="0" borderId="14" xfId="1" applyFont="1" applyBorder="1" applyAlignment="1">
      <alignment horizontal="center" vertical="center"/>
    </xf>
    <xf numFmtId="9" fontId="0" fillId="0" borderId="14" xfId="10" applyFon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167" fontId="0" fillId="0" borderId="14" xfId="1" applyNumberFormat="1" applyFont="1" applyBorder="1" applyAlignment="1">
      <alignment horizontal="center" vertical="center"/>
    </xf>
    <xf numFmtId="167" fontId="12" fillId="3" borderId="14" xfId="0" applyNumberFormat="1" applyFont="1" applyFill="1" applyBorder="1" applyAlignment="1">
      <alignment horizontal="center" vertical="center"/>
    </xf>
    <xf numFmtId="167" fontId="12" fillId="3" borderId="14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164" fontId="11" fillId="4" borderId="14" xfId="1" applyFont="1" applyFill="1" applyBorder="1" applyAlignment="1">
      <alignment horizontal="center" vertical="center" wrapText="1"/>
    </xf>
    <xf numFmtId="9" fontId="11" fillId="4" borderId="14" xfId="10" applyFont="1" applyFill="1" applyBorder="1" applyAlignment="1">
      <alignment horizontal="center" vertical="center" wrapText="1"/>
    </xf>
    <xf numFmtId="167" fontId="11" fillId="4" borderId="14" xfId="0" applyNumberFormat="1" applyFont="1" applyFill="1" applyBorder="1" applyAlignment="1">
      <alignment horizontal="center" vertical="center"/>
    </xf>
    <xf numFmtId="167" fontId="11" fillId="4" borderId="14" xfId="1" applyNumberFormat="1" applyFon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3" fillId="0" borderId="1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12" fillId="3" borderId="38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0" fontId="0" fillId="0" borderId="3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67" fontId="0" fillId="0" borderId="14" xfId="0" applyNumberFormat="1" applyBorder="1"/>
    <xf numFmtId="0" fontId="12" fillId="2" borderId="24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0" fillId="0" borderId="0" xfId="0" applyNumberFormat="1"/>
  </cellXfs>
  <cellStyles count="11">
    <cellStyle name="Comma" xfId="1" builtinId="3"/>
    <cellStyle name="Comma 5" xfId="6"/>
    <cellStyle name="Comma 6 2 8" xfId="3"/>
    <cellStyle name="Normal" xfId="0" builtinId="0"/>
    <cellStyle name="Normal 11" xfId="9"/>
    <cellStyle name="Normal 2 2 3" xfId="7"/>
    <cellStyle name="Normal 2 3" xfId="8"/>
    <cellStyle name="Normal 33" xfId="5"/>
    <cellStyle name="Normal 38 2 8" xfId="2"/>
    <cellStyle name="Percent" xfId="10" builtinId="5"/>
    <cellStyle name="Percent 6 2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PI\anoope%20(E)\MIL%20BS-QTR%20RESULT\INCOME%20TAX%20RETURN%20MIL\MIL%20IT%202009\ITR6_2009_10_R1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MACCOUNT\Local%20Settings\Temporary%20Internet%20Files\Content.IE5\CT0RK303\BALANCE%20SHEET%202015-2016_V.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IT_FBT_DDTP"/>
      <sheetName val="DDT_TDS_TCS"/>
      <sheetName val="Instructions"/>
      <sheetName val="Pre_X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5">
          <cell r="H65" t="str">
            <v>01-ANDAMAN AND NICOBAR ISLANDS</v>
          </cell>
        </row>
        <row r="66">
          <cell r="H66" t="str">
            <v>02-ANDHRA PRADESH</v>
          </cell>
        </row>
        <row r="67">
          <cell r="H67" t="str">
            <v>03-ARUNACHAL PRADESH</v>
          </cell>
        </row>
        <row r="68">
          <cell r="H68" t="str">
            <v>04-ASSAM</v>
          </cell>
        </row>
        <row r="69">
          <cell r="H69" t="str">
            <v>05-BIHAR</v>
          </cell>
        </row>
        <row r="70">
          <cell r="H70" t="str">
            <v>06-CHANDIGARH</v>
          </cell>
        </row>
        <row r="71">
          <cell r="H71" t="str">
            <v>07-DADRA AND NAGAR HAVELI</v>
          </cell>
        </row>
        <row r="72">
          <cell r="H72" t="str">
            <v>08-DAMAN AND DIU</v>
          </cell>
        </row>
        <row r="73">
          <cell r="H73" t="str">
            <v>09-DELHI</v>
          </cell>
        </row>
        <row r="74">
          <cell r="H74" t="str">
            <v>10-GOA</v>
          </cell>
        </row>
        <row r="75">
          <cell r="H75" t="str">
            <v>11-GUJARAT</v>
          </cell>
        </row>
        <row r="76">
          <cell r="H76" t="str">
            <v>12-HARYANA</v>
          </cell>
        </row>
        <row r="77">
          <cell r="H77" t="str">
            <v>13-HIMACHAL PRADESH</v>
          </cell>
        </row>
        <row r="78">
          <cell r="H78" t="str">
            <v>14-JAMMU AND KASHMIR</v>
          </cell>
        </row>
        <row r="79">
          <cell r="H79" t="str">
            <v>15-KARNATAKA</v>
          </cell>
        </row>
        <row r="80">
          <cell r="H80" t="str">
            <v>16-KERALA</v>
          </cell>
        </row>
        <row r="81">
          <cell r="H81" t="str">
            <v>17-LAKHSWADEEP</v>
          </cell>
        </row>
        <row r="82">
          <cell r="H82" t="str">
            <v>18-MADHYA PRADESH</v>
          </cell>
        </row>
        <row r="83">
          <cell r="H83" t="str">
            <v>19-MAHARASHTRA</v>
          </cell>
        </row>
        <row r="84">
          <cell r="H84" t="str">
            <v>20-MANIPUR</v>
          </cell>
        </row>
        <row r="85">
          <cell r="H85" t="str">
            <v>21-MEGHALAYA</v>
          </cell>
        </row>
        <row r="86">
          <cell r="H86" t="str">
            <v>22-MIZORAM</v>
          </cell>
        </row>
        <row r="87">
          <cell r="H87" t="str">
            <v>23-NAGALAND</v>
          </cell>
        </row>
        <row r="88">
          <cell r="H88" t="str">
            <v>24-ORISSA</v>
          </cell>
        </row>
        <row r="89">
          <cell r="H89" t="str">
            <v>25-PONDICHERRY</v>
          </cell>
        </row>
        <row r="90">
          <cell r="H90" t="str">
            <v>26-PUNJAB</v>
          </cell>
        </row>
        <row r="91">
          <cell r="H91" t="str">
            <v>27-RAJASTHAN</v>
          </cell>
        </row>
        <row r="92">
          <cell r="H92" t="str">
            <v>28-SIKKIM</v>
          </cell>
        </row>
        <row r="93">
          <cell r="H93" t="str">
            <v>29-TAMILNADU</v>
          </cell>
        </row>
        <row r="94">
          <cell r="H94" t="str">
            <v>30-TRIPURA</v>
          </cell>
        </row>
        <row r="95">
          <cell r="H95" t="str">
            <v>31-UTTAR PRADESH</v>
          </cell>
        </row>
        <row r="96">
          <cell r="H96" t="str">
            <v>32-WEST BENGAL</v>
          </cell>
        </row>
        <row r="97">
          <cell r="H97" t="str">
            <v>33-CHHATISHGARH</v>
          </cell>
        </row>
        <row r="98">
          <cell r="H98" t="str">
            <v>34-UTTARANCHAL</v>
          </cell>
        </row>
        <row r="99">
          <cell r="H99" t="str">
            <v>35-JHARKHAND</v>
          </cell>
        </row>
        <row r="100">
          <cell r="H100" t="str">
            <v>99-FOREIGN</v>
          </cell>
        </row>
      </sheetData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 Benefit"/>
      <sheetName val="segment &amp; con assest"/>
      <sheetName val="ADD INN."/>
      <sheetName val="Ratio"/>
      <sheetName val="UNIT WISE MAR-15"/>
      <sheetName val="Ind.P&amp;L Without Lable (Per Tub)"/>
      <sheetName val="Ind.P&amp;L Without Lable (Ratio)"/>
      <sheetName val="TL SUMMERY"/>
      <sheetName val="Comparision"/>
      <sheetName val="Ind.P&amp;L Without Lable"/>
      <sheetName val="Ind.P&amp;L"/>
      <sheetName val="cash flow 31.03.15"/>
      <sheetName val="Tangible Assets."/>
      <sheetName val="ASSETS 15-16"/>
      <sheetName val="HDW DEP (2)"/>
      <sheetName val="BS 15-16 APT"/>
      <sheetName val="RAWTBABD"/>
      <sheetName val="Profit &amp; Loss AC"/>
      <sheetName val="QTRLY RESUL MAR-15"/>
      <sheetName val="NEW FORMAT"/>
      <sheetName val="P&amp;L 15-16 APT"/>
      <sheetName val="TB 15-16 ABAD"/>
      <sheetName val="A"/>
      <sheetName val="ABD RM CL STK 31.03.2016"/>
      <sheetName val="ABD DEP 2015-16"/>
      <sheetName val="ABD SALE_MAR.16"/>
      <sheetName val="HDW SALE_MAR.15"/>
      <sheetName val="HWD ALLOCATION OF EXP"/>
      <sheetName val="HRD RM RATE FOR CL ST"/>
      <sheetName val="HDW RM CL STK 31.03.2014"/>
      <sheetName val="HDW FG 31.03.14"/>
      <sheetName val="HDW SFG 31.03.14"/>
      <sheetName val="HDW cap stk 31.03.14"/>
      <sheetName val="RM Tranfer Inter Unit"/>
      <sheetName val="ABD ALLOCATION OF EXP"/>
      <sheetName val="ABD Spares &amp; Consu."/>
      <sheetName val="ABD cap stk 31.03.2016"/>
      <sheetName val="ABD SFG 31.03.2016"/>
      <sheetName val="ABD FG 31.03.2016"/>
      <sheetName val="ABAD RM RATES FOR CL ST"/>
      <sheetName val="ABD WIP 31.03.2015"/>
      <sheetName val="HDW RM CL STK 31.03.16"/>
      <sheetName val="HDW SFG 31.03.2016"/>
      <sheetName val="HDW cap stk31.03.2016"/>
      <sheetName val="F.G 01.04.201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89">
          <cell r="G89">
            <v>0</v>
          </cell>
        </row>
        <row r="96">
          <cell r="G96">
            <v>12256100</v>
          </cell>
        </row>
        <row r="103">
          <cell r="G103">
            <v>28650625.359999999</v>
          </cell>
        </row>
        <row r="110">
          <cell r="G110">
            <v>223803096.95000002</v>
          </cell>
        </row>
        <row r="123">
          <cell r="G123">
            <v>1400434.25</v>
          </cell>
        </row>
        <row r="130">
          <cell r="G130">
            <v>573669.19999999995</v>
          </cell>
        </row>
        <row r="137">
          <cell r="G137">
            <v>2234156</v>
          </cell>
        </row>
        <row r="144">
          <cell r="G144">
            <v>560758.51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245"/>
  <sheetViews>
    <sheetView topLeftCell="A182" workbookViewId="0">
      <selection activeCell="D186" sqref="D186"/>
    </sheetView>
  </sheetViews>
  <sheetFormatPr defaultColWidth="8.28515625" defaultRowHeight="14.25" x14ac:dyDescent="0.2"/>
  <cols>
    <col min="1" max="1" width="8.28515625" style="41"/>
    <col min="2" max="2" width="2.85546875" style="41" bestFit="1" customWidth="1"/>
    <col min="3" max="3" width="53.28515625" style="41" bestFit="1" customWidth="1"/>
    <col min="4" max="4" width="12.28515625" style="46" bestFit="1" customWidth="1"/>
    <col min="5" max="5" width="6.7109375" style="46" bestFit="1" customWidth="1"/>
    <col min="6" max="6" width="23.140625" style="1" bestFit="1" customWidth="1"/>
    <col min="7" max="7" width="21.5703125" style="1" bestFit="1" customWidth="1"/>
    <col min="8" max="8" width="20.28515625" style="1" bestFit="1" customWidth="1"/>
    <col min="9" max="9" width="23.140625" style="25" bestFit="1" customWidth="1"/>
    <col min="10" max="10" width="17.7109375" style="41" hidden="1" customWidth="1"/>
    <col min="11" max="11" width="23.140625" style="25" bestFit="1" customWidth="1"/>
    <col min="12" max="12" width="23" style="25" hidden="1" customWidth="1"/>
    <col min="13" max="13" width="23" style="41" hidden="1" customWidth="1"/>
    <col min="14" max="14" width="21.5703125" style="41" bestFit="1" customWidth="1"/>
    <col min="15" max="15" width="29.7109375" style="41" bestFit="1" customWidth="1"/>
    <col min="16" max="16" width="14.7109375" style="41" bestFit="1" customWidth="1"/>
    <col min="17" max="17" width="21.5703125" style="1" bestFit="1" customWidth="1"/>
    <col min="18" max="18" width="23.140625" style="1" hidden="1" customWidth="1"/>
    <col min="19" max="20" width="23.140625" style="1" bestFit="1" customWidth="1"/>
    <col min="21" max="21" width="17.7109375" style="41" bestFit="1" customWidth="1"/>
    <col min="22" max="22" width="21.5703125" style="41" bestFit="1" customWidth="1"/>
    <col min="23" max="23" width="21.5703125" style="1" bestFit="1" customWidth="1"/>
    <col min="24" max="24" width="8.7109375" style="41" bestFit="1" customWidth="1"/>
    <col min="25" max="25" width="18.85546875" style="41" bestFit="1" customWidth="1"/>
    <col min="26" max="26" width="19.85546875" style="41" bestFit="1" customWidth="1"/>
    <col min="27" max="27" width="18.85546875" style="25" bestFit="1" customWidth="1"/>
    <col min="28" max="29" width="8.28515625" style="41"/>
    <col min="30" max="30" width="9.7109375" style="41" bestFit="1" customWidth="1"/>
    <col min="31" max="16384" width="8.28515625" style="41"/>
  </cols>
  <sheetData>
    <row r="1" spans="2:27" ht="15" thickBot="1" x14ac:dyDescent="0.25">
      <c r="K1" s="25">
        <f>144+324</f>
        <v>468</v>
      </c>
    </row>
    <row r="2" spans="2:27" s="57" customFormat="1" ht="44.25" customHeight="1" thickBot="1" x14ac:dyDescent="0.25">
      <c r="B2" s="47"/>
      <c r="C2" s="48" t="s">
        <v>0</v>
      </c>
      <c r="D2" s="49"/>
      <c r="E2" s="50" t="s">
        <v>1</v>
      </c>
      <c r="F2" s="5" t="s">
        <v>159</v>
      </c>
      <c r="G2" s="6" t="s">
        <v>2</v>
      </c>
      <c r="H2" s="6" t="s">
        <v>3</v>
      </c>
      <c r="I2" s="51" t="s">
        <v>160</v>
      </c>
      <c r="J2" s="52" t="s">
        <v>4</v>
      </c>
      <c r="K2" s="53" t="s">
        <v>5</v>
      </c>
      <c r="L2" s="54" t="s">
        <v>6</v>
      </c>
      <c r="M2" s="55" t="s">
        <v>7</v>
      </c>
      <c r="N2" s="56" t="s">
        <v>8</v>
      </c>
      <c r="O2" s="56" t="s">
        <v>9</v>
      </c>
      <c r="P2" s="56" t="s">
        <v>161</v>
      </c>
      <c r="Q2" s="7" t="s">
        <v>10</v>
      </c>
      <c r="R2" s="7" t="s">
        <v>11</v>
      </c>
      <c r="S2" s="7" t="s">
        <v>12</v>
      </c>
      <c r="T2" s="8" t="s">
        <v>7</v>
      </c>
      <c r="U2" s="9" t="s">
        <v>13</v>
      </c>
      <c r="W2" s="9" t="s">
        <v>10</v>
      </c>
      <c r="AA2" s="58"/>
    </row>
    <row r="3" spans="2:27" ht="15" thickBot="1" x14ac:dyDescent="0.25">
      <c r="B3" s="59" t="s">
        <v>14</v>
      </c>
      <c r="C3" s="60" t="s">
        <v>15</v>
      </c>
      <c r="D3" s="61"/>
      <c r="E3" s="10"/>
      <c r="F3" s="10"/>
      <c r="G3" s="10"/>
      <c r="H3" s="10"/>
      <c r="I3" s="38"/>
      <c r="J3" s="10"/>
      <c r="K3" s="62"/>
      <c r="L3" s="38"/>
      <c r="M3" s="63"/>
      <c r="P3" s="41">
        <v>1</v>
      </c>
    </row>
    <row r="4" spans="2:27" x14ac:dyDescent="0.2">
      <c r="B4" s="64"/>
      <c r="C4" s="10" t="s">
        <v>16</v>
      </c>
      <c r="D4" s="37" t="s">
        <v>17</v>
      </c>
      <c r="E4" s="37"/>
      <c r="F4" s="11">
        <v>12256100</v>
      </c>
      <c r="G4" s="12"/>
      <c r="H4" s="12"/>
      <c r="I4" s="38">
        <f>+F4+G4-H4</f>
        <v>12256100</v>
      </c>
      <c r="J4" s="10">
        <v>0</v>
      </c>
      <c r="K4" s="16">
        <v>0</v>
      </c>
      <c r="L4" s="62">
        <f>+J4+K4</f>
        <v>0</v>
      </c>
      <c r="M4" s="17">
        <f>+I4-L4</f>
        <v>12256100</v>
      </c>
      <c r="N4" s="65">
        <f>+M4</f>
        <v>12256100</v>
      </c>
      <c r="O4" s="36">
        <v>0</v>
      </c>
      <c r="P4" s="36">
        <v>0</v>
      </c>
      <c r="Q4" s="17">
        <v>0</v>
      </c>
      <c r="R4" s="17">
        <v>0</v>
      </c>
      <c r="S4" s="17">
        <v>0</v>
      </c>
      <c r="T4" s="17">
        <v>0</v>
      </c>
      <c r="W4" s="17">
        <v>0</v>
      </c>
    </row>
    <row r="5" spans="2:27" ht="15" thickBot="1" x14ac:dyDescent="0.25">
      <c r="B5" s="64"/>
      <c r="C5" s="168"/>
      <c r="D5" s="169"/>
      <c r="E5" s="170"/>
      <c r="F5" s="170"/>
      <c r="G5" s="170"/>
      <c r="H5" s="170"/>
      <c r="I5" s="170"/>
      <c r="J5" s="170"/>
      <c r="K5" s="170"/>
      <c r="L5" s="170"/>
      <c r="M5" s="171"/>
      <c r="N5" s="65"/>
      <c r="O5" s="65">
        <f t="shared" ref="O5:T5" si="0">+SUM(O4)</f>
        <v>0</v>
      </c>
      <c r="P5" s="65">
        <f t="shared" si="0"/>
        <v>0</v>
      </c>
      <c r="Q5" s="17">
        <f t="shared" si="0"/>
        <v>0</v>
      </c>
      <c r="R5" s="17">
        <f t="shared" si="0"/>
        <v>0</v>
      </c>
      <c r="S5" s="17">
        <f t="shared" si="0"/>
        <v>0</v>
      </c>
      <c r="T5" s="17">
        <f t="shared" si="0"/>
        <v>0</v>
      </c>
      <c r="W5" s="17">
        <v>0</v>
      </c>
    </row>
    <row r="6" spans="2:27" x14ac:dyDescent="0.2">
      <c r="B6" s="59" t="s">
        <v>18</v>
      </c>
      <c r="C6" s="66" t="s">
        <v>19</v>
      </c>
      <c r="D6" s="67">
        <v>3.34</v>
      </c>
      <c r="E6" s="68"/>
      <c r="F6" s="13"/>
      <c r="G6" s="14"/>
      <c r="H6" s="14"/>
      <c r="I6" s="69"/>
      <c r="J6" s="70"/>
      <c r="K6" s="42"/>
      <c r="L6" s="42"/>
      <c r="M6" s="71"/>
      <c r="N6" s="36"/>
      <c r="O6" s="36"/>
      <c r="P6" s="36"/>
      <c r="Q6" s="17"/>
      <c r="R6" s="17"/>
      <c r="S6" s="17"/>
      <c r="T6" s="17"/>
      <c r="W6" s="17"/>
    </row>
    <row r="7" spans="2:27" x14ac:dyDescent="0.2">
      <c r="B7" s="35"/>
      <c r="C7" s="36" t="s">
        <v>20</v>
      </c>
      <c r="D7" s="37" t="s">
        <v>17</v>
      </c>
      <c r="E7" s="37"/>
      <c r="F7" s="15">
        <v>20669423.940000001</v>
      </c>
      <c r="G7" s="15"/>
      <c r="H7" s="15"/>
      <c r="I7" s="38">
        <f t="shared" ref="I7:I17" si="1">+F7+G7-H7</f>
        <v>20669423.940000001</v>
      </c>
      <c r="J7" s="16"/>
      <c r="K7" s="16">
        <v>6580178.0558212688</v>
      </c>
      <c r="L7" s="16">
        <f t="shared" ref="L7:L17" si="2">K7+J7</f>
        <v>6580178.0558212688</v>
      </c>
      <c r="M7" s="17">
        <v>5958474.4992889483</v>
      </c>
      <c r="N7" s="17">
        <f t="shared" ref="N7:N17" si="3">+F7*0.05</f>
        <v>1033471.1970000002</v>
      </c>
      <c r="O7" s="17">
        <f t="shared" ref="O7:O17" si="4">+I7-L7-N7</f>
        <v>13055774.687178731</v>
      </c>
      <c r="P7" s="17">
        <v>21</v>
      </c>
      <c r="Q7" s="17">
        <f>+O7/P7</f>
        <v>621703.55653232057</v>
      </c>
      <c r="R7" s="17">
        <f t="shared" ref="R7:R17" si="5">+K7</f>
        <v>6580178.0558212688</v>
      </c>
      <c r="S7" s="17">
        <f t="shared" ref="S7:S17" si="6">+Q7+R7</f>
        <v>7201881.6123535894</v>
      </c>
      <c r="T7" s="17">
        <f t="shared" ref="T7:T17" si="7">+F7-S7</f>
        <v>13467542.327646412</v>
      </c>
      <c r="U7" s="39">
        <v>3.3399999999999999E-2</v>
      </c>
      <c r="V7" s="1">
        <f>+Q7/4*3</f>
        <v>466277.66739924042</v>
      </c>
      <c r="W7" s="17">
        <v>648734.14594676916</v>
      </c>
      <c r="X7" s="40">
        <f>+P7-1</f>
        <v>20</v>
      </c>
      <c r="Y7" s="40">
        <f t="shared" ref="Y7:Y17" si="8">+Q7*X7</f>
        <v>12434071.130646411</v>
      </c>
      <c r="Z7" s="40">
        <f t="shared" ref="Z7:Z17" si="9">+T7-Y7</f>
        <v>1033471.1970000006</v>
      </c>
      <c r="AA7" s="25">
        <f t="shared" ref="AA7:AA14" si="10">+N7-Z7</f>
        <v>0</v>
      </c>
    </row>
    <row r="8" spans="2:27" x14ac:dyDescent="0.2">
      <c r="B8" s="35"/>
      <c r="C8" s="36" t="s">
        <v>20</v>
      </c>
      <c r="D8" s="37" t="s">
        <v>21</v>
      </c>
      <c r="E8" s="37"/>
      <c r="F8" s="15">
        <v>6258605.5999999996</v>
      </c>
      <c r="G8" s="15"/>
      <c r="H8" s="15"/>
      <c r="I8" s="38">
        <f t="shared" si="1"/>
        <v>6258605.5999999996</v>
      </c>
      <c r="J8" s="17"/>
      <c r="K8" s="16">
        <v>1966969.1362461541</v>
      </c>
      <c r="L8" s="16">
        <f t="shared" si="2"/>
        <v>1966969.1362461541</v>
      </c>
      <c r="M8" s="17">
        <v>1768033.8270584617</v>
      </c>
      <c r="N8" s="17">
        <f t="shared" si="3"/>
        <v>312930.27999999997</v>
      </c>
      <c r="O8" s="17">
        <f t="shared" si="4"/>
        <v>3978706.1837538457</v>
      </c>
      <c r="P8" s="17">
        <v>20</v>
      </c>
      <c r="Q8" s="17">
        <f t="shared" ref="Q8:Q17" si="11">+O8/P8</f>
        <v>198935.3091876923</v>
      </c>
      <c r="R8" s="17">
        <f t="shared" si="5"/>
        <v>1966969.1362461541</v>
      </c>
      <c r="S8" s="17">
        <f t="shared" si="6"/>
        <v>2165904.4454338462</v>
      </c>
      <c r="T8" s="17">
        <f t="shared" si="7"/>
        <v>4092701.1545661534</v>
      </c>
      <c r="U8" s="39">
        <v>3.3399999999999999E-2</v>
      </c>
      <c r="V8" s="1">
        <f t="shared" ref="V8:V17" si="12">+Q8/4*3</f>
        <v>149201.48189076921</v>
      </c>
      <c r="W8" s="17">
        <v>198935.3091876923</v>
      </c>
      <c r="X8" s="40">
        <f t="shared" ref="X8:X17" si="13">+P8-1</f>
        <v>19</v>
      </c>
      <c r="Y8" s="40">
        <f t="shared" si="8"/>
        <v>3779770.8745661536</v>
      </c>
      <c r="Z8" s="40">
        <f t="shared" si="9"/>
        <v>312930.2799999998</v>
      </c>
      <c r="AA8" s="25">
        <f t="shared" si="10"/>
        <v>0</v>
      </c>
    </row>
    <row r="9" spans="2:27" x14ac:dyDescent="0.2">
      <c r="B9" s="35"/>
      <c r="C9" s="36" t="s">
        <v>20</v>
      </c>
      <c r="D9" s="37" t="s">
        <v>22</v>
      </c>
      <c r="E9" s="37"/>
      <c r="F9" s="15">
        <v>115878.01</v>
      </c>
      <c r="G9" s="15"/>
      <c r="H9" s="15"/>
      <c r="I9" s="38">
        <f t="shared" si="1"/>
        <v>115878.01</v>
      </c>
      <c r="J9" s="17"/>
      <c r="K9" s="16">
        <v>33237.752941777777</v>
      </c>
      <c r="L9" s="16">
        <f t="shared" si="2"/>
        <v>33237.752941777777</v>
      </c>
      <c r="M9" s="17">
        <v>29578.402629481479</v>
      </c>
      <c r="N9" s="17">
        <f t="shared" si="3"/>
        <v>5793.9004999999997</v>
      </c>
      <c r="O9" s="17">
        <f t="shared" si="4"/>
        <v>76846.356558222222</v>
      </c>
      <c r="P9" s="17">
        <v>21</v>
      </c>
      <c r="Q9" s="17">
        <f t="shared" si="11"/>
        <v>3659.3503122962961</v>
      </c>
      <c r="R9" s="17">
        <f t="shared" si="5"/>
        <v>33237.752941777777</v>
      </c>
      <c r="S9" s="17">
        <f t="shared" si="6"/>
        <v>36897.103254074071</v>
      </c>
      <c r="T9" s="17">
        <f t="shared" si="7"/>
        <v>78980.906745925924</v>
      </c>
      <c r="U9" s="39">
        <v>3.3399999999999999E-2</v>
      </c>
      <c r="V9" s="1">
        <f t="shared" si="12"/>
        <v>2744.5127342222222</v>
      </c>
      <c r="W9" s="17">
        <v>3659.3503122962957</v>
      </c>
      <c r="X9" s="40">
        <f t="shared" si="13"/>
        <v>20</v>
      </c>
      <c r="Y9" s="40">
        <f t="shared" si="8"/>
        <v>73187.006245925921</v>
      </c>
      <c r="Z9" s="40">
        <f t="shared" si="9"/>
        <v>5793.9005000000034</v>
      </c>
      <c r="AA9" s="25">
        <f t="shared" si="10"/>
        <v>0</v>
      </c>
    </row>
    <row r="10" spans="2:27" x14ac:dyDescent="0.2">
      <c r="B10" s="35"/>
      <c r="C10" s="36" t="s">
        <v>20</v>
      </c>
      <c r="D10" s="37" t="s">
        <v>23</v>
      </c>
      <c r="E10" s="37"/>
      <c r="F10" s="15">
        <v>803165.85</v>
      </c>
      <c r="G10" s="15"/>
      <c r="H10" s="15"/>
      <c r="I10" s="38">
        <f t="shared" si="1"/>
        <v>803165.85</v>
      </c>
      <c r="J10" s="17"/>
      <c r="K10" s="16">
        <v>204122.0575564286</v>
      </c>
      <c r="L10" s="16">
        <f t="shared" si="2"/>
        <v>204122.0575564286</v>
      </c>
      <c r="M10" s="17">
        <v>178718.17119535716</v>
      </c>
      <c r="N10" s="17">
        <f t="shared" si="3"/>
        <v>40158.292500000003</v>
      </c>
      <c r="O10" s="17">
        <f t="shared" si="4"/>
        <v>558885.4999435714</v>
      </c>
      <c r="P10" s="17">
        <v>22</v>
      </c>
      <c r="Q10" s="17">
        <f t="shared" si="11"/>
        <v>25403.886361071429</v>
      </c>
      <c r="R10" s="17">
        <f t="shared" si="5"/>
        <v>204122.0575564286</v>
      </c>
      <c r="S10" s="17">
        <f t="shared" si="6"/>
        <v>229525.94391750003</v>
      </c>
      <c r="T10" s="17">
        <f t="shared" si="7"/>
        <v>573639.90608250001</v>
      </c>
      <c r="U10" s="39">
        <v>3.3399999999999999E-2</v>
      </c>
      <c r="V10" s="1">
        <f t="shared" si="12"/>
        <v>19052.914770803571</v>
      </c>
      <c r="W10" s="17">
        <v>25403.886361071429</v>
      </c>
      <c r="X10" s="40">
        <f t="shared" si="13"/>
        <v>21</v>
      </c>
      <c r="Y10" s="40">
        <f t="shared" si="8"/>
        <v>533481.61358250002</v>
      </c>
      <c r="Z10" s="40">
        <f t="shared" si="9"/>
        <v>40158.292499999981</v>
      </c>
      <c r="AA10" s="25">
        <f t="shared" si="10"/>
        <v>0</v>
      </c>
    </row>
    <row r="11" spans="2:27" x14ac:dyDescent="0.2">
      <c r="B11" s="35"/>
      <c r="C11" s="36" t="s">
        <v>24</v>
      </c>
      <c r="D11" s="37" t="s">
        <v>23</v>
      </c>
      <c r="E11" s="37"/>
      <c r="F11" s="15">
        <v>297183</v>
      </c>
      <c r="G11" s="15"/>
      <c r="H11" s="15"/>
      <c r="I11" s="38">
        <f t="shared" si="1"/>
        <v>297183</v>
      </c>
      <c r="J11" s="17"/>
      <c r="K11" s="16">
        <v>68296.898871428566</v>
      </c>
      <c r="L11" s="16">
        <f t="shared" si="2"/>
        <v>68296.898871428566</v>
      </c>
      <c r="M11" s="17">
        <v>58568.401092857144</v>
      </c>
      <c r="N11" s="17">
        <f t="shared" si="3"/>
        <v>14859.150000000001</v>
      </c>
      <c r="O11" s="17">
        <f t="shared" si="4"/>
        <v>214026.95112857144</v>
      </c>
      <c r="P11" s="17">
        <v>22</v>
      </c>
      <c r="Q11" s="17">
        <f t="shared" si="11"/>
        <v>9728.4977785714291</v>
      </c>
      <c r="R11" s="17">
        <f t="shared" si="5"/>
        <v>68296.898871428566</v>
      </c>
      <c r="S11" s="17">
        <f t="shared" si="6"/>
        <v>78025.396649999995</v>
      </c>
      <c r="T11" s="17">
        <f t="shared" si="7"/>
        <v>219157.60334999999</v>
      </c>
      <c r="U11" s="39">
        <v>3.3399999999999999E-2</v>
      </c>
      <c r="V11" s="1">
        <f t="shared" si="12"/>
        <v>7296.3733339285718</v>
      </c>
      <c r="W11" s="17">
        <v>9728.4977785714273</v>
      </c>
      <c r="X11" s="40">
        <f t="shared" si="13"/>
        <v>21</v>
      </c>
      <c r="Y11" s="40">
        <f t="shared" si="8"/>
        <v>204298.45335000003</v>
      </c>
      <c r="Z11" s="40">
        <f t="shared" si="9"/>
        <v>14859.149999999965</v>
      </c>
      <c r="AA11" s="25">
        <f t="shared" si="10"/>
        <v>3.637978807091713E-11</v>
      </c>
    </row>
    <row r="12" spans="2:27" x14ac:dyDescent="0.2">
      <c r="B12" s="35"/>
      <c r="C12" s="36" t="s">
        <v>24</v>
      </c>
      <c r="D12" s="37" t="s">
        <v>25</v>
      </c>
      <c r="E12" s="37"/>
      <c r="F12" s="15">
        <v>69125</v>
      </c>
      <c r="G12" s="15"/>
      <c r="H12" s="15"/>
      <c r="I12" s="38">
        <f t="shared" si="1"/>
        <v>69125</v>
      </c>
      <c r="J12" s="17"/>
      <c r="K12" s="16">
        <v>15417.913793103446</v>
      </c>
      <c r="L12" s="16">
        <f t="shared" si="2"/>
        <v>15417.913793103446</v>
      </c>
      <c r="M12" s="17">
        <v>13233.094827586205</v>
      </c>
      <c r="N12" s="17">
        <f t="shared" si="3"/>
        <v>3456.25</v>
      </c>
      <c r="O12" s="17">
        <f t="shared" si="4"/>
        <v>50250.836206896551</v>
      </c>
      <c r="P12" s="17">
        <v>23</v>
      </c>
      <c r="Q12" s="17">
        <f t="shared" si="11"/>
        <v>2184.8189655172414</v>
      </c>
      <c r="R12" s="17">
        <f t="shared" si="5"/>
        <v>15417.913793103446</v>
      </c>
      <c r="S12" s="17">
        <f t="shared" si="6"/>
        <v>17602.732758620688</v>
      </c>
      <c r="T12" s="17">
        <f t="shared" si="7"/>
        <v>51522.267241379312</v>
      </c>
      <c r="U12" s="39">
        <v>3.3399999999999999E-2</v>
      </c>
      <c r="V12" s="1">
        <f t="shared" si="12"/>
        <v>1638.6142241379312</v>
      </c>
      <c r="W12" s="17">
        <v>2184.8189655172414</v>
      </c>
      <c r="X12" s="40">
        <f t="shared" si="13"/>
        <v>22</v>
      </c>
      <c r="Y12" s="40">
        <f t="shared" si="8"/>
        <v>48066.017241379312</v>
      </c>
      <c r="Z12" s="40">
        <f t="shared" si="9"/>
        <v>3456.25</v>
      </c>
      <c r="AA12" s="25">
        <f t="shared" si="10"/>
        <v>0</v>
      </c>
    </row>
    <row r="13" spans="2:27" x14ac:dyDescent="0.2">
      <c r="B13" s="35"/>
      <c r="C13" s="36" t="s">
        <v>20</v>
      </c>
      <c r="D13" s="37" t="s">
        <v>25</v>
      </c>
      <c r="E13" s="37"/>
      <c r="F13" s="15">
        <v>387642.39</v>
      </c>
      <c r="G13" s="15"/>
      <c r="H13" s="15"/>
      <c r="I13" s="38">
        <f t="shared" si="1"/>
        <v>387642.39</v>
      </c>
      <c r="J13" s="17"/>
      <c r="K13" s="16">
        <v>81301.745620689646</v>
      </c>
      <c r="L13" s="16">
        <f t="shared" si="2"/>
        <v>81301.745620689646</v>
      </c>
      <c r="M13" s="17">
        <v>68825.288017241372</v>
      </c>
      <c r="N13" s="17">
        <f t="shared" si="3"/>
        <v>19382.119500000001</v>
      </c>
      <c r="O13" s="17">
        <f t="shared" si="4"/>
        <v>286958.5248793104</v>
      </c>
      <c r="P13" s="17">
        <v>23</v>
      </c>
      <c r="Q13" s="17">
        <f t="shared" si="11"/>
        <v>12476.457603448278</v>
      </c>
      <c r="R13" s="17">
        <f t="shared" si="5"/>
        <v>81301.745620689646</v>
      </c>
      <c r="S13" s="17">
        <f t="shared" si="6"/>
        <v>93778.20322413792</v>
      </c>
      <c r="T13" s="17">
        <f t="shared" si="7"/>
        <v>293864.18677586212</v>
      </c>
      <c r="U13" s="39">
        <v>3.3399999999999999E-2</v>
      </c>
      <c r="V13" s="1">
        <f t="shared" si="12"/>
        <v>9357.3432025862094</v>
      </c>
      <c r="W13" s="17">
        <v>12476.457603448276</v>
      </c>
      <c r="X13" s="40">
        <f t="shared" si="13"/>
        <v>22</v>
      </c>
      <c r="Y13" s="40">
        <f t="shared" si="8"/>
        <v>274482.06727586209</v>
      </c>
      <c r="Z13" s="40">
        <f t="shared" si="9"/>
        <v>19382.11950000003</v>
      </c>
      <c r="AA13" s="25">
        <f t="shared" si="10"/>
        <v>-2.9103830456733704E-11</v>
      </c>
    </row>
    <row r="14" spans="2:27" x14ac:dyDescent="0.2">
      <c r="B14" s="35"/>
      <c r="C14" s="36" t="s">
        <v>20</v>
      </c>
      <c r="D14" s="37" t="s">
        <v>26</v>
      </c>
      <c r="E14" s="37"/>
      <c r="F14" s="17">
        <v>5563</v>
      </c>
      <c r="G14" s="17"/>
      <c r="H14" s="17"/>
      <c r="I14" s="38">
        <f t="shared" si="1"/>
        <v>5563</v>
      </c>
      <c r="J14" s="17"/>
      <c r="K14" s="16">
        <v>1093.4172413793103</v>
      </c>
      <c r="L14" s="16">
        <f t="shared" si="2"/>
        <v>1093.4172413793103</v>
      </c>
      <c r="M14" s="17">
        <v>911.18103448275861</v>
      </c>
      <c r="N14" s="17">
        <f t="shared" si="3"/>
        <v>278.15000000000003</v>
      </c>
      <c r="O14" s="17">
        <f t="shared" si="4"/>
        <v>4191.43275862069</v>
      </c>
      <c r="P14" s="17">
        <v>23</v>
      </c>
      <c r="Q14" s="17">
        <f t="shared" si="11"/>
        <v>182.23620689655175</v>
      </c>
      <c r="R14" s="17">
        <f t="shared" si="5"/>
        <v>1093.4172413793103</v>
      </c>
      <c r="S14" s="17">
        <f t="shared" si="6"/>
        <v>1275.653448275862</v>
      </c>
      <c r="T14" s="17">
        <f t="shared" si="7"/>
        <v>4287.3465517241384</v>
      </c>
      <c r="U14" s="39">
        <v>3.3399999999999999E-2</v>
      </c>
      <c r="V14" s="1">
        <f t="shared" si="12"/>
        <v>136.67715517241382</v>
      </c>
      <c r="W14" s="17">
        <v>182.23620689655175</v>
      </c>
      <c r="X14" s="40">
        <f t="shared" si="13"/>
        <v>22</v>
      </c>
      <c r="Y14" s="40">
        <f t="shared" si="8"/>
        <v>4009.1965517241383</v>
      </c>
      <c r="Z14" s="40">
        <f t="shared" si="9"/>
        <v>278.15000000000009</v>
      </c>
      <c r="AA14" s="25">
        <f t="shared" si="10"/>
        <v>0</v>
      </c>
    </row>
    <row r="15" spans="2:27" x14ac:dyDescent="0.2">
      <c r="B15" s="35"/>
      <c r="C15" s="36" t="s">
        <v>20</v>
      </c>
      <c r="D15" s="37" t="s">
        <v>27</v>
      </c>
      <c r="E15" s="37"/>
      <c r="F15" s="17">
        <v>44039</v>
      </c>
      <c r="G15" s="17"/>
      <c r="H15" s="17"/>
      <c r="I15" s="38">
        <f t="shared" si="1"/>
        <v>44039</v>
      </c>
      <c r="J15" s="17"/>
      <c r="K15" s="16">
        <v>7213.2844827586214</v>
      </c>
      <c r="L15" s="16">
        <f t="shared" si="2"/>
        <v>7213.2844827586214</v>
      </c>
      <c r="M15" s="17">
        <v>5770.6275862068969</v>
      </c>
      <c r="N15" s="17">
        <f t="shared" si="3"/>
        <v>2201.9500000000003</v>
      </c>
      <c r="O15" s="17">
        <f t="shared" si="4"/>
        <v>34623.76551724138</v>
      </c>
      <c r="P15" s="17">
        <v>24</v>
      </c>
      <c r="Q15" s="17">
        <f t="shared" si="11"/>
        <v>1442.6568965517242</v>
      </c>
      <c r="R15" s="17">
        <f t="shared" si="5"/>
        <v>7213.2844827586214</v>
      </c>
      <c r="S15" s="17">
        <f t="shared" si="6"/>
        <v>8655.9413793103449</v>
      </c>
      <c r="T15" s="17">
        <f t="shared" si="7"/>
        <v>35383.058620689655</v>
      </c>
      <c r="U15" s="39">
        <v>3.3399999999999999E-2</v>
      </c>
      <c r="V15" s="1">
        <f t="shared" si="12"/>
        <v>1081.9926724137931</v>
      </c>
      <c r="W15" s="17"/>
      <c r="X15" s="40">
        <f t="shared" si="13"/>
        <v>23</v>
      </c>
      <c r="Y15" s="40">
        <f t="shared" si="8"/>
        <v>33181.108620689658</v>
      </c>
      <c r="Z15" s="40">
        <f t="shared" si="9"/>
        <v>2201.9499999999971</v>
      </c>
    </row>
    <row r="16" spans="2:27" x14ac:dyDescent="0.2">
      <c r="B16" s="35"/>
      <c r="C16" s="36" t="s">
        <v>20</v>
      </c>
      <c r="D16" s="37" t="s">
        <v>28</v>
      </c>
      <c r="E16" s="37"/>
      <c r="F16" s="17">
        <v>285360.74</v>
      </c>
      <c r="G16" s="17"/>
      <c r="H16" s="17"/>
      <c r="I16" s="38">
        <f t="shared" si="1"/>
        <v>285360.74</v>
      </c>
      <c r="J16" s="17"/>
      <c r="K16" s="16">
        <v>37392.096965517238</v>
      </c>
      <c r="L16" s="16">
        <f t="shared" si="2"/>
        <v>37392.096965517238</v>
      </c>
      <c r="M16" s="17">
        <v>28044.072724137928</v>
      </c>
      <c r="N16" s="17">
        <f t="shared" si="3"/>
        <v>14268.037</v>
      </c>
      <c r="O16" s="17">
        <f t="shared" si="4"/>
        <v>233700.60603448274</v>
      </c>
      <c r="P16" s="17">
        <v>25</v>
      </c>
      <c r="Q16" s="17">
        <f t="shared" si="11"/>
        <v>9348.0242413793094</v>
      </c>
      <c r="R16" s="17">
        <f t="shared" si="5"/>
        <v>37392.096965517238</v>
      </c>
      <c r="S16" s="17">
        <f t="shared" si="6"/>
        <v>46740.121206896547</v>
      </c>
      <c r="T16" s="17">
        <f t="shared" si="7"/>
        <v>238620.61879310344</v>
      </c>
      <c r="U16" s="39">
        <v>3.3399999999999999E-2</v>
      </c>
      <c r="V16" s="1">
        <f t="shared" si="12"/>
        <v>7011.018181034482</v>
      </c>
      <c r="W16" s="17"/>
      <c r="X16" s="40">
        <f t="shared" si="13"/>
        <v>24</v>
      </c>
      <c r="Y16" s="40">
        <f t="shared" si="8"/>
        <v>224352.58179310343</v>
      </c>
      <c r="Z16" s="40">
        <f t="shared" si="9"/>
        <v>14268.037000000011</v>
      </c>
    </row>
    <row r="17" spans="2:27" x14ac:dyDescent="0.2">
      <c r="B17" s="35"/>
      <c r="C17" s="36" t="s">
        <v>20</v>
      </c>
      <c r="D17" s="37" t="s">
        <v>28</v>
      </c>
      <c r="E17" s="37"/>
      <c r="F17" s="17">
        <v>295011</v>
      </c>
      <c r="G17" s="17"/>
      <c r="H17" s="17"/>
      <c r="I17" s="38">
        <f t="shared" si="1"/>
        <v>295011</v>
      </c>
      <c r="J17" s="17"/>
      <c r="K17" s="16">
        <v>38656.613793103446</v>
      </c>
      <c r="L17" s="16">
        <f t="shared" si="2"/>
        <v>38656.613793103446</v>
      </c>
      <c r="M17" s="17">
        <v>28992.460344827585</v>
      </c>
      <c r="N17" s="17">
        <f t="shared" si="3"/>
        <v>14750.550000000001</v>
      </c>
      <c r="O17" s="17">
        <f t="shared" si="4"/>
        <v>241603.83620689658</v>
      </c>
      <c r="P17" s="17">
        <v>25</v>
      </c>
      <c r="Q17" s="17">
        <f t="shared" si="11"/>
        <v>9664.1534482758634</v>
      </c>
      <c r="R17" s="17">
        <f t="shared" si="5"/>
        <v>38656.613793103446</v>
      </c>
      <c r="S17" s="17">
        <f t="shared" si="6"/>
        <v>48320.767241379312</v>
      </c>
      <c r="T17" s="17">
        <f t="shared" si="7"/>
        <v>246690.2327586207</v>
      </c>
      <c r="U17" s="39">
        <v>3.3399999999999999E-2</v>
      </c>
      <c r="V17" s="1">
        <f t="shared" si="12"/>
        <v>7248.1150862068971</v>
      </c>
      <c r="W17" s="17"/>
      <c r="X17" s="40">
        <f t="shared" si="13"/>
        <v>24</v>
      </c>
      <c r="Y17" s="40">
        <f t="shared" si="8"/>
        <v>231939.68275862071</v>
      </c>
      <c r="Z17" s="40">
        <f t="shared" si="9"/>
        <v>14750.549999999988</v>
      </c>
    </row>
    <row r="18" spans="2:27" ht="15" thickBot="1" x14ac:dyDescent="0.25">
      <c r="B18" s="35"/>
      <c r="C18" s="72"/>
      <c r="F18" s="18"/>
      <c r="G18" s="18"/>
      <c r="H18" s="18"/>
      <c r="I18" s="19"/>
      <c r="J18" s="18"/>
      <c r="K18" s="19"/>
      <c r="L18" s="19"/>
      <c r="M18" s="73"/>
      <c r="N18" s="20"/>
      <c r="O18" s="20"/>
      <c r="P18" s="20"/>
      <c r="Q18" s="20"/>
      <c r="R18" s="20"/>
      <c r="S18" s="20"/>
      <c r="T18" s="20"/>
      <c r="U18" s="39"/>
      <c r="V18" s="1"/>
      <c r="W18" s="17"/>
    </row>
    <row r="19" spans="2:27" s="77" customFormat="1" ht="15" thickBot="1" x14ac:dyDescent="0.25">
      <c r="B19" s="74"/>
      <c r="C19" s="75" t="s">
        <v>29</v>
      </c>
      <c r="D19" s="76"/>
      <c r="E19" s="76"/>
      <c r="F19" s="21">
        <f>+SUM(F7:F17)</f>
        <v>29230997.530000001</v>
      </c>
      <c r="G19" s="21"/>
      <c r="H19" s="21">
        <f>+SUM(H7:H17)</f>
        <v>0</v>
      </c>
      <c r="I19" s="22">
        <f>+SUM(I7:I17)</f>
        <v>29230997.530000001</v>
      </c>
      <c r="J19" s="21">
        <f>+SUM(J7:J15)</f>
        <v>0</v>
      </c>
      <c r="K19" s="22">
        <f t="shared" ref="K19:T19" si="14">+SUM(K7:K17)</f>
        <v>9033878.9733336102</v>
      </c>
      <c r="L19" s="22">
        <f t="shared" si="14"/>
        <v>9033878.9733336102</v>
      </c>
      <c r="M19" s="21">
        <f t="shared" si="14"/>
        <v>8139150.0257995892</v>
      </c>
      <c r="N19" s="21">
        <f t="shared" si="14"/>
        <v>1461549.8765</v>
      </c>
      <c r="O19" s="21">
        <f t="shared" si="14"/>
        <v>18735568.680166397</v>
      </c>
      <c r="P19" s="21">
        <f t="shared" si="14"/>
        <v>249</v>
      </c>
      <c r="Q19" s="21">
        <f>+SUM(Q7:Q17)</f>
        <v>894728.94753402111</v>
      </c>
      <c r="R19" s="21">
        <f t="shared" si="14"/>
        <v>9033878.9733336102</v>
      </c>
      <c r="S19" s="21">
        <f t="shared" si="14"/>
        <v>9928607.9208676293</v>
      </c>
      <c r="T19" s="21">
        <f t="shared" si="14"/>
        <v>19302389.609132372</v>
      </c>
      <c r="V19" s="23">
        <f>+SUM(V7:V17)</f>
        <v>671046.71065051574</v>
      </c>
      <c r="W19" s="21">
        <f>+SUM(W7:W17)</f>
        <v>901304.70236226264</v>
      </c>
      <c r="AA19" s="28"/>
    </row>
    <row r="20" spans="2:27" ht="15" thickBot="1" x14ac:dyDescent="0.25">
      <c r="B20" s="35"/>
      <c r="C20" s="72"/>
      <c r="F20" s="18"/>
      <c r="G20" s="18"/>
      <c r="H20" s="18"/>
      <c r="I20" s="19">
        <f>+G20*H20</f>
        <v>0</v>
      </c>
      <c r="J20" s="73"/>
      <c r="L20" s="19"/>
      <c r="M20" s="78"/>
      <c r="N20" s="79"/>
      <c r="O20" s="79"/>
      <c r="P20" s="79"/>
      <c r="Q20" s="26"/>
      <c r="R20" s="26"/>
      <c r="S20" s="26"/>
      <c r="T20" s="26"/>
      <c r="W20" s="17"/>
    </row>
    <row r="21" spans="2:27" ht="15" thickBot="1" x14ac:dyDescent="0.25">
      <c r="B21" s="59" t="s">
        <v>30</v>
      </c>
      <c r="C21" s="80" t="s">
        <v>31</v>
      </c>
      <c r="D21" s="81">
        <v>5.28</v>
      </c>
      <c r="E21" s="61"/>
      <c r="F21" s="24"/>
      <c r="G21" s="24"/>
      <c r="H21" s="24"/>
      <c r="I21" s="62"/>
      <c r="J21" s="82"/>
      <c r="K21" s="62"/>
      <c r="L21" s="62"/>
      <c r="M21" s="83"/>
      <c r="N21" s="36"/>
      <c r="O21" s="36"/>
      <c r="P21" s="36"/>
      <c r="Q21" s="17"/>
      <c r="R21" s="17"/>
      <c r="S21" s="17"/>
      <c r="T21" s="17"/>
      <c r="W21" s="17"/>
    </row>
    <row r="22" spans="2:27" x14ac:dyDescent="0.2">
      <c r="B22" s="74"/>
      <c r="C22" s="77" t="s">
        <v>32</v>
      </c>
      <c r="F22" s="18"/>
      <c r="G22" s="18"/>
      <c r="H22" s="18"/>
      <c r="I22" s="19"/>
      <c r="J22" s="73"/>
      <c r="L22" s="19"/>
      <c r="M22" s="78"/>
      <c r="N22" s="84"/>
      <c r="O22" s="84"/>
      <c r="P22" s="84"/>
      <c r="Q22" s="13"/>
      <c r="R22" s="13"/>
      <c r="S22" s="13"/>
      <c r="T22" s="13"/>
      <c r="W22" s="17"/>
    </row>
    <row r="23" spans="2:27" x14ac:dyDescent="0.2">
      <c r="B23" s="35"/>
      <c r="C23" s="36" t="s">
        <v>33</v>
      </c>
      <c r="D23" s="37" t="s">
        <v>17</v>
      </c>
      <c r="E23" s="85"/>
      <c r="F23" s="17">
        <v>5610</v>
      </c>
      <c r="G23" s="17"/>
      <c r="H23" s="17"/>
      <c r="I23" s="38">
        <f t="shared" ref="I23:I91" si="15">+F23+G23-H23</f>
        <v>5610</v>
      </c>
      <c r="J23" s="17"/>
      <c r="K23" s="16">
        <v>2964.8281315068493</v>
      </c>
      <c r="L23" s="16">
        <f t="shared" ref="L23:L63" si="16">+J23+K23</f>
        <v>2964.8281315068493</v>
      </c>
      <c r="M23" s="17">
        <f t="shared" ref="M23:M63" si="17">+I23-L23</f>
        <v>2645.1718684931507</v>
      </c>
      <c r="N23" s="17">
        <f t="shared" ref="N23:N73" si="18">+F23*0.05</f>
        <v>280.5</v>
      </c>
      <c r="O23" s="17">
        <f t="shared" ref="O23:O63" si="19">+I23-L23-N23</f>
        <v>2364.6718684931507</v>
      </c>
      <c r="P23" s="36">
        <v>8</v>
      </c>
      <c r="Q23" s="17">
        <f t="shared" ref="Q23:Q82" si="20">+O23/P23</f>
        <v>295.58398356164383</v>
      </c>
      <c r="R23" s="17">
        <f t="shared" ref="R23:R54" si="21">+K23</f>
        <v>2964.8281315068493</v>
      </c>
      <c r="S23" s="17">
        <f t="shared" ref="S23:S63" si="22">+Q23+R23</f>
        <v>3260.4121150684932</v>
      </c>
      <c r="T23" s="17">
        <f t="shared" ref="T23:T63" si="23">+F23-S23</f>
        <v>2349.5878849315068</v>
      </c>
      <c r="U23" s="39">
        <v>5.28E-2</v>
      </c>
      <c r="V23" s="1">
        <f t="shared" ref="V23:V63" si="24">+Q23/4*3</f>
        <v>221.68798767123286</v>
      </c>
      <c r="W23" s="17">
        <v>295.58398356164383</v>
      </c>
      <c r="X23" s="40">
        <f t="shared" ref="X23:X63" si="25">+P23-1</f>
        <v>7</v>
      </c>
      <c r="Y23" s="40">
        <f t="shared" ref="Y23:Y63" si="26">+Q23*X23</f>
        <v>2069.0878849315068</v>
      </c>
      <c r="Z23" s="40">
        <f t="shared" ref="Z23:Z63" si="27">+T23-Y23</f>
        <v>280.5</v>
      </c>
      <c r="AA23" s="25">
        <f t="shared" ref="AA23:AA63" si="28">+N23-Z23</f>
        <v>0</v>
      </c>
    </row>
    <row r="24" spans="2:27" x14ac:dyDescent="0.2">
      <c r="B24" s="35"/>
      <c r="C24" s="36" t="s">
        <v>34</v>
      </c>
      <c r="D24" s="37" t="s">
        <v>17</v>
      </c>
      <c r="E24" s="37"/>
      <c r="F24" s="17">
        <v>6170</v>
      </c>
      <c r="G24" s="17"/>
      <c r="H24" s="17"/>
      <c r="I24" s="38">
        <f t="shared" si="15"/>
        <v>6170</v>
      </c>
      <c r="J24" s="17"/>
      <c r="K24" s="16">
        <v>3260.7824547945211</v>
      </c>
      <c r="L24" s="16">
        <f t="shared" si="16"/>
        <v>3260.7824547945211</v>
      </c>
      <c r="M24" s="17">
        <f t="shared" si="17"/>
        <v>2909.2175452054789</v>
      </c>
      <c r="N24" s="17">
        <f t="shared" si="18"/>
        <v>308.5</v>
      </c>
      <c r="O24" s="17">
        <f t="shared" si="19"/>
        <v>2600.7175452054789</v>
      </c>
      <c r="P24" s="36">
        <v>8</v>
      </c>
      <c r="Q24" s="17">
        <f t="shared" si="20"/>
        <v>325.08969315068487</v>
      </c>
      <c r="R24" s="17">
        <f t="shared" si="21"/>
        <v>3260.7824547945211</v>
      </c>
      <c r="S24" s="17">
        <f t="shared" si="22"/>
        <v>3585.8721479452061</v>
      </c>
      <c r="T24" s="17">
        <f t="shared" si="23"/>
        <v>2584.1278520547939</v>
      </c>
      <c r="U24" s="39">
        <v>5.28E-2</v>
      </c>
      <c r="V24" s="1">
        <f t="shared" si="24"/>
        <v>243.81726986301365</v>
      </c>
      <c r="W24" s="17">
        <v>325.08969315068492</v>
      </c>
      <c r="X24" s="40">
        <f t="shared" si="25"/>
        <v>7</v>
      </c>
      <c r="Y24" s="40">
        <f t="shared" si="26"/>
        <v>2275.6278520547939</v>
      </c>
      <c r="Z24" s="40">
        <f t="shared" si="27"/>
        <v>308.5</v>
      </c>
      <c r="AA24" s="25">
        <f t="shared" si="28"/>
        <v>0</v>
      </c>
    </row>
    <row r="25" spans="2:27" x14ac:dyDescent="0.2">
      <c r="B25" s="35"/>
      <c r="C25" s="36" t="s">
        <v>35</v>
      </c>
      <c r="D25" s="37" t="s">
        <v>17</v>
      </c>
      <c r="E25" s="37"/>
      <c r="F25" s="17">
        <v>3000</v>
      </c>
      <c r="G25" s="17"/>
      <c r="H25" s="17"/>
      <c r="I25" s="38">
        <f t="shared" si="15"/>
        <v>3000</v>
      </c>
      <c r="J25" s="17"/>
      <c r="K25" s="16">
        <v>1585.7418082191762</v>
      </c>
      <c r="L25" s="16">
        <f t="shared" si="16"/>
        <v>1585.7418082191762</v>
      </c>
      <c r="M25" s="17">
        <f t="shared" si="17"/>
        <v>1414.2581917808238</v>
      </c>
      <c r="N25" s="17">
        <f t="shared" si="18"/>
        <v>150</v>
      </c>
      <c r="O25" s="17">
        <f t="shared" si="19"/>
        <v>1264.2581917808238</v>
      </c>
      <c r="P25" s="36">
        <v>8</v>
      </c>
      <c r="Q25" s="17">
        <f t="shared" si="20"/>
        <v>158.03227397260298</v>
      </c>
      <c r="R25" s="17">
        <f t="shared" si="21"/>
        <v>1585.7418082191762</v>
      </c>
      <c r="S25" s="17">
        <f t="shared" si="22"/>
        <v>1743.7740821917791</v>
      </c>
      <c r="T25" s="17">
        <f t="shared" si="23"/>
        <v>1256.2259178082209</v>
      </c>
      <c r="U25" s="39">
        <v>5.28E-2</v>
      </c>
      <c r="V25" s="1">
        <f t="shared" si="24"/>
        <v>118.52420547945223</v>
      </c>
      <c r="W25" s="17">
        <v>158.03227397260298</v>
      </c>
      <c r="X25" s="40">
        <f t="shared" si="25"/>
        <v>7</v>
      </c>
      <c r="Y25" s="40">
        <f t="shared" si="26"/>
        <v>1106.2259178082209</v>
      </c>
      <c r="Z25" s="40">
        <f t="shared" si="27"/>
        <v>150</v>
      </c>
      <c r="AA25" s="25">
        <f t="shared" si="28"/>
        <v>0</v>
      </c>
    </row>
    <row r="26" spans="2:27" x14ac:dyDescent="0.2">
      <c r="B26" s="35"/>
      <c r="C26" s="36" t="s">
        <v>36</v>
      </c>
      <c r="D26" s="37" t="s">
        <v>17</v>
      </c>
      <c r="E26" s="37"/>
      <c r="F26" s="17">
        <v>192170.86</v>
      </c>
      <c r="G26" s="17">
        <v>0</v>
      </c>
      <c r="H26" s="17"/>
      <c r="I26" s="38">
        <f t="shared" si="15"/>
        <v>192170.86</v>
      </c>
      <c r="J26" s="17"/>
      <c r="K26" s="16">
        <v>101560.35147662464</v>
      </c>
      <c r="L26" s="16">
        <f t="shared" si="16"/>
        <v>101560.35147662464</v>
      </c>
      <c r="M26" s="17">
        <f t="shared" si="17"/>
        <v>90610.508523375349</v>
      </c>
      <c r="N26" s="17">
        <f t="shared" si="18"/>
        <v>9608.5429999999997</v>
      </c>
      <c r="O26" s="17">
        <f t="shared" si="19"/>
        <v>81001.965523375344</v>
      </c>
      <c r="P26" s="36">
        <v>8</v>
      </c>
      <c r="Q26" s="17">
        <f t="shared" si="20"/>
        <v>10125.245690421918</v>
      </c>
      <c r="R26" s="17">
        <f t="shared" si="21"/>
        <v>101560.35147662464</v>
      </c>
      <c r="S26" s="17">
        <f t="shared" si="22"/>
        <v>111685.59716704655</v>
      </c>
      <c r="T26" s="17">
        <f t="shared" si="23"/>
        <v>80485.262832953435</v>
      </c>
      <c r="U26" s="39">
        <v>5.28E-2</v>
      </c>
      <c r="V26" s="1">
        <f t="shared" si="24"/>
        <v>7593.9342678164385</v>
      </c>
      <c r="W26" s="17">
        <v>10125.245690421916</v>
      </c>
      <c r="X26" s="40">
        <f t="shared" si="25"/>
        <v>7</v>
      </c>
      <c r="Y26" s="40">
        <f t="shared" si="26"/>
        <v>70876.719832953429</v>
      </c>
      <c r="Z26" s="40">
        <f t="shared" si="27"/>
        <v>9608.5430000000051</v>
      </c>
      <c r="AA26" s="25">
        <f t="shared" si="28"/>
        <v>0</v>
      </c>
    </row>
    <row r="27" spans="2:27" x14ac:dyDescent="0.2">
      <c r="B27" s="35"/>
      <c r="C27" s="36" t="s">
        <v>37</v>
      </c>
      <c r="D27" s="37" t="s">
        <v>17</v>
      </c>
      <c r="E27" s="37"/>
      <c r="F27" s="17">
        <v>462675</v>
      </c>
      <c r="G27" s="17"/>
      <c r="H27" s="17"/>
      <c r="I27" s="38">
        <f t="shared" si="15"/>
        <v>462675</v>
      </c>
      <c r="J27" s="17"/>
      <c r="K27" s="16">
        <v>439541.25</v>
      </c>
      <c r="L27" s="16">
        <f t="shared" si="16"/>
        <v>439541.25</v>
      </c>
      <c r="M27" s="17">
        <f t="shared" si="17"/>
        <v>23133.75</v>
      </c>
      <c r="N27" s="17">
        <f t="shared" si="18"/>
        <v>23133.75</v>
      </c>
      <c r="O27" s="17">
        <f t="shared" si="19"/>
        <v>0</v>
      </c>
      <c r="P27" s="36">
        <v>0</v>
      </c>
      <c r="Q27" s="17">
        <v>0</v>
      </c>
      <c r="R27" s="17">
        <f t="shared" si="21"/>
        <v>439541.25</v>
      </c>
      <c r="S27" s="17">
        <f t="shared" si="22"/>
        <v>439541.25</v>
      </c>
      <c r="T27" s="17">
        <f t="shared" si="23"/>
        <v>23133.75</v>
      </c>
      <c r="U27" s="39">
        <v>5.28E-2</v>
      </c>
      <c r="V27" s="1">
        <f t="shared" si="24"/>
        <v>0</v>
      </c>
      <c r="W27" s="17">
        <v>55364.55292054794</v>
      </c>
      <c r="X27" s="40">
        <f t="shared" si="25"/>
        <v>-1</v>
      </c>
      <c r="Y27" s="40">
        <f t="shared" si="26"/>
        <v>0</v>
      </c>
      <c r="Z27" s="40">
        <f t="shared" si="27"/>
        <v>23133.75</v>
      </c>
      <c r="AA27" s="25">
        <f t="shared" si="28"/>
        <v>0</v>
      </c>
    </row>
    <row r="28" spans="2:27" x14ac:dyDescent="0.2">
      <c r="B28" s="35"/>
      <c r="C28" s="36" t="s">
        <v>38</v>
      </c>
      <c r="D28" s="37" t="s">
        <v>17</v>
      </c>
      <c r="E28" s="37"/>
      <c r="F28" s="17">
        <v>2042990</v>
      </c>
      <c r="G28" s="17">
        <v>0</v>
      </c>
      <c r="H28" s="17"/>
      <c r="I28" s="38">
        <f t="shared" si="15"/>
        <v>2042990</v>
      </c>
      <c r="J28" s="17"/>
      <c r="K28" s="16">
        <v>1566374.3738097849</v>
      </c>
      <c r="L28" s="16">
        <f t="shared" si="16"/>
        <v>1566374.3738097849</v>
      </c>
      <c r="M28" s="17">
        <f t="shared" si="17"/>
        <v>476615.62619021512</v>
      </c>
      <c r="N28" s="17">
        <f t="shared" si="18"/>
        <v>102149.5</v>
      </c>
      <c r="O28" s="17">
        <f t="shared" si="19"/>
        <v>374466.12619021512</v>
      </c>
      <c r="P28" s="36">
        <v>8</v>
      </c>
      <c r="Q28" s="17">
        <f t="shared" si="20"/>
        <v>46808.26577377689</v>
      </c>
      <c r="R28" s="17">
        <f t="shared" si="21"/>
        <v>1566374.3738097849</v>
      </c>
      <c r="S28" s="17">
        <f t="shared" si="22"/>
        <v>1613182.6395835618</v>
      </c>
      <c r="T28" s="17">
        <f t="shared" si="23"/>
        <v>429807.3604164382</v>
      </c>
      <c r="U28" s="39">
        <v>5.28E-2</v>
      </c>
      <c r="V28" s="1">
        <f t="shared" si="24"/>
        <v>35106.199330332667</v>
      </c>
      <c r="W28" s="17">
        <v>46808.265773776904</v>
      </c>
      <c r="X28" s="40">
        <f t="shared" si="25"/>
        <v>7</v>
      </c>
      <c r="Y28" s="40">
        <f t="shared" si="26"/>
        <v>327657.8604164382</v>
      </c>
      <c r="Z28" s="40">
        <f t="shared" si="27"/>
        <v>102149.5</v>
      </c>
      <c r="AA28" s="25">
        <f t="shared" si="28"/>
        <v>0</v>
      </c>
    </row>
    <row r="29" spans="2:27" x14ac:dyDescent="0.2">
      <c r="B29" s="35"/>
      <c r="C29" s="36" t="s">
        <v>39</v>
      </c>
      <c r="D29" s="37" t="s">
        <v>17</v>
      </c>
      <c r="E29" s="37"/>
      <c r="F29" s="17">
        <v>133875</v>
      </c>
      <c r="G29" s="17"/>
      <c r="H29" s="17"/>
      <c r="I29" s="38">
        <f t="shared" si="15"/>
        <v>133875</v>
      </c>
      <c r="J29" s="17"/>
      <c r="K29" s="16">
        <v>127181.25</v>
      </c>
      <c r="L29" s="16">
        <f t="shared" si="16"/>
        <v>127181.25</v>
      </c>
      <c r="M29" s="17">
        <f t="shared" si="17"/>
        <v>6693.75</v>
      </c>
      <c r="N29" s="17">
        <f t="shared" si="18"/>
        <v>6693.75</v>
      </c>
      <c r="O29" s="17">
        <f t="shared" si="19"/>
        <v>0</v>
      </c>
      <c r="P29" s="36">
        <v>8</v>
      </c>
      <c r="Q29" s="17">
        <f t="shared" si="20"/>
        <v>0</v>
      </c>
      <c r="R29" s="17">
        <f t="shared" si="21"/>
        <v>127181.25</v>
      </c>
      <c r="S29" s="17">
        <f t="shared" si="22"/>
        <v>127181.25</v>
      </c>
      <c r="T29" s="17">
        <f t="shared" si="23"/>
        <v>6693.75</v>
      </c>
      <c r="U29" s="39">
        <v>5.28E-2</v>
      </c>
      <c r="V29" s="1">
        <f t="shared" si="24"/>
        <v>0</v>
      </c>
      <c r="W29" s="17">
        <v>98596.993561643845</v>
      </c>
      <c r="X29" s="40">
        <f t="shared" si="25"/>
        <v>7</v>
      </c>
      <c r="Y29" s="40">
        <f t="shared" si="26"/>
        <v>0</v>
      </c>
      <c r="Z29" s="40">
        <f t="shared" si="27"/>
        <v>6693.75</v>
      </c>
      <c r="AA29" s="25">
        <f t="shared" si="28"/>
        <v>0</v>
      </c>
    </row>
    <row r="30" spans="2:27" x14ac:dyDescent="0.2">
      <c r="B30" s="35"/>
      <c r="C30" s="36" t="s">
        <v>40</v>
      </c>
      <c r="D30" s="37" t="s">
        <v>17</v>
      </c>
      <c r="E30" s="37"/>
      <c r="F30" s="17">
        <v>502450</v>
      </c>
      <c r="G30" s="17"/>
      <c r="H30" s="17"/>
      <c r="I30" s="38">
        <f t="shared" si="15"/>
        <v>502450</v>
      </c>
      <c r="J30" s="17"/>
      <c r="K30" s="16">
        <v>265539.73167123285</v>
      </c>
      <c r="L30" s="16">
        <f t="shared" si="16"/>
        <v>265539.73167123285</v>
      </c>
      <c r="M30" s="17">
        <f t="shared" si="17"/>
        <v>236910.26832876715</v>
      </c>
      <c r="N30" s="17">
        <f t="shared" si="18"/>
        <v>25122.5</v>
      </c>
      <c r="O30" s="17">
        <f t="shared" si="19"/>
        <v>211787.76832876715</v>
      </c>
      <c r="P30" s="36">
        <v>8</v>
      </c>
      <c r="Q30" s="17">
        <f t="shared" si="20"/>
        <v>26473.471041095894</v>
      </c>
      <c r="R30" s="17">
        <f t="shared" si="21"/>
        <v>265539.73167123285</v>
      </c>
      <c r="S30" s="17">
        <f t="shared" si="22"/>
        <v>292013.20271232876</v>
      </c>
      <c r="T30" s="17">
        <f t="shared" si="23"/>
        <v>210436.79728767124</v>
      </c>
      <c r="U30" s="39">
        <v>5.28E-2</v>
      </c>
      <c r="V30" s="1">
        <f t="shared" si="24"/>
        <v>19855.103280821921</v>
      </c>
      <c r="W30" s="17">
        <v>26473.471041095891</v>
      </c>
      <c r="X30" s="40">
        <f t="shared" si="25"/>
        <v>7</v>
      </c>
      <c r="Y30" s="40">
        <f t="shared" si="26"/>
        <v>185314.29728767124</v>
      </c>
      <c r="Z30" s="40">
        <f t="shared" si="27"/>
        <v>25122.5</v>
      </c>
      <c r="AA30" s="25">
        <f t="shared" si="28"/>
        <v>0</v>
      </c>
    </row>
    <row r="31" spans="2:27" x14ac:dyDescent="0.2">
      <c r="B31" s="35"/>
      <c r="C31" s="36" t="s">
        <v>41</v>
      </c>
      <c r="D31" s="37" t="s">
        <v>17</v>
      </c>
      <c r="E31" s="37"/>
      <c r="F31" s="17">
        <v>342039</v>
      </c>
      <c r="G31" s="17"/>
      <c r="H31" s="17"/>
      <c r="I31" s="38">
        <f t="shared" si="15"/>
        <v>342039</v>
      </c>
      <c r="J31" s="17"/>
      <c r="K31" s="16">
        <v>177155.64139819963</v>
      </c>
      <c r="L31" s="16">
        <f t="shared" si="16"/>
        <v>177155.64139819963</v>
      </c>
      <c r="M31" s="17">
        <f t="shared" si="17"/>
        <v>164883.35860180037</v>
      </c>
      <c r="N31" s="17">
        <f t="shared" si="18"/>
        <v>17101.95</v>
      </c>
      <c r="O31" s="17">
        <f t="shared" si="19"/>
        <v>147781.40860180036</v>
      </c>
      <c r="P31" s="36">
        <v>8</v>
      </c>
      <c r="Q31" s="17">
        <f t="shared" si="20"/>
        <v>18472.676075225045</v>
      </c>
      <c r="R31" s="17">
        <f t="shared" si="21"/>
        <v>177155.64139819963</v>
      </c>
      <c r="S31" s="17">
        <f t="shared" si="22"/>
        <v>195628.31747342469</v>
      </c>
      <c r="T31" s="17">
        <f t="shared" si="23"/>
        <v>146410.68252657531</v>
      </c>
      <c r="U31" s="39">
        <v>5.28E-2</v>
      </c>
      <c r="V31" s="1">
        <f t="shared" si="24"/>
        <v>13854.507056418784</v>
      </c>
      <c r="W31" s="17">
        <v>18472.676075225048</v>
      </c>
      <c r="X31" s="40">
        <f t="shared" si="25"/>
        <v>7</v>
      </c>
      <c r="Y31" s="40">
        <f t="shared" si="26"/>
        <v>129308.73252657532</v>
      </c>
      <c r="Z31" s="40">
        <f t="shared" si="27"/>
        <v>17101.949999999997</v>
      </c>
      <c r="AA31" s="25">
        <f t="shared" si="28"/>
        <v>0</v>
      </c>
    </row>
    <row r="32" spans="2:27" x14ac:dyDescent="0.2">
      <c r="B32" s="35"/>
      <c r="C32" s="36" t="s">
        <v>42</v>
      </c>
      <c r="D32" s="37" t="s">
        <v>17</v>
      </c>
      <c r="E32" s="37"/>
      <c r="F32" s="17">
        <v>35800</v>
      </c>
      <c r="G32" s="17"/>
      <c r="H32" s="17"/>
      <c r="I32" s="38">
        <f t="shared" si="15"/>
        <v>35800</v>
      </c>
      <c r="J32" s="17"/>
      <c r="K32" s="16">
        <v>22607.530426614481</v>
      </c>
      <c r="L32" s="16">
        <f t="shared" si="16"/>
        <v>22607.530426614481</v>
      </c>
      <c r="M32" s="17">
        <f t="shared" si="17"/>
        <v>13192.469573385519</v>
      </c>
      <c r="N32" s="17">
        <f t="shared" si="18"/>
        <v>1790</v>
      </c>
      <c r="O32" s="17">
        <f t="shared" si="19"/>
        <v>11402.469573385519</v>
      </c>
      <c r="P32" s="36">
        <v>8</v>
      </c>
      <c r="Q32" s="17">
        <f t="shared" si="20"/>
        <v>1425.3086966731898</v>
      </c>
      <c r="R32" s="17">
        <f t="shared" si="21"/>
        <v>22607.530426614481</v>
      </c>
      <c r="S32" s="17">
        <f t="shared" si="22"/>
        <v>24032.839123287671</v>
      </c>
      <c r="T32" s="17">
        <f t="shared" si="23"/>
        <v>11767.160876712329</v>
      </c>
      <c r="U32" s="39">
        <v>5.28E-2</v>
      </c>
      <c r="V32" s="1">
        <f t="shared" si="24"/>
        <v>1068.9815225048924</v>
      </c>
      <c r="W32" s="17">
        <v>1425.3086966731898</v>
      </c>
      <c r="X32" s="40">
        <f t="shared" si="25"/>
        <v>7</v>
      </c>
      <c r="Y32" s="40">
        <f t="shared" si="26"/>
        <v>9977.1608767123289</v>
      </c>
      <c r="Z32" s="40">
        <f t="shared" si="27"/>
        <v>1790</v>
      </c>
      <c r="AA32" s="25">
        <f t="shared" si="28"/>
        <v>0</v>
      </c>
    </row>
    <row r="33" spans="2:27" x14ac:dyDescent="0.2">
      <c r="B33" s="35"/>
      <c r="C33" s="36" t="s">
        <v>43</v>
      </c>
      <c r="D33" s="37" t="s">
        <v>17</v>
      </c>
      <c r="E33" s="37"/>
      <c r="F33" s="17">
        <v>472525</v>
      </c>
      <c r="G33" s="17"/>
      <c r="H33" s="17"/>
      <c r="I33" s="38">
        <f t="shared" si="15"/>
        <v>472525</v>
      </c>
      <c r="J33" s="17"/>
      <c r="K33" s="16">
        <v>249724.67252054799</v>
      </c>
      <c r="L33" s="16">
        <f t="shared" si="16"/>
        <v>249724.67252054799</v>
      </c>
      <c r="M33" s="17">
        <f t="shared" si="17"/>
        <v>222800.32747945201</v>
      </c>
      <c r="N33" s="17">
        <f t="shared" si="18"/>
        <v>23626.25</v>
      </c>
      <c r="O33" s="17">
        <f t="shared" si="19"/>
        <v>199174.07747945201</v>
      </c>
      <c r="P33" s="36">
        <v>8</v>
      </c>
      <c r="Q33" s="17">
        <f t="shared" si="20"/>
        <v>24896.759684931501</v>
      </c>
      <c r="R33" s="17">
        <f t="shared" si="21"/>
        <v>249724.67252054799</v>
      </c>
      <c r="S33" s="17">
        <f t="shared" si="22"/>
        <v>274621.43220547948</v>
      </c>
      <c r="T33" s="17">
        <f t="shared" si="23"/>
        <v>197903.56779452052</v>
      </c>
      <c r="U33" s="39">
        <v>5.28E-2</v>
      </c>
      <c r="V33" s="1">
        <f t="shared" si="24"/>
        <v>18672.569763698626</v>
      </c>
      <c r="W33" s="17">
        <v>24896.759684931505</v>
      </c>
      <c r="X33" s="40">
        <f t="shared" si="25"/>
        <v>7</v>
      </c>
      <c r="Y33" s="40">
        <f t="shared" si="26"/>
        <v>174277.31779452052</v>
      </c>
      <c r="Z33" s="40">
        <f t="shared" si="27"/>
        <v>23626.25</v>
      </c>
      <c r="AA33" s="25">
        <f t="shared" si="28"/>
        <v>0</v>
      </c>
    </row>
    <row r="34" spans="2:27" x14ac:dyDescent="0.2">
      <c r="B34" s="35"/>
      <c r="C34" s="36" t="s">
        <v>44</v>
      </c>
      <c r="D34" s="37" t="s">
        <v>17</v>
      </c>
      <c r="E34" s="37"/>
      <c r="F34" s="17">
        <v>22421</v>
      </c>
      <c r="G34" s="17"/>
      <c r="H34" s="17"/>
      <c r="I34" s="38">
        <f t="shared" si="15"/>
        <v>22421</v>
      </c>
      <c r="J34" s="17"/>
      <c r="K34" s="16">
        <v>11849.271218630136</v>
      </c>
      <c r="L34" s="16">
        <f t="shared" si="16"/>
        <v>11849.271218630136</v>
      </c>
      <c r="M34" s="17">
        <f t="shared" si="17"/>
        <v>10571.728781369864</v>
      </c>
      <c r="N34" s="17">
        <f t="shared" si="18"/>
        <v>1121.05</v>
      </c>
      <c r="O34" s="17">
        <f t="shared" si="19"/>
        <v>9450.6787813698647</v>
      </c>
      <c r="P34" s="36">
        <v>8</v>
      </c>
      <c r="Q34" s="17">
        <f t="shared" si="20"/>
        <v>1181.3348476712331</v>
      </c>
      <c r="R34" s="17">
        <f t="shared" si="21"/>
        <v>11849.271218630136</v>
      </c>
      <c r="S34" s="17">
        <f t="shared" si="22"/>
        <v>13030.606066301369</v>
      </c>
      <c r="T34" s="17">
        <f t="shared" si="23"/>
        <v>9390.3939336986314</v>
      </c>
      <c r="U34" s="39">
        <v>5.28E-2</v>
      </c>
      <c r="V34" s="1">
        <f t="shared" si="24"/>
        <v>886.00113575342482</v>
      </c>
      <c r="W34" s="17">
        <v>1181.3348476712329</v>
      </c>
      <c r="X34" s="40">
        <f t="shared" si="25"/>
        <v>7</v>
      </c>
      <c r="Y34" s="40">
        <f t="shared" si="26"/>
        <v>8269.3439336986321</v>
      </c>
      <c r="Z34" s="40">
        <f t="shared" si="27"/>
        <v>1121.0499999999993</v>
      </c>
      <c r="AA34" s="25">
        <f t="shared" si="28"/>
        <v>0</v>
      </c>
    </row>
    <row r="35" spans="2:27" x14ac:dyDescent="0.2">
      <c r="B35" s="35"/>
      <c r="C35" s="36" t="s">
        <v>45</v>
      </c>
      <c r="D35" s="37" t="s">
        <v>17</v>
      </c>
      <c r="E35" s="37"/>
      <c r="F35" s="17">
        <v>17810</v>
      </c>
      <c r="G35" s="17">
        <v>0</v>
      </c>
      <c r="H35" s="17"/>
      <c r="I35" s="38">
        <f t="shared" si="15"/>
        <v>17810</v>
      </c>
      <c r="J35" s="17"/>
      <c r="K35" s="16">
        <v>9412.4044602739723</v>
      </c>
      <c r="L35" s="16">
        <f t="shared" si="16"/>
        <v>9412.4044602739723</v>
      </c>
      <c r="M35" s="17">
        <f t="shared" si="17"/>
        <v>8397.5955397260277</v>
      </c>
      <c r="N35" s="17">
        <f t="shared" si="18"/>
        <v>890.5</v>
      </c>
      <c r="O35" s="17">
        <f t="shared" si="19"/>
        <v>7507.0955397260277</v>
      </c>
      <c r="P35" s="36">
        <v>8</v>
      </c>
      <c r="Q35" s="17">
        <f t="shared" si="20"/>
        <v>938.38694246575346</v>
      </c>
      <c r="R35" s="17">
        <f t="shared" si="21"/>
        <v>9412.4044602739723</v>
      </c>
      <c r="S35" s="17">
        <f t="shared" si="22"/>
        <v>10350.791402739726</v>
      </c>
      <c r="T35" s="17">
        <f t="shared" si="23"/>
        <v>7459.2085972602745</v>
      </c>
      <c r="U35" s="39">
        <v>5.28E-2</v>
      </c>
      <c r="V35" s="1">
        <f t="shared" si="24"/>
        <v>703.79020684931515</v>
      </c>
      <c r="W35" s="17">
        <v>938.38694246575346</v>
      </c>
      <c r="X35" s="40">
        <f t="shared" si="25"/>
        <v>7</v>
      </c>
      <c r="Y35" s="40">
        <f t="shared" si="26"/>
        <v>6568.7085972602745</v>
      </c>
      <c r="Z35" s="40">
        <f t="shared" si="27"/>
        <v>890.5</v>
      </c>
      <c r="AA35" s="25">
        <f t="shared" si="28"/>
        <v>0</v>
      </c>
    </row>
    <row r="36" spans="2:27" x14ac:dyDescent="0.2">
      <c r="B36" s="35"/>
      <c r="C36" s="36" t="s">
        <v>46</v>
      </c>
      <c r="D36" s="37" t="s">
        <v>17</v>
      </c>
      <c r="E36" s="37"/>
      <c r="F36" s="17">
        <v>1068092</v>
      </c>
      <c r="G36" s="17"/>
      <c r="H36" s="17"/>
      <c r="I36" s="38">
        <f t="shared" si="15"/>
        <v>1068092</v>
      </c>
      <c r="J36" s="17"/>
      <c r="K36" s="16">
        <v>1014687.4</v>
      </c>
      <c r="L36" s="16">
        <f t="shared" si="16"/>
        <v>1014687.4</v>
      </c>
      <c r="M36" s="17">
        <f t="shared" si="17"/>
        <v>53404.599999999977</v>
      </c>
      <c r="N36" s="17">
        <f t="shared" si="18"/>
        <v>53404.600000000006</v>
      </c>
      <c r="O36" s="17">
        <f t="shared" si="19"/>
        <v>0</v>
      </c>
      <c r="P36" s="36">
        <v>0</v>
      </c>
      <c r="Q36" s="17">
        <v>0</v>
      </c>
      <c r="R36" s="17">
        <f t="shared" si="21"/>
        <v>1014687.4</v>
      </c>
      <c r="S36" s="17">
        <f t="shared" si="22"/>
        <v>1014687.4</v>
      </c>
      <c r="T36" s="17">
        <f t="shared" si="23"/>
        <v>53404.599999999977</v>
      </c>
      <c r="U36" s="39">
        <v>5.28E-2</v>
      </c>
      <c r="V36" s="1">
        <f t="shared" si="24"/>
        <v>0</v>
      </c>
      <c r="W36" s="17">
        <v>53768.251526575339</v>
      </c>
      <c r="X36" s="40">
        <f t="shared" si="25"/>
        <v>-1</v>
      </c>
      <c r="Y36" s="40">
        <f t="shared" si="26"/>
        <v>0</v>
      </c>
      <c r="Z36" s="40">
        <f t="shared" si="27"/>
        <v>53404.599999999977</v>
      </c>
      <c r="AA36" s="25">
        <f t="shared" si="28"/>
        <v>0</v>
      </c>
    </row>
    <row r="37" spans="2:27" x14ac:dyDescent="0.2">
      <c r="B37" s="35"/>
      <c r="C37" s="36" t="s">
        <v>47</v>
      </c>
      <c r="D37" s="37" t="s">
        <v>21</v>
      </c>
      <c r="E37" s="37"/>
      <c r="F37" s="17">
        <v>1233975.06</v>
      </c>
      <c r="G37" s="17"/>
      <c r="H37" s="17"/>
      <c r="I37" s="38">
        <f t="shared" si="15"/>
        <v>1233975.06</v>
      </c>
      <c r="J37" s="17"/>
      <c r="K37" s="16">
        <v>1172276.307</v>
      </c>
      <c r="L37" s="16">
        <f t="shared" si="16"/>
        <v>1172276.307</v>
      </c>
      <c r="M37" s="17">
        <f t="shared" si="17"/>
        <v>61698.753000000026</v>
      </c>
      <c r="N37" s="17">
        <f t="shared" si="18"/>
        <v>61698.753000000004</v>
      </c>
      <c r="O37" s="17">
        <f t="shared" si="19"/>
        <v>0</v>
      </c>
      <c r="P37" s="36">
        <v>0</v>
      </c>
      <c r="Q37" s="17">
        <v>0</v>
      </c>
      <c r="R37" s="17">
        <f t="shared" si="21"/>
        <v>1172276.307</v>
      </c>
      <c r="S37" s="17">
        <f t="shared" si="22"/>
        <v>1172276.307</v>
      </c>
      <c r="T37" s="17">
        <f t="shared" si="23"/>
        <v>61698.753000000026</v>
      </c>
      <c r="U37" s="39">
        <v>5.28E-2</v>
      </c>
      <c r="V37" s="1">
        <f t="shared" si="24"/>
        <v>0</v>
      </c>
      <c r="W37" s="17">
        <v>927948.65749600006</v>
      </c>
      <c r="X37" s="40">
        <f t="shared" si="25"/>
        <v>-1</v>
      </c>
      <c r="Y37" s="40">
        <f t="shared" si="26"/>
        <v>0</v>
      </c>
      <c r="Z37" s="40">
        <f t="shared" si="27"/>
        <v>61698.753000000026</v>
      </c>
      <c r="AA37" s="25">
        <f t="shared" si="28"/>
        <v>0</v>
      </c>
    </row>
    <row r="38" spans="2:27" x14ac:dyDescent="0.2">
      <c r="B38" s="35"/>
      <c r="C38" s="36" t="s">
        <v>44</v>
      </c>
      <c r="D38" s="37" t="s">
        <v>21</v>
      </c>
      <c r="E38" s="37"/>
      <c r="F38" s="17">
        <v>10043</v>
      </c>
      <c r="G38" s="17"/>
      <c r="H38" s="17"/>
      <c r="I38" s="38">
        <f t="shared" si="15"/>
        <v>10043</v>
      </c>
      <c r="J38" s="17"/>
      <c r="K38" s="16">
        <v>5009.6267200000002</v>
      </c>
      <c r="L38" s="16">
        <f t="shared" si="16"/>
        <v>5009.6267200000002</v>
      </c>
      <c r="M38" s="17">
        <f t="shared" si="17"/>
        <v>5033.3732799999998</v>
      </c>
      <c r="N38" s="17">
        <f t="shared" si="18"/>
        <v>502.15000000000003</v>
      </c>
      <c r="O38" s="17">
        <f t="shared" si="19"/>
        <v>4531.2232800000002</v>
      </c>
      <c r="P38" s="36">
        <v>9</v>
      </c>
      <c r="Q38" s="17">
        <f t="shared" si="20"/>
        <v>503.46925333333337</v>
      </c>
      <c r="R38" s="17">
        <f t="shared" si="21"/>
        <v>5009.6267200000002</v>
      </c>
      <c r="S38" s="17">
        <f t="shared" si="22"/>
        <v>5513.0959733333339</v>
      </c>
      <c r="T38" s="17">
        <f t="shared" si="23"/>
        <v>4529.9040266666661</v>
      </c>
      <c r="U38" s="39">
        <v>5.28E-2</v>
      </c>
      <c r="V38" s="1">
        <f t="shared" si="24"/>
        <v>377.60194000000001</v>
      </c>
      <c r="W38" s="17">
        <v>503.46925333333337</v>
      </c>
      <c r="X38" s="40">
        <f t="shared" si="25"/>
        <v>8</v>
      </c>
      <c r="Y38" s="40">
        <f t="shared" si="26"/>
        <v>4027.754026666667</v>
      </c>
      <c r="Z38" s="40">
        <f t="shared" si="27"/>
        <v>502.14999999999918</v>
      </c>
      <c r="AA38" s="25">
        <f t="shared" si="28"/>
        <v>8.5265128291212022E-13</v>
      </c>
    </row>
    <row r="39" spans="2:27" x14ac:dyDescent="0.2">
      <c r="B39" s="35"/>
      <c r="C39" s="36" t="s">
        <v>35</v>
      </c>
      <c r="D39" s="37" t="s">
        <v>21</v>
      </c>
      <c r="E39" s="37"/>
      <c r="F39" s="17">
        <v>544266</v>
      </c>
      <c r="G39" s="17"/>
      <c r="H39" s="17"/>
      <c r="I39" s="38">
        <f t="shared" si="15"/>
        <v>544266</v>
      </c>
      <c r="J39" s="17"/>
      <c r="K39" s="16">
        <v>272917.52064</v>
      </c>
      <c r="L39" s="16">
        <f t="shared" si="16"/>
        <v>272917.52064</v>
      </c>
      <c r="M39" s="17">
        <f t="shared" si="17"/>
        <v>271348.47936</v>
      </c>
      <c r="N39" s="17">
        <f t="shared" si="18"/>
        <v>27213.300000000003</v>
      </c>
      <c r="O39" s="17">
        <f t="shared" si="19"/>
        <v>244135.17936000001</v>
      </c>
      <c r="P39" s="36">
        <v>9</v>
      </c>
      <c r="Q39" s="17">
        <f t="shared" si="20"/>
        <v>27126.13104</v>
      </c>
      <c r="R39" s="17">
        <f t="shared" si="21"/>
        <v>272917.52064</v>
      </c>
      <c r="S39" s="17">
        <f t="shared" si="22"/>
        <v>300043.65168000001</v>
      </c>
      <c r="T39" s="17">
        <f t="shared" si="23"/>
        <v>244222.34831999999</v>
      </c>
      <c r="U39" s="39">
        <v>5.28E-2</v>
      </c>
      <c r="V39" s="1">
        <f t="shared" si="24"/>
        <v>20344.598279999998</v>
      </c>
      <c r="W39" s="17">
        <v>27126.13104</v>
      </c>
      <c r="X39" s="40">
        <f t="shared" si="25"/>
        <v>8</v>
      </c>
      <c r="Y39" s="40">
        <f t="shared" si="26"/>
        <v>217009.04832</v>
      </c>
      <c r="Z39" s="40">
        <f t="shared" si="27"/>
        <v>27213.299999999988</v>
      </c>
      <c r="AA39" s="25">
        <f t="shared" si="28"/>
        <v>0</v>
      </c>
    </row>
    <row r="40" spans="2:27" x14ac:dyDescent="0.2">
      <c r="B40" s="35"/>
      <c r="C40" s="36" t="s">
        <v>48</v>
      </c>
      <c r="D40" s="37" t="s">
        <v>21</v>
      </c>
      <c r="E40" s="37"/>
      <c r="F40" s="17">
        <v>24135.53</v>
      </c>
      <c r="G40" s="17"/>
      <c r="H40" s="17"/>
      <c r="I40" s="38">
        <f t="shared" si="15"/>
        <v>24135.53</v>
      </c>
      <c r="J40" s="17"/>
      <c r="K40" s="16">
        <v>12166.142171200001</v>
      </c>
      <c r="L40" s="16">
        <f t="shared" si="16"/>
        <v>12166.142171200001</v>
      </c>
      <c r="M40" s="17">
        <f t="shared" si="17"/>
        <v>11969.387828799998</v>
      </c>
      <c r="N40" s="17">
        <f t="shared" si="18"/>
        <v>1206.7764999999999</v>
      </c>
      <c r="O40" s="17">
        <f t="shared" si="19"/>
        <v>10762.611328799998</v>
      </c>
      <c r="P40" s="36">
        <v>9</v>
      </c>
      <c r="Q40" s="17">
        <f t="shared" si="20"/>
        <v>1195.8457031999997</v>
      </c>
      <c r="R40" s="17">
        <f t="shared" si="21"/>
        <v>12166.142171200001</v>
      </c>
      <c r="S40" s="17">
        <f t="shared" si="22"/>
        <v>13361.987874400002</v>
      </c>
      <c r="T40" s="17">
        <f t="shared" si="23"/>
        <v>10773.542125599997</v>
      </c>
      <c r="U40" s="39">
        <v>5.28E-2</v>
      </c>
      <c r="V40" s="1">
        <f t="shared" si="24"/>
        <v>896.88427739999975</v>
      </c>
      <c r="W40" s="17">
        <v>1195.8457032000001</v>
      </c>
      <c r="X40" s="40">
        <f t="shared" si="25"/>
        <v>8</v>
      </c>
      <c r="Y40" s="40">
        <f t="shared" si="26"/>
        <v>9566.7656255999973</v>
      </c>
      <c r="Z40" s="40">
        <f t="shared" si="27"/>
        <v>1206.7764999999999</v>
      </c>
      <c r="AA40" s="25">
        <f t="shared" si="28"/>
        <v>0</v>
      </c>
    </row>
    <row r="41" spans="2:27" x14ac:dyDescent="0.2">
      <c r="B41" s="35"/>
      <c r="C41" s="36" t="s">
        <v>49</v>
      </c>
      <c r="D41" s="37" t="s">
        <v>21</v>
      </c>
      <c r="E41" s="37"/>
      <c r="F41" s="17">
        <v>372912.44</v>
      </c>
      <c r="G41" s="17"/>
      <c r="H41" s="17"/>
      <c r="I41" s="38">
        <f t="shared" si="15"/>
        <v>372912.44</v>
      </c>
      <c r="J41" s="17"/>
      <c r="K41" s="16">
        <v>185788.92549759999</v>
      </c>
      <c r="L41" s="16">
        <f t="shared" si="16"/>
        <v>185788.92549759999</v>
      </c>
      <c r="M41" s="17">
        <f t="shared" si="17"/>
        <v>187123.51450240001</v>
      </c>
      <c r="N41" s="17">
        <f t="shared" si="18"/>
        <v>18645.621999999999</v>
      </c>
      <c r="O41" s="17">
        <f t="shared" si="19"/>
        <v>168477.89250240001</v>
      </c>
      <c r="P41" s="36">
        <v>9</v>
      </c>
      <c r="Q41" s="17">
        <f t="shared" si="20"/>
        <v>18719.765833600002</v>
      </c>
      <c r="R41" s="17">
        <f t="shared" si="21"/>
        <v>185788.92549759999</v>
      </c>
      <c r="S41" s="17">
        <f t="shared" si="22"/>
        <v>204508.69133120001</v>
      </c>
      <c r="T41" s="17">
        <f t="shared" si="23"/>
        <v>168403.74866879999</v>
      </c>
      <c r="U41" s="39">
        <v>5.28E-2</v>
      </c>
      <c r="V41" s="1">
        <f t="shared" si="24"/>
        <v>14039.824375200002</v>
      </c>
      <c r="W41" s="17">
        <v>18719.765833600002</v>
      </c>
      <c r="X41" s="40">
        <f t="shared" si="25"/>
        <v>8</v>
      </c>
      <c r="Y41" s="40">
        <f t="shared" si="26"/>
        <v>149758.12666880002</v>
      </c>
      <c r="Z41" s="40">
        <f t="shared" si="27"/>
        <v>18645.621999999974</v>
      </c>
      <c r="AA41" s="25">
        <f t="shared" si="28"/>
        <v>0</v>
      </c>
    </row>
    <row r="42" spans="2:27" x14ac:dyDescent="0.2">
      <c r="B42" s="35"/>
      <c r="C42" s="36" t="s">
        <v>50</v>
      </c>
      <c r="D42" s="37" t="s">
        <v>21</v>
      </c>
      <c r="E42" s="37"/>
      <c r="F42" s="17">
        <v>29342.41</v>
      </c>
      <c r="G42" s="17"/>
      <c r="H42" s="17"/>
      <c r="I42" s="38">
        <f t="shared" si="15"/>
        <v>29342.41</v>
      </c>
      <c r="J42" s="17"/>
      <c r="K42" s="16">
        <v>14712.818446400001</v>
      </c>
      <c r="L42" s="16">
        <f t="shared" si="16"/>
        <v>14712.818446400001</v>
      </c>
      <c r="M42" s="17">
        <f t="shared" si="17"/>
        <v>14629.591553599999</v>
      </c>
      <c r="N42" s="17">
        <f t="shared" si="18"/>
        <v>1467.1205</v>
      </c>
      <c r="O42" s="17">
        <f t="shared" si="19"/>
        <v>13162.471053599998</v>
      </c>
      <c r="P42" s="36">
        <v>9</v>
      </c>
      <c r="Q42" s="17">
        <f t="shared" si="20"/>
        <v>1462.4967837333331</v>
      </c>
      <c r="R42" s="17">
        <f t="shared" si="21"/>
        <v>14712.818446400001</v>
      </c>
      <c r="S42" s="17">
        <f t="shared" si="22"/>
        <v>16175.315230133334</v>
      </c>
      <c r="T42" s="17">
        <f t="shared" si="23"/>
        <v>13167.094769866666</v>
      </c>
      <c r="U42" s="39">
        <v>5.28E-2</v>
      </c>
      <c r="V42" s="1">
        <f t="shared" si="24"/>
        <v>1096.8725877999998</v>
      </c>
      <c r="W42" s="17">
        <v>1462.4967837333331</v>
      </c>
      <c r="X42" s="40">
        <f t="shared" si="25"/>
        <v>8</v>
      </c>
      <c r="Y42" s="40">
        <f t="shared" si="26"/>
        <v>11699.974269866665</v>
      </c>
      <c r="Z42" s="40">
        <f t="shared" si="27"/>
        <v>1467.1205000000009</v>
      </c>
      <c r="AA42" s="25">
        <f t="shared" si="28"/>
        <v>0</v>
      </c>
    </row>
    <row r="43" spans="2:27" x14ac:dyDescent="0.2">
      <c r="B43" s="35"/>
      <c r="C43" s="36" t="s">
        <v>51</v>
      </c>
      <c r="D43" s="37" t="s">
        <v>21</v>
      </c>
      <c r="E43" s="37"/>
      <c r="F43" s="17">
        <v>40000</v>
      </c>
      <c r="G43" s="17"/>
      <c r="H43" s="17"/>
      <c r="I43" s="38">
        <f t="shared" si="15"/>
        <v>40000</v>
      </c>
      <c r="J43" s="17"/>
      <c r="K43" s="16">
        <v>19952</v>
      </c>
      <c r="L43" s="16">
        <f t="shared" si="16"/>
        <v>19952</v>
      </c>
      <c r="M43" s="17">
        <f t="shared" si="17"/>
        <v>20048</v>
      </c>
      <c r="N43" s="17">
        <f t="shared" si="18"/>
        <v>2000</v>
      </c>
      <c r="O43" s="17">
        <f t="shared" si="19"/>
        <v>18048</v>
      </c>
      <c r="P43" s="36">
        <v>9</v>
      </c>
      <c r="Q43" s="17">
        <f t="shared" si="20"/>
        <v>2005.3333333333333</v>
      </c>
      <c r="R43" s="17">
        <f t="shared" si="21"/>
        <v>19952</v>
      </c>
      <c r="S43" s="17">
        <f t="shared" si="22"/>
        <v>21957.333333333332</v>
      </c>
      <c r="T43" s="17">
        <f t="shared" si="23"/>
        <v>18042.666666666668</v>
      </c>
      <c r="U43" s="39">
        <v>5.28E-2</v>
      </c>
      <c r="V43" s="1">
        <f t="shared" si="24"/>
        <v>1504</v>
      </c>
      <c r="W43" s="17">
        <v>2005.3333333333333</v>
      </c>
      <c r="X43" s="40">
        <f t="shared" si="25"/>
        <v>8</v>
      </c>
      <c r="Y43" s="40">
        <f t="shared" si="26"/>
        <v>16042.666666666666</v>
      </c>
      <c r="Z43" s="40">
        <f t="shared" si="27"/>
        <v>2000.0000000000018</v>
      </c>
      <c r="AA43" s="25">
        <f t="shared" si="28"/>
        <v>-1.8189894035458565E-12</v>
      </c>
    </row>
    <row r="44" spans="2:27" x14ac:dyDescent="0.2">
      <c r="B44" s="35"/>
      <c r="C44" s="36" t="s">
        <v>52</v>
      </c>
      <c r="D44" s="37" t="s">
        <v>21</v>
      </c>
      <c r="E44" s="37"/>
      <c r="F44" s="17">
        <v>151042.01</v>
      </c>
      <c r="G44" s="17"/>
      <c r="H44" s="17"/>
      <c r="I44" s="38">
        <f t="shared" si="15"/>
        <v>151042.01</v>
      </c>
      <c r="J44" s="17"/>
      <c r="K44" s="16">
        <v>75737.996430400002</v>
      </c>
      <c r="L44" s="16">
        <f t="shared" si="16"/>
        <v>75737.996430400002</v>
      </c>
      <c r="M44" s="17">
        <f t="shared" si="17"/>
        <v>75304.013569600007</v>
      </c>
      <c r="N44" s="17">
        <f t="shared" si="18"/>
        <v>7552.1005000000005</v>
      </c>
      <c r="O44" s="17">
        <f t="shared" si="19"/>
        <v>67751.913069600007</v>
      </c>
      <c r="P44" s="36">
        <v>9</v>
      </c>
      <c r="Q44" s="17">
        <f t="shared" si="20"/>
        <v>7527.9903410666675</v>
      </c>
      <c r="R44" s="17">
        <f t="shared" si="21"/>
        <v>75737.996430400002</v>
      </c>
      <c r="S44" s="17">
        <f t="shared" si="22"/>
        <v>83265.986771466676</v>
      </c>
      <c r="T44" s="17">
        <f t="shared" si="23"/>
        <v>67776.023228533333</v>
      </c>
      <c r="U44" s="39">
        <v>5.28E-2</v>
      </c>
      <c r="V44" s="1">
        <f t="shared" si="24"/>
        <v>5645.9927558000009</v>
      </c>
      <c r="W44" s="17">
        <v>7527.9903410666675</v>
      </c>
      <c r="X44" s="40">
        <f t="shared" si="25"/>
        <v>8</v>
      </c>
      <c r="Y44" s="40">
        <f t="shared" si="26"/>
        <v>60223.92272853334</v>
      </c>
      <c r="Z44" s="40">
        <f t="shared" si="27"/>
        <v>7552.1004999999932</v>
      </c>
      <c r="AA44" s="25">
        <f t="shared" si="28"/>
        <v>7.2759576141834259E-12</v>
      </c>
    </row>
    <row r="45" spans="2:27" x14ac:dyDescent="0.2">
      <c r="B45" s="35"/>
      <c r="C45" s="36" t="s">
        <v>53</v>
      </c>
      <c r="D45" s="37" t="s">
        <v>21</v>
      </c>
      <c r="E45" s="37"/>
      <c r="F45" s="17">
        <v>232430.2</v>
      </c>
      <c r="G45" s="17"/>
      <c r="H45" s="17"/>
      <c r="I45" s="38">
        <f t="shared" si="15"/>
        <v>232430.2</v>
      </c>
      <c r="J45" s="17"/>
      <c r="K45" s="16">
        <v>115936.042208</v>
      </c>
      <c r="L45" s="16">
        <f t="shared" si="16"/>
        <v>115936.042208</v>
      </c>
      <c r="M45" s="17">
        <f t="shared" si="17"/>
        <v>116494.15779200001</v>
      </c>
      <c r="N45" s="17">
        <f t="shared" si="18"/>
        <v>11621.510000000002</v>
      </c>
      <c r="O45" s="17">
        <f t="shared" si="19"/>
        <v>104872.647792</v>
      </c>
      <c r="P45" s="36">
        <v>9</v>
      </c>
      <c r="Q45" s="17">
        <f t="shared" si="20"/>
        <v>11652.516421333334</v>
      </c>
      <c r="R45" s="17">
        <f t="shared" si="21"/>
        <v>115936.042208</v>
      </c>
      <c r="S45" s="17">
        <f t="shared" si="22"/>
        <v>127588.55862933333</v>
      </c>
      <c r="T45" s="17">
        <f t="shared" si="23"/>
        <v>104841.64137066668</v>
      </c>
      <c r="U45" s="39">
        <v>5.28E-2</v>
      </c>
      <c r="V45" s="1">
        <f t="shared" si="24"/>
        <v>8739.3873160000003</v>
      </c>
      <c r="W45" s="17">
        <v>11652.516421333334</v>
      </c>
      <c r="X45" s="40">
        <f t="shared" si="25"/>
        <v>8</v>
      </c>
      <c r="Y45" s="40">
        <f t="shared" si="26"/>
        <v>93220.13137066667</v>
      </c>
      <c r="Z45" s="40">
        <f t="shared" si="27"/>
        <v>11621.510000000009</v>
      </c>
      <c r="AA45" s="25">
        <f t="shared" si="28"/>
        <v>0</v>
      </c>
    </row>
    <row r="46" spans="2:27" x14ac:dyDescent="0.2">
      <c r="B46" s="35"/>
      <c r="C46" s="36" t="s">
        <v>54</v>
      </c>
      <c r="D46" s="37" t="s">
        <v>21</v>
      </c>
      <c r="E46" s="37"/>
      <c r="F46" s="17">
        <v>22839</v>
      </c>
      <c r="G46" s="17"/>
      <c r="H46" s="17"/>
      <c r="I46" s="38">
        <f t="shared" si="15"/>
        <v>22839</v>
      </c>
      <c r="J46" s="17"/>
      <c r="K46" s="16">
        <v>11271.238560000002</v>
      </c>
      <c r="L46" s="16">
        <f t="shared" si="16"/>
        <v>11271.238560000002</v>
      </c>
      <c r="M46" s="17">
        <f t="shared" si="17"/>
        <v>11567.761439999998</v>
      </c>
      <c r="N46" s="17">
        <f t="shared" si="18"/>
        <v>1141.95</v>
      </c>
      <c r="O46" s="17">
        <f t="shared" si="19"/>
        <v>10425.811439999998</v>
      </c>
      <c r="P46" s="36">
        <v>9</v>
      </c>
      <c r="Q46" s="17">
        <f t="shared" si="20"/>
        <v>1158.423493333333</v>
      </c>
      <c r="R46" s="17">
        <f t="shared" si="21"/>
        <v>11271.238560000002</v>
      </c>
      <c r="S46" s="17">
        <f t="shared" si="22"/>
        <v>12429.662053333335</v>
      </c>
      <c r="T46" s="17">
        <f t="shared" si="23"/>
        <v>10409.337946666665</v>
      </c>
      <c r="U46" s="39">
        <v>5.28E-2</v>
      </c>
      <c r="V46" s="1">
        <f t="shared" si="24"/>
        <v>868.81761999999981</v>
      </c>
      <c r="W46" s="17">
        <v>1158.4234933333332</v>
      </c>
      <c r="X46" s="40">
        <f t="shared" si="25"/>
        <v>8</v>
      </c>
      <c r="Y46" s="40">
        <f t="shared" si="26"/>
        <v>9267.387946666664</v>
      </c>
      <c r="Z46" s="40">
        <f t="shared" si="27"/>
        <v>1141.9500000000007</v>
      </c>
      <c r="AA46" s="25">
        <f t="shared" si="28"/>
        <v>0</v>
      </c>
    </row>
    <row r="47" spans="2:27" x14ac:dyDescent="0.2">
      <c r="B47" s="35"/>
      <c r="C47" s="36" t="s">
        <v>55</v>
      </c>
      <c r="D47" s="37" t="s">
        <v>21</v>
      </c>
      <c r="E47" s="37"/>
      <c r="F47" s="17">
        <v>46813</v>
      </c>
      <c r="G47" s="17"/>
      <c r="H47" s="17"/>
      <c r="I47" s="38">
        <f t="shared" si="15"/>
        <v>46813</v>
      </c>
      <c r="J47" s="17"/>
      <c r="K47" s="16">
        <v>23102.647519999999</v>
      </c>
      <c r="L47" s="16">
        <f t="shared" si="16"/>
        <v>23102.647519999999</v>
      </c>
      <c r="M47" s="17">
        <f t="shared" si="17"/>
        <v>23710.352480000001</v>
      </c>
      <c r="N47" s="17">
        <f t="shared" si="18"/>
        <v>2340.65</v>
      </c>
      <c r="O47" s="17">
        <f t="shared" si="19"/>
        <v>21369.70248</v>
      </c>
      <c r="P47" s="36">
        <v>9</v>
      </c>
      <c r="Q47" s="17">
        <f t="shared" si="20"/>
        <v>2374.4113866666667</v>
      </c>
      <c r="R47" s="17">
        <f t="shared" si="21"/>
        <v>23102.647519999999</v>
      </c>
      <c r="S47" s="17">
        <f t="shared" si="22"/>
        <v>25477.058906666665</v>
      </c>
      <c r="T47" s="17">
        <f t="shared" si="23"/>
        <v>21335.941093333335</v>
      </c>
      <c r="U47" s="39">
        <v>5.28E-2</v>
      </c>
      <c r="V47" s="1">
        <f t="shared" si="24"/>
        <v>1780.80854</v>
      </c>
      <c r="W47" s="17">
        <v>2374.4113866666667</v>
      </c>
      <c r="X47" s="40">
        <f t="shared" si="25"/>
        <v>8</v>
      </c>
      <c r="Y47" s="40">
        <f t="shared" si="26"/>
        <v>18995.291093333333</v>
      </c>
      <c r="Z47" s="40">
        <f t="shared" si="27"/>
        <v>2340.6500000000015</v>
      </c>
      <c r="AA47" s="25">
        <f t="shared" si="28"/>
        <v>0</v>
      </c>
    </row>
    <row r="48" spans="2:27" x14ac:dyDescent="0.2">
      <c r="B48" s="35"/>
      <c r="C48" s="36" t="s">
        <v>56</v>
      </c>
      <c r="D48" s="37" t="s">
        <v>21</v>
      </c>
      <c r="E48" s="37"/>
      <c r="F48" s="17">
        <v>86700</v>
      </c>
      <c r="G48" s="17"/>
      <c r="H48" s="17"/>
      <c r="I48" s="38">
        <f t="shared" si="15"/>
        <v>86700</v>
      </c>
      <c r="J48" s="17"/>
      <c r="K48" s="16">
        <v>42787.968000000001</v>
      </c>
      <c r="L48" s="16">
        <f t="shared" si="16"/>
        <v>42787.968000000001</v>
      </c>
      <c r="M48" s="17">
        <f t="shared" si="17"/>
        <v>43912.031999999999</v>
      </c>
      <c r="N48" s="17">
        <f t="shared" si="18"/>
        <v>4335</v>
      </c>
      <c r="O48" s="17">
        <f t="shared" si="19"/>
        <v>39577.031999999999</v>
      </c>
      <c r="P48" s="36">
        <v>9</v>
      </c>
      <c r="Q48" s="17">
        <f t="shared" si="20"/>
        <v>4397.4480000000003</v>
      </c>
      <c r="R48" s="17">
        <f t="shared" si="21"/>
        <v>42787.968000000001</v>
      </c>
      <c r="S48" s="17">
        <f t="shared" si="22"/>
        <v>47185.415999999997</v>
      </c>
      <c r="T48" s="17">
        <f t="shared" si="23"/>
        <v>39514.584000000003</v>
      </c>
      <c r="U48" s="39">
        <v>5.28E-2</v>
      </c>
      <c r="V48" s="1">
        <f t="shared" si="24"/>
        <v>3298.0860000000002</v>
      </c>
      <c r="W48" s="17">
        <v>4397.4480000000003</v>
      </c>
      <c r="X48" s="40">
        <f t="shared" si="25"/>
        <v>8</v>
      </c>
      <c r="Y48" s="40">
        <f t="shared" si="26"/>
        <v>35179.584000000003</v>
      </c>
      <c r="Z48" s="40">
        <f t="shared" si="27"/>
        <v>4335</v>
      </c>
      <c r="AA48" s="25">
        <f t="shared" si="28"/>
        <v>0</v>
      </c>
    </row>
    <row r="49" spans="2:27" x14ac:dyDescent="0.2">
      <c r="B49" s="35"/>
      <c r="C49" s="36" t="s">
        <v>57</v>
      </c>
      <c r="D49" s="37" t="s">
        <v>21</v>
      </c>
      <c r="E49" s="37"/>
      <c r="F49" s="17">
        <v>510000</v>
      </c>
      <c r="G49" s="17"/>
      <c r="H49" s="17"/>
      <c r="I49" s="38">
        <f t="shared" si="15"/>
        <v>510000</v>
      </c>
      <c r="J49" s="17"/>
      <c r="K49" s="16">
        <v>243616.8</v>
      </c>
      <c r="L49" s="16">
        <f t="shared" si="16"/>
        <v>243616.8</v>
      </c>
      <c r="M49" s="17">
        <f t="shared" si="17"/>
        <v>266383.2</v>
      </c>
      <c r="N49" s="17">
        <f t="shared" si="18"/>
        <v>25500</v>
      </c>
      <c r="O49" s="17">
        <f t="shared" si="19"/>
        <v>240883.20000000001</v>
      </c>
      <c r="P49" s="36">
        <v>9</v>
      </c>
      <c r="Q49" s="17">
        <f t="shared" si="20"/>
        <v>26764.800000000003</v>
      </c>
      <c r="R49" s="17">
        <f t="shared" si="21"/>
        <v>243616.8</v>
      </c>
      <c r="S49" s="17">
        <f t="shared" si="22"/>
        <v>270381.59999999998</v>
      </c>
      <c r="T49" s="17">
        <f t="shared" si="23"/>
        <v>239618.40000000002</v>
      </c>
      <c r="U49" s="39">
        <v>5.28E-2</v>
      </c>
      <c r="V49" s="1">
        <f t="shared" si="24"/>
        <v>20073.600000000002</v>
      </c>
      <c r="W49" s="17">
        <v>26764.799999999999</v>
      </c>
      <c r="X49" s="40">
        <f t="shared" si="25"/>
        <v>8</v>
      </c>
      <c r="Y49" s="40">
        <f t="shared" si="26"/>
        <v>214118.40000000002</v>
      </c>
      <c r="Z49" s="40">
        <f t="shared" si="27"/>
        <v>25500</v>
      </c>
      <c r="AA49" s="25">
        <f t="shared" si="28"/>
        <v>0</v>
      </c>
    </row>
    <row r="50" spans="2:27" x14ac:dyDescent="0.2">
      <c r="B50" s="35"/>
      <c r="C50" s="36" t="s">
        <v>58</v>
      </c>
      <c r="D50" s="37" t="s">
        <v>21</v>
      </c>
      <c r="E50" s="37"/>
      <c r="F50" s="17">
        <v>10000</v>
      </c>
      <c r="G50" s="17"/>
      <c r="H50" s="17"/>
      <c r="I50" s="38">
        <f t="shared" si="15"/>
        <v>10000</v>
      </c>
      <c r="J50" s="17"/>
      <c r="K50" s="16">
        <v>4750.4000000000005</v>
      </c>
      <c r="L50" s="16">
        <f t="shared" si="16"/>
        <v>4750.4000000000005</v>
      </c>
      <c r="M50" s="17">
        <f t="shared" si="17"/>
        <v>5249.5999999999995</v>
      </c>
      <c r="N50" s="17">
        <f t="shared" si="18"/>
        <v>500</v>
      </c>
      <c r="O50" s="17">
        <f t="shared" si="19"/>
        <v>4749.5999999999995</v>
      </c>
      <c r="P50" s="36">
        <v>9</v>
      </c>
      <c r="Q50" s="17">
        <f t="shared" si="20"/>
        <v>527.73333333333323</v>
      </c>
      <c r="R50" s="17">
        <f t="shared" si="21"/>
        <v>4750.4000000000005</v>
      </c>
      <c r="S50" s="17">
        <f t="shared" si="22"/>
        <v>5278.1333333333341</v>
      </c>
      <c r="T50" s="17">
        <f t="shared" si="23"/>
        <v>4721.8666666666659</v>
      </c>
      <c r="U50" s="39">
        <v>5.28E-2</v>
      </c>
      <c r="V50" s="1">
        <f t="shared" si="24"/>
        <v>395.79999999999995</v>
      </c>
      <c r="W50" s="17">
        <v>527.73333333333335</v>
      </c>
      <c r="X50" s="40">
        <f t="shared" si="25"/>
        <v>8</v>
      </c>
      <c r="Y50" s="40">
        <f t="shared" si="26"/>
        <v>4221.8666666666659</v>
      </c>
      <c r="Z50" s="40">
        <f t="shared" si="27"/>
        <v>500</v>
      </c>
      <c r="AA50" s="25">
        <f t="shared" si="28"/>
        <v>0</v>
      </c>
    </row>
    <row r="51" spans="2:27" x14ac:dyDescent="0.2">
      <c r="B51" s="35"/>
      <c r="C51" s="36" t="s">
        <v>59</v>
      </c>
      <c r="D51" s="37" t="s">
        <v>22</v>
      </c>
      <c r="E51" s="37"/>
      <c r="F51" s="17">
        <v>7650</v>
      </c>
      <c r="G51" s="17"/>
      <c r="H51" s="17"/>
      <c r="I51" s="38">
        <f t="shared" si="15"/>
        <v>7650</v>
      </c>
      <c r="J51" s="17"/>
      <c r="K51" s="16">
        <v>3419.5875000000005</v>
      </c>
      <c r="L51" s="16">
        <f t="shared" si="16"/>
        <v>3419.5875000000005</v>
      </c>
      <c r="M51" s="17">
        <f t="shared" si="17"/>
        <v>4230.4124999999995</v>
      </c>
      <c r="N51" s="17">
        <f t="shared" si="18"/>
        <v>382.5</v>
      </c>
      <c r="O51" s="17">
        <f t="shared" si="19"/>
        <v>3847.9124999999995</v>
      </c>
      <c r="P51" s="36">
        <v>10</v>
      </c>
      <c r="Q51" s="17">
        <f t="shared" si="20"/>
        <v>384.79124999999993</v>
      </c>
      <c r="R51" s="17">
        <f t="shared" si="21"/>
        <v>3419.5875000000005</v>
      </c>
      <c r="S51" s="17">
        <f t="shared" si="22"/>
        <v>3804.3787500000003</v>
      </c>
      <c r="T51" s="17">
        <f t="shared" si="23"/>
        <v>3845.6212499999997</v>
      </c>
      <c r="U51" s="39">
        <v>5.28E-2</v>
      </c>
      <c r="V51" s="1">
        <f t="shared" si="24"/>
        <v>288.59343749999994</v>
      </c>
      <c r="W51" s="17">
        <v>384.79124999999999</v>
      </c>
      <c r="X51" s="40">
        <f t="shared" si="25"/>
        <v>9</v>
      </c>
      <c r="Y51" s="40">
        <f t="shared" si="26"/>
        <v>3463.1212499999992</v>
      </c>
      <c r="Z51" s="40">
        <f t="shared" si="27"/>
        <v>382.50000000000045</v>
      </c>
      <c r="AA51" s="25">
        <f t="shared" si="28"/>
        <v>-4.5474735088646412E-13</v>
      </c>
    </row>
    <row r="52" spans="2:27" x14ac:dyDescent="0.2">
      <c r="B52" s="35"/>
      <c r="C52" s="36" t="s">
        <v>60</v>
      </c>
      <c r="D52" s="37" t="s">
        <v>22</v>
      </c>
      <c r="E52" s="37"/>
      <c r="F52" s="17">
        <v>363191</v>
      </c>
      <c r="G52" s="17"/>
      <c r="H52" s="17"/>
      <c r="I52" s="38">
        <f t="shared" si="15"/>
        <v>363191</v>
      </c>
      <c r="J52" s="17"/>
      <c r="K52" s="16">
        <v>162345.52474999998</v>
      </c>
      <c r="L52" s="16">
        <f t="shared" si="16"/>
        <v>162345.52474999998</v>
      </c>
      <c r="M52" s="17">
        <f t="shared" si="17"/>
        <v>200845.47525000002</v>
      </c>
      <c r="N52" s="17">
        <f t="shared" si="18"/>
        <v>18159.55</v>
      </c>
      <c r="O52" s="17">
        <f t="shared" si="19"/>
        <v>182685.92525000003</v>
      </c>
      <c r="P52" s="36">
        <v>10</v>
      </c>
      <c r="Q52" s="17">
        <f t="shared" si="20"/>
        <v>18268.592525000004</v>
      </c>
      <c r="R52" s="17">
        <f t="shared" si="21"/>
        <v>162345.52474999998</v>
      </c>
      <c r="S52" s="17">
        <f t="shared" si="22"/>
        <v>180614.117275</v>
      </c>
      <c r="T52" s="17">
        <f t="shared" si="23"/>
        <v>182576.882725</v>
      </c>
      <c r="U52" s="39">
        <v>5.28E-2</v>
      </c>
      <c r="V52" s="1">
        <f t="shared" si="24"/>
        <v>13701.444393750004</v>
      </c>
      <c r="W52" s="17">
        <v>18268.592525</v>
      </c>
      <c r="X52" s="40">
        <f t="shared" si="25"/>
        <v>9</v>
      </c>
      <c r="Y52" s="40">
        <f t="shared" si="26"/>
        <v>164417.33272500004</v>
      </c>
      <c r="Z52" s="40">
        <f t="shared" si="27"/>
        <v>18159.549999999959</v>
      </c>
      <c r="AA52" s="25">
        <f t="shared" si="28"/>
        <v>4.0017766878008842E-11</v>
      </c>
    </row>
    <row r="53" spans="2:27" x14ac:dyDescent="0.2">
      <c r="B53" s="35"/>
      <c r="C53" s="36" t="s">
        <v>61</v>
      </c>
      <c r="D53" s="37" t="s">
        <v>22</v>
      </c>
      <c r="E53" s="37"/>
      <c r="F53" s="17">
        <v>362205.37</v>
      </c>
      <c r="G53" s="17"/>
      <c r="H53" s="17"/>
      <c r="I53" s="38">
        <f t="shared" si="15"/>
        <v>362205.37</v>
      </c>
      <c r="J53" s="17"/>
      <c r="K53" s="16">
        <v>154540.59248250001</v>
      </c>
      <c r="L53" s="16">
        <f t="shared" si="16"/>
        <v>154540.59248250001</v>
      </c>
      <c r="M53" s="17">
        <f t="shared" si="17"/>
        <v>207664.77751749998</v>
      </c>
      <c r="N53" s="17">
        <f t="shared" si="18"/>
        <v>18110.268500000002</v>
      </c>
      <c r="O53" s="17">
        <f t="shared" si="19"/>
        <v>189554.50901749998</v>
      </c>
      <c r="P53" s="36">
        <v>10</v>
      </c>
      <c r="Q53" s="17">
        <f t="shared" si="20"/>
        <v>18955.450901749999</v>
      </c>
      <c r="R53" s="17">
        <f t="shared" si="21"/>
        <v>154540.59248250001</v>
      </c>
      <c r="S53" s="17">
        <f t="shared" si="22"/>
        <v>173496.04338425002</v>
      </c>
      <c r="T53" s="17">
        <f t="shared" si="23"/>
        <v>188709.32661574997</v>
      </c>
      <c r="U53" s="39">
        <v>5.28E-2</v>
      </c>
      <c r="V53" s="1">
        <f t="shared" si="24"/>
        <v>14216.5881763125</v>
      </c>
      <c r="W53" s="17">
        <v>18955.450901749999</v>
      </c>
      <c r="X53" s="40">
        <f t="shared" si="25"/>
        <v>9</v>
      </c>
      <c r="Y53" s="40">
        <f t="shared" si="26"/>
        <v>170599.05811575</v>
      </c>
      <c r="Z53" s="40">
        <f t="shared" si="27"/>
        <v>18110.268499999976</v>
      </c>
      <c r="AA53" s="25">
        <f t="shared" si="28"/>
        <v>0</v>
      </c>
    </row>
    <row r="54" spans="2:27" x14ac:dyDescent="0.2">
      <c r="B54" s="35"/>
      <c r="C54" s="36" t="s">
        <v>62</v>
      </c>
      <c r="D54" s="37" t="s">
        <v>22</v>
      </c>
      <c r="E54" s="37"/>
      <c r="F54" s="17">
        <v>64260</v>
      </c>
      <c r="G54" s="17"/>
      <c r="H54" s="17"/>
      <c r="I54" s="38">
        <f t="shared" si="15"/>
        <v>64260</v>
      </c>
      <c r="J54" s="17"/>
      <c r="K54" s="16">
        <v>28724.409999999996</v>
      </c>
      <c r="L54" s="16">
        <f t="shared" si="16"/>
        <v>28724.409999999996</v>
      </c>
      <c r="M54" s="17">
        <f t="shared" si="17"/>
        <v>35535.590000000004</v>
      </c>
      <c r="N54" s="17">
        <f t="shared" si="18"/>
        <v>3213</v>
      </c>
      <c r="O54" s="17">
        <f t="shared" si="19"/>
        <v>32322.590000000004</v>
      </c>
      <c r="P54" s="36">
        <v>10</v>
      </c>
      <c r="Q54" s="17">
        <f t="shared" si="20"/>
        <v>3232.2590000000005</v>
      </c>
      <c r="R54" s="17">
        <f t="shared" si="21"/>
        <v>28724.409999999996</v>
      </c>
      <c r="S54" s="17">
        <f t="shared" si="22"/>
        <v>31956.668999999998</v>
      </c>
      <c r="T54" s="17">
        <f t="shared" si="23"/>
        <v>32303.331000000002</v>
      </c>
      <c r="U54" s="39"/>
      <c r="V54" s="1">
        <f t="shared" si="24"/>
        <v>2424.1942500000005</v>
      </c>
      <c r="W54" s="17">
        <v>3232.259</v>
      </c>
      <c r="X54" s="40">
        <f t="shared" si="25"/>
        <v>9</v>
      </c>
      <c r="Y54" s="40">
        <f t="shared" si="26"/>
        <v>29090.331000000006</v>
      </c>
      <c r="Z54" s="40">
        <f t="shared" si="27"/>
        <v>3212.9999999999964</v>
      </c>
      <c r="AA54" s="25">
        <f t="shared" si="28"/>
        <v>3.637978807091713E-12</v>
      </c>
    </row>
    <row r="55" spans="2:27" x14ac:dyDescent="0.2">
      <c r="B55" s="35"/>
      <c r="C55" s="36" t="s">
        <v>63</v>
      </c>
      <c r="D55" s="37" t="s">
        <v>25</v>
      </c>
      <c r="E55" s="37"/>
      <c r="F55" s="17">
        <v>570940</v>
      </c>
      <c r="G55" s="17"/>
      <c r="H55" s="17"/>
      <c r="I55" s="38">
        <f t="shared" si="15"/>
        <v>570940</v>
      </c>
      <c r="J55" s="17"/>
      <c r="K55" s="16">
        <v>542393</v>
      </c>
      <c r="L55" s="16">
        <f t="shared" si="16"/>
        <v>542393</v>
      </c>
      <c r="M55" s="17">
        <f t="shared" si="17"/>
        <v>28547</v>
      </c>
      <c r="N55" s="17">
        <f t="shared" si="18"/>
        <v>28547</v>
      </c>
      <c r="O55" s="17">
        <f t="shared" si="19"/>
        <v>0</v>
      </c>
      <c r="P55" s="36">
        <v>0</v>
      </c>
      <c r="Q55" s="17">
        <v>0</v>
      </c>
      <c r="R55" s="17">
        <f t="shared" ref="R55:R83" si="29">+K55</f>
        <v>542393</v>
      </c>
      <c r="S55" s="17">
        <f t="shared" si="22"/>
        <v>542393</v>
      </c>
      <c r="T55" s="17">
        <f t="shared" si="23"/>
        <v>28547</v>
      </c>
      <c r="U55" s="39"/>
      <c r="V55" s="1">
        <f t="shared" si="24"/>
        <v>0</v>
      </c>
      <c r="W55" s="17">
        <v>174098.66666666666</v>
      </c>
      <c r="X55" s="40">
        <f t="shared" si="25"/>
        <v>-1</v>
      </c>
      <c r="Y55" s="40">
        <f t="shared" si="26"/>
        <v>0</v>
      </c>
      <c r="Z55" s="40">
        <f t="shared" si="27"/>
        <v>28547</v>
      </c>
      <c r="AA55" s="25">
        <f t="shared" si="28"/>
        <v>0</v>
      </c>
    </row>
    <row r="56" spans="2:27" x14ac:dyDescent="0.2">
      <c r="B56" s="35"/>
      <c r="C56" s="36" t="s">
        <v>64</v>
      </c>
      <c r="D56" s="37" t="s">
        <v>25</v>
      </c>
      <c r="E56" s="37"/>
      <c r="F56" s="17">
        <v>350225</v>
      </c>
      <c r="G56" s="17"/>
      <c r="H56" s="17"/>
      <c r="I56" s="38">
        <f t="shared" si="15"/>
        <v>350225</v>
      </c>
      <c r="J56" s="17"/>
      <c r="K56" s="16">
        <v>125605.91176470589</v>
      </c>
      <c r="L56" s="16">
        <f t="shared" si="16"/>
        <v>125605.91176470589</v>
      </c>
      <c r="M56" s="17">
        <f t="shared" si="17"/>
        <v>224619.0882352941</v>
      </c>
      <c r="N56" s="17">
        <f t="shared" si="18"/>
        <v>17511.25</v>
      </c>
      <c r="O56" s="17">
        <f t="shared" si="19"/>
        <v>207107.8382352941</v>
      </c>
      <c r="P56" s="36">
        <v>11</v>
      </c>
      <c r="Q56" s="17">
        <f t="shared" si="20"/>
        <v>18827.985294117647</v>
      </c>
      <c r="R56" s="17">
        <f t="shared" si="29"/>
        <v>125605.91176470589</v>
      </c>
      <c r="S56" s="17">
        <f t="shared" si="22"/>
        <v>144433.89705882352</v>
      </c>
      <c r="T56" s="17">
        <f t="shared" si="23"/>
        <v>205791.10294117648</v>
      </c>
      <c r="U56" s="39"/>
      <c r="V56" s="1">
        <f t="shared" si="24"/>
        <v>14120.988970588234</v>
      </c>
      <c r="W56" s="17">
        <v>18827.985294117647</v>
      </c>
      <c r="X56" s="40">
        <f t="shared" si="25"/>
        <v>10</v>
      </c>
      <c r="Y56" s="40">
        <f t="shared" si="26"/>
        <v>188279.85294117648</v>
      </c>
      <c r="Z56" s="40">
        <f t="shared" si="27"/>
        <v>17511.25</v>
      </c>
      <c r="AA56" s="25">
        <f t="shared" si="28"/>
        <v>0</v>
      </c>
    </row>
    <row r="57" spans="2:27" x14ac:dyDescent="0.2">
      <c r="B57" s="35"/>
      <c r="C57" s="36" t="s">
        <v>58</v>
      </c>
      <c r="D57" s="37" t="s">
        <v>25</v>
      </c>
      <c r="E57" s="37"/>
      <c r="F57" s="17">
        <v>15890</v>
      </c>
      <c r="G57" s="17"/>
      <c r="H57" s="17"/>
      <c r="I57" s="38">
        <f t="shared" si="15"/>
        <v>15890</v>
      </c>
      <c r="J57" s="17"/>
      <c r="K57" s="16">
        <v>5734.823529411764</v>
      </c>
      <c r="L57" s="16">
        <f t="shared" si="16"/>
        <v>5734.823529411764</v>
      </c>
      <c r="M57" s="17">
        <f t="shared" si="17"/>
        <v>10155.176470588236</v>
      </c>
      <c r="N57" s="17">
        <f t="shared" si="18"/>
        <v>794.5</v>
      </c>
      <c r="O57" s="17">
        <f t="shared" si="19"/>
        <v>9360.676470588236</v>
      </c>
      <c r="P57" s="36">
        <v>11</v>
      </c>
      <c r="Q57" s="17">
        <f t="shared" si="20"/>
        <v>850.97058823529414</v>
      </c>
      <c r="R57" s="17">
        <f t="shared" si="29"/>
        <v>5734.823529411764</v>
      </c>
      <c r="S57" s="17">
        <f t="shared" si="22"/>
        <v>6585.7941176470576</v>
      </c>
      <c r="T57" s="17">
        <f t="shared" si="23"/>
        <v>9304.2058823529424</v>
      </c>
      <c r="U57" s="39"/>
      <c r="V57" s="1">
        <f t="shared" si="24"/>
        <v>638.22794117647061</v>
      </c>
      <c r="W57" s="17">
        <v>850.97058823529414</v>
      </c>
      <c r="X57" s="40">
        <f t="shared" si="25"/>
        <v>10</v>
      </c>
      <c r="Y57" s="40">
        <f t="shared" si="26"/>
        <v>8509.7058823529405</v>
      </c>
      <c r="Z57" s="40">
        <f t="shared" si="27"/>
        <v>794.50000000000182</v>
      </c>
      <c r="AA57" s="25">
        <f t="shared" si="28"/>
        <v>-1.8189894035458565E-12</v>
      </c>
    </row>
    <row r="58" spans="2:27" x14ac:dyDescent="0.2">
      <c r="B58" s="35"/>
      <c r="C58" s="36" t="s">
        <v>65</v>
      </c>
      <c r="D58" s="37" t="s">
        <v>25</v>
      </c>
      <c r="E58" s="37"/>
      <c r="F58" s="17">
        <v>96900</v>
      </c>
      <c r="G58" s="17"/>
      <c r="H58" s="17"/>
      <c r="I58" s="38">
        <f t="shared" si="15"/>
        <v>96900</v>
      </c>
      <c r="J58" s="17"/>
      <c r="K58" s="16">
        <v>33317.588235294119</v>
      </c>
      <c r="L58" s="16">
        <f t="shared" si="16"/>
        <v>33317.588235294119</v>
      </c>
      <c r="M58" s="17">
        <f t="shared" si="17"/>
        <v>63582.411764705881</v>
      </c>
      <c r="N58" s="17">
        <f t="shared" si="18"/>
        <v>4845</v>
      </c>
      <c r="O58" s="17">
        <f t="shared" si="19"/>
        <v>58737.411764705881</v>
      </c>
      <c r="P58" s="36">
        <v>11</v>
      </c>
      <c r="Q58" s="17">
        <f t="shared" si="20"/>
        <v>5339.7647058823532</v>
      </c>
      <c r="R58" s="17">
        <f t="shared" si="29"/>
        <v>33317.588235294119</v>
      </c>
      <c r="S58" s="17">
        <f t="shared" si="22"/>
        <v>38657.352941176476</v>
      </c>
      <c r="T58" s="17">
        <f t="shared" si="23"/>
        <v>58242.647058823524</v>
      </c>
      <c r="U58" s="39"/>
      <c r="V58" s="1">
        <f t="shared" si="24"/>
        <v>4004.8235294117649</v>
      </c>
      <c r="W58" s="17">
        <v>5339.7647058823532</v>
      </c>
      <c r="X58" s="40">
        <f t="shared" si="25"/>
        <v>10</v>
      </c>
      <c r="Y58" s="40">
        <f t="shared" si="26"/>
        <v>53397.647058823532</v>
      </c>
      <c r="Z58" s="40">
        <f t="shared" si="27"/>
        <v>4844.9999999999927</v>
      </c>
      <c r="AA58" s="25">
        <f t="shared" si="28"/>
        <v>7.2759576141834259E-12</v>
      </c>
    </row>
    <row r="59" spans="2:27" x14ac:dyDescent="0.2">
      <c r="B59" s="35"/>
      <c r="C59" s="36" t="s">
        <v>66</v>
      </c>
      <c r="D59" s="37" t="s">
        <v>25</v>
      </c>
      <c r="E59" s="37"/>
      <c r="F59" s="17">
        <v>219300</v>
      </c>
      <c r="G59" s="17"/>
      <c r="H59" s="17"/>
      <c r="I59" s="38">
        <f t="shared" si="15"/>
        <v>219300</v>
      </c>
      <c r="J59" s="17"/>
      <c r="K59" s="16">
        <v>75403.23529411765</v>
      </c>
      <c r="L59" s="16">
        <f t="shared" si="16"/>
        <v>75403.23529411765</v>
      </c>
      <c r="M59" s="17">
        <f t="shared" si="17"/>
        <v>143896.76470588235</v>
      </c>
      <c r="N59" s="17">
        <f t="shared" si="18"/>
        <v>10965</v>
      </c>
      <c r="O59" s="17">
        <f t="shared" si="19"/>
        <v>132931.76470588235</v>
      </c>
      <c r="P59" s="36">
        <v>11</v>
      </c>
      <c r="Q59" s="17">
        <f t="shared" si="20"/>
        <v>12084.705882352941</v>
      </c>
      <c r="R59" s="17">
        <f t="shared" si="29"/>
        <v>75403.23529411765</v>
      </c>
      <c r="S59" s="17">
        <f t="shared" si="22"/>
        <v>87487.941176470587</v>
      </c>
      <c r="T59" s="17">
        <f t="shared" si="23"/>
        <v>131812.0588235294</v>
      </c>
      <c r="U59" s="39"/>
      <c r="V59" s="1">
        <f t="shared" si="24"/>
        <v>9063.5294117647063</v>
      </c>
      <c r="W59" s="17">
        <v>12084.705882352941</v>
      </c>
      <c r="X59" s="40">
        <f t="shared" si="25"/>
        <v>10</v>
      </c>
      <c r="Y59" s="40">
        <f t="shared" si="26"/>
        <v>120847.0588235294</v>
      </c>
      <c r="Z59" s="40">
        <f t="shared" si="27"/>
        <v>10965</v>
      </c>
      <c r="AA59" s="25">
        <f t="shared" si="28"/>
        <v>0</v>
      </c>
    </row>
    <row r="60" spans="2:27" x14ac:dyDescent="0.2">
      <c r="B60" s="35"/>
      <c r="C60" s="36" t="s">
        <v>67</v>
      </c>
      <c r="D60" s="37" t="s">
        <v>25</v>
      </c>
      <c r="E60" s="37"/>
      <c r="F60" s="17">
        <v>90005</v>
      </c>
      <c r="G60" s="17"/>
      <c r="H60" s="17"/>
      <c r="I60" s="38">
        <f t="shared" si="15"/>
        <v>90005</v>
      </c>
      <c r="J60" s="17"/>
      <c r="K60" s="16">
        <v>30178.147058823528</v>
      </c>
      <c r="L60" s="16">
        <f t="shared" si="16"/>
        <v>30178.147058823528</v>
      </c>
      <c r="M60" s="17">
        <f t="shared" si="17"/>
        <v>59826.852941176476</v>
      </c>
      <c r="N60" s="17">
        <f t="shared" si="18"/>
        <v>4500.25</v>
      </c>
      <c r="O60" s="17">
        <f t="shared" si="19"/>
        <v>55326.602941176476</v>
      </c>
      <c r="P60" s="36">
        <v>11</v>
      </c>
      <c r="Q60" s="17">
        <f t="shared" si="20"/>
        <v>5029.6911764705883</v>
      </c>
      <c r="R60" s="17">
        <f t="shared" si="29"/>
        <v>30178.147058823528</v>
      </c>
      <c r="S60" s="17">
        <f t="shared" si="22"/>
        <v>35207.838235294119</v>
      </c>
      <c r="T60" s="17">
        <f t="shared" si="23"/>
        <v>54797.161764705881</v>
      </c>
      <c r="U60" s="39"/>
      <c r="V60" s="1">
        <f t="shared" si="24"/>
        <v>3772.2683823529414</v>
      </c>
      <c r="W60" s="17">
        <v>5029.6911764705883</v>
      </c>
      <c r="X60" s="40">
        <f t="shared" si="25"/>
        <v>10</v>
      </c>
      <c r="Y60" s="40">
        <f t="shared" si="26"/>
        <v>50296.911764705881</v>
      </c>
      <c r="Z60" s="40">
        <f t="shared" si="27"/>
        <v>4500.25</v>
      </c>
      <c r="AA60" s="25">
        <f t="shared" si="28"/>
        <v>0</v>
      </c>
    </row>
    <row r="61" spans="2:27" x14ac:dyDescent="0.2">
      <c r="B61" s="35"/>
      <c r="C61" s="36" t="s">
        <v>68</v>
      </c>
      <c r="D61" s="37" t="s">
        <v>26</v>
      </c>
      <c r="E61" s="37"/>
      <c r="F61" s="17">
        <v>4500</v>
      </c>
      <c r="G61" s="17"/>
      <c r="H61" s="17"/>
      <c r="I61" s="38">
        <f t="shared" si="15"/>
        <v>4500</v>
      </c>
      <c r="J61" s="17"/>
      <c r="K61" s="16">
        <v>1425</v>
      </c>
      <c r="L61" s="16">
        <f t="shared" si="16"/>
        <v>1425</v>
      </c>
      <c r="M61" s="17">
        <f t="shared" si="17"/>
        <v>3075</v>
      </c>
      <c r="N61" s="17">
        <f t="shared" si="18"/>
        <v>225</v>
      </c>
      <c r="O61" s="17">
        <f t="shared" si="19"/>
        <v>2850</v>
      </c>
      <c r="P61" s="36">
        <v>12</v>
      </c>
      <c r="Q61" s="17">
        <f t="shared" si="20"/>
        <v>237.5</v>
      </c>
      <c r="R61" s="17">
        <f t="shared" si="29"/>
        <v>1425</v>
      </c>
      <c r="S61" s="17">
        <f t="shared" si="22"/>
        <v>1662.5</v>
      </c>
      <c r="T61" s="17">
        <f t="shared" si="23"/>
        <v>2837.5</v>
      </c>
      <c r="U61" s="39"/>
      <c r="V61" s="1">
        <f t="shared" si="24"/>
        <v>178.125</v>
      </c>
      <c r="W61" s="17">
        <v>237.5</v>
      </c>
      <c r="X61" s="40">
        <f t="shared" si="25"/>
        <v>11</v>
      </c>
      <c r="Y61" s="40">
        <f t="shared" si="26"/>
        <v>2612.5</v>
      </c>
      <c r="Z61" s="40">
        <f t="shared" si="27"/>
        <v>225</v>
      </c>
      <c r="AA61" s="25">
        <f t="shared" si="28"/>
        <v>0</v>
      </c>
    </row>
    <row r="62" spans="2:27" x14ac:dyDescent="0.2">
      <c r="B62" s="35"/>
      <c r="C62" s="36" t="s">
        <v>69</v>
      </c>
      <c r="D62" s="37" t="s">
        <v>26</v>
      </c>
      <c r="E62" s="37"/>
      <c r="F62" s="17">
        <v>113462</v>
      </c>
      <c r="G62" s="17"/>
      <c r="H62" s="17"/>
      <c r="I62" s="38">
        <f t="shared" si="15"/>
        <v>113462</v>
      </c>
      <c r="J62" s="17"/>
      <c r="K62" s="16">
        <v>35929.633333333331</v>
      </c>
      <c r="L62" s="16">
        <f t="shared" si="16"/>
        <v>35929.633333333331</v>
      </c>
      <c r="M62" s="17">
        <f t="shared" si="17"/>
        <v>77532.366666666669</v>
      </c>
      <c r="N62" s="17">
        <f t="shared" si="18"/>
        <v>5673.1</v>
      </c>
      <c r="O62" s="17">
        <f t="shared" si="19"/>
        <v>71859.266666666663</v>
      </c>
      <c r="P62" s="36">
        <v>12</v>
      </c>
      <c r="Q62" s="17">
        <f t="shared" si="20"/>
        <v>5988.2722222222219</v>
      </c>
      <c r="R62" s="17">
        <f t="shared" si="29"/>
        <v>35929.633333333331</v>
      </c>
      <c r="S62" s="17">
        <f t="shared" si="22"/>
        <v>41917.905555555553</v>
      </c>
      <c r="T62" s="17">
        <f t="shared" si="23"/>
        <v>71544.094444444447</v>
      </c>
      <c r="U62" s="39"/>
      <c r="V62" s="1">
        <f t="shared" si="24"/>
        <v>4491.2041666666664</v>
      </c>
      <c r="W62" s="17">
        <v>5988.2722222222219</v>
      </c>
      <c r="X62" s="40">
        <f t="shared" si="25"/>
        <v>11</v>
      </c>
      <c r="Y62" s="40">
        <f t="shared" si="26"/>
        <v>65870.994444444441</v>
      </c>
      <c r="Z62" s="40">
        <f t="shared" si="27"/>
        <v>5673.1000000000058</v>
      </c>
      <c r="AA62" s="25">
        <f t="shared" si="28"/>
        <v>0</v>
      </c>
    </row>
    <row r="63" spans="2:27" x14ac:dyDescent="0.2">
      <c r="B63" s="35"/>
      <c r="C63" s="36" t="s">
        <v>64</v>
      </c>
      <c r="D63" s="37" t="s">
        <v>26</v>
      </c>
      <c r="E63" s="37"/>
      <c r="F63" s="17">
        <v>273616</v>
      </c>
      <c r="G63" s="17"/>
      <c r="H63" s="17"/>
      <c r="I63" s="38">
        <f t="shared" si="15"/>
        <v>273616</v>
      </c>
      <c r="J63" s="17"/>
      <c r="K63" s="16">
        <v>86645.06666666668</v>
      </c>
      <c r="L63" s="16">
        <f t="shared" si="16"/>
        <v>86645.06666666668</v>
      </c>
      <c r="M63" s="17">
        <f t="shared" si="17"/>
        <v>186970.93333333332</v>
      </c>
      <c r="N63" s="17">
        <f t="shared" si="18"/>
        <v>13680.800000000001</v>
      </c>
      <c r="O63" s="17">
        <f t="shared" si="19"/>
        <v>173290.13333333333</v>
      </c>
      <c r="P63" s="36">
        <v>12</v>
      </c>
      <c r="Q63" s="17">
        <f t="shared" si="20"/>
        <v>14440.844444444445</v>
      </c>
      <c r="R63" s="17">
        <f t="shared" si="29"/>
        <v>86645.06666666668</v>
      </c>
      <c r="S63" s="17">
        <f t="shared" si="22"/>
        <v>101085.91111111113</v>
      </c>
      <c r="T63" s="17">
        <f t="shared" si="23"/>
        <v>172530.08888888889</v>
      </c>
      <c r="U63" s="39"/>
      <c r="V63" s="1">
        <f t="shared" si="24"/>
        <v>10830.633333333333</v>
      </c>
      <c r="W63" s="17">
        <v>14440.844444444445</v>
      </c>
      <c r="X63" s="40">
        <f t="shared" si="25"/>
        <v>11</v>
      </c>
      <c r="Y63" s="40">
        <f t="shared" si="26"/>
        <v>158849.2888888889</v>
      </c>
      <c r="Z63" s="40">
        <f t="shared" si="27"/>
        <v>13680.799999999988</v>
      </c>
      <c r="AA63" s="25">
        <f t="shared" si="28"/>
        <v>0</v>
      </c>
    </row>
    <row r="64" spans="2:27" x14ac:dyDescent="0.2">
      <c r="B64" s="35"/>
      <c r="C64" s="36"/>
      <c r="D64" s="37"/>
      <c r="E64" s="37"/>
      <c r="F64" s="17">
        <v>0</v>
      </c>
      <c r="G64" s="17"/>
      <c r="H64" s="17"/>
      <c r="I64" s="38">
        <f t="shared" si="15"/>
        <v>0</v>
      </c>
      <c r="J64" s="86"/>
      <c r="K64" s="16"/>
      <c r="L64" s="16"/>
      <c r="M64" s="17"/>
      <c r="N64" s="17">
        <f t="shared" si="18"/>
        <v>0</v>
      </c>
      <c r="O64" s="17">
        <f>+F64-N64-L64</f>
        <v>0</v>
      </c>
      <c r="P64" s="36">
        <v>0</v>
      </c>
      <c r="Q64" s="17">
        <v>0</v>
      </c>
      <c r="R64" s="17">
        <f t="shared" si="29"/>
        <v>0</v>
      </c>
      <c r="S64" s="17"/>
      <c r="T64" s="17"/>
      <c r="U64" s="39"/>
      <c r="V64" s="1">
        <f>+F64*U64</f>
        <v>0</v>
      </c>
      <c r="W64" s="17"/>
    </row>
    <row r="65" spans="2:27" x14ac:dyDescent="0.2">
      <c r="B65" s="35"/>
      <c r="C65" s="36" t="s">
        <v>38</v>
      </c>
      <c r="D65" s="37" t="s">
        <v>21</v>
      </c>
      <c r="E65" s="37"/>
      <c r="F65" s="17">
        <v>2610810</v>
      </c>
      <c r="G65" s="17"/>
      <c r="H65" s="17"/>
      <c r="I65" s="38">
        <f t="shared" si="15"/>
        <v>2610810</v>
      </c>
      <c r="J65" s="17"/>
      <c r="K65" s="16">
        <v>1255548.1986666666</v>
      </c>
      <c r="L65" s="16">
        <f t="shared" ref="L65:L78" si="30">+J65+K65</f>
        <v>1255548.1986666666</v>
      </c>
      <c r="M65" s="17">
        <f t="shared" ref="M65:M79" si="31">+I65-L65</f>
        <v>1355261.8013333334</v>
      </c>
      <c r="N65" s="17">
        <f t="shared" si="18"/>
        <v>130540.5</v>
      </c>
      <c r="O65" s="17">
        <f t="shared" ref="O65:O88" si="32">+I65-L65-N65</f>
        <v>1224721.3013333334</v>
      </c>
      <c r="P65" s="36">
        <v>8</v>
      </c>
      <c r="Q65" s="17">
        <f t="shared" si="20"/>
        <v>153090.16266666667</v>
      </c>
      <c r="R65" s="17">
        <f t="shared" si="29"/>
        <v>1255548.1986666666</v>
      </c>
      <c r="S65" s="17">
        <f t="shared" ref="S65:S79" si="33">+Q65+R65</f>
        <v>1408638.3613333334</v>
      </c>
      <c r="T65" s="17">
        <f t="shared" ref="T65:T78" si="34">+F65-S65</f>
        <v>1202171.6386666666</v>
      </c>
      <c r="U65" s="25"/>
      <c r="V65" s="1">
        <f t="shared" ref="V65:V74" si="35">+Q65/4*3</f>
        <v>114817.622</v>
      </c>
      <c r="W65" s="17">
        <v>137781.1464</v>
      </c>
      <c r="X65" s="40">
        <f t="shared" ref="X65:X73" si="36">+P65-1</f>
        <v>7</v>
      </c>
      <c r="Y65" s="40">
        <f t="shared" ref="Y65:Y73" si="37">+Q65*X65</f>
        <v>1071631.1386666666</v>
      </c>
      <c r="Z65" s="40">
        <f t="shared" ref="Z65:Z73" si="38">+T65-Y65</f>
        <v>130540.5</v>
      </c>
      <c r="AA65" s="25">
        <f t="shared" ref="AA65:AA73" si="39">+N65-Z65</f>
        <v>0</v>
      </c>
    </row>
    <row r="66" spans="2:27" x14ac:dyDescent="0.2">
      <c r="B66" s="35"/>
      <c r="C66" s="36" t="s">
        <v>38</v>
      </c>
      <c r="D66" s="37" t="s">
        <v>22</v>
      </c>
      <c r="E66" s="37"/>
      <c r="F66" s="17">
        <v>2109433.9</v>
      </c>
      <c r="G66" s="17"/>
      <c r="H66" s="17"/>
      <c r="I66" s="38">
        <f t="shared" si="15"/>
        <v>2109433.9</v>
      </c>
      <c r="J66" s="17"/>
      <c r="K66" s="16">
        <v>953190.44543224992</v>
      </c>
      <c r="L66" s="16">
        <f t="shared" si="30"/>
        <v>953190.44543224992</v>
      </c>
      <c r="M66" s="17">
        <f t="shared" si="31"/>
        <v>1156243.45456775</v>
      </c>
      <c r="N66" s="17">
        <f t="shared" si="18"/>
        <v>105471.69500000001</v>
      </c>
      <c r="O66" s="17">
        <f t="shared" si="32"/>
        <v>1050771.7595677499</v>
      </c>
      <c r="P66" s="36">
        <v>9</v>
      </c>
      <c r="Q66" s="17">
        <f t="shared" si="20"/>
        <v>116752.41772974998</v>
      </c>
      <c r="R66" s="17">
        <f t="shared" si="29"/>
        <v>953190.44543224992</v>
      </c>
      <c r="S66" s="17">
        <f t="shared" si="33"/>
        <v>1069942.863162</v>
      </c>
      <c r="T66" s="17">
        <f t="shared" si="34"/>
        <v>1039491.0368379999</v>
      </c>
      <c r="U66" s="25"/>
      <c r="V66" s="1">
        <f t="shared" si="35"/>
        <v>87564.313297312488</v>
      </c>
      <c r="W66" s="17">
        <v>106138.5615725</v>
      </c>
      <c r="X66" s="40">
        <f t="shared" si="36"/>
        <v>8</v>
      </c>
      <c r="Y66" s="40">
        <f t="shared" si="37"/>
        <v>934019.34183799988</v>
      </c>
      <c r="Z66" s="40">
        <f t="shared" si="38"/>
        <v>105471.69500000007</v>
      </c>
      <c r="AA66" s="25">
        <f t="shared" si="39"/>
        <v>0</v>
      </c>
    </row>
    <row r="67" spans="2:27" x14ac:dyDescent="0.2">
      <c r="B67" s="35"/>
      <c r="C67" s="36" t="s">
        <v>70</v>
      </c>
      <c r="D67" s="37" t="s">
        <v>27</v>
      </c>
      <c r="E67" s="37"/>
      <c r="F67" s="17">
        <v>516375</v>
      </c>
      <c r="G67" s="17"/>
      <c r="H67" s="17"/>
      <c r="I67" s="38">
        <f t="shared" si="15"/>
        <v>516375</v>
      </c>
      <c r="J67" s="17"/>
      <c r="K67" s="16">
        <v>130937.94642857142</v>
      </c>
      <c r="L67" s="16">
        <f t="shared" si="30"/>
        <v>130937.94642857142</v>
      </c>
      <c r="M67" s="17">
        <f t="shared" si="31"/>
        <v>385437.05357142858</v>
      </c>
      <c r="N67" s="17">
        <f t="shared" si="18"/>
        <v>25818.75</v>
      </c>
      <c r="O67" s="17">
        <f t="shared" si="32"/>
        <v>359618.30357142858</v>
      </c>
      <c r="P67" s="36">
        <v>13</v>
      </c>
      <c r="Q67" s="17">
        <f t="shared" si="20"/>
        <v>27662.946428571428</v>
      </c>
      <c r="R67" s="17">
        <f t="shared" si="29"/>
        <v>130937.94642857142</v>
      </c>
      <c r="S67" s="17">
        <f t="shared" si="33"/>
        <v>158600.89285714284</v>
      </c>
      <c r="T67" s="17">
        <f t="shared" si="34"/>
        <v>357774.10714285716</v>
      </c>
      <c r="U67" s="39"/>
      <c r="V67" s="1">
        <f t="shared" si="35"/>
        <v>20747.209821428572</v>
      </c>
      <c r="W67" s="17">
        <v>-8663.9845000000005</v>
      </c>
      <c r="X67" s="40">
        <f t="shared" si="36"/>
        <v>12</v>
      </c>
      <c r="Y67" s="40">
        <f t="shared" si="37"/>
        <v>331955.35714285716</v>
      </c>
      <c r="Z67" s="40">
        <f t="shared" si="38"/>
        <v>25818.75</v>
      </c>
      <c r="AA67" s="25">
        <f t="shared" si="39"/>
        <v>0</v>
      </c>
    </row>
    <row r="68" spans="2:27" x14ac:dyDescent="0.2">
      <c r="B68" s="35"/>
      <c r="C68" s="36" t="s">
        <v>71</v>
      </c>
      <c r="D68" s="37" t="s">
        <v>27</v>
      </c>
      <c r="E68" s="37"/>
      <c r="F68" s="17">
        <v>252450</v>
      </c>
      <c r="G68" s="17"/>
      <c r="H68" s="17"/>
      <c r="I68" s="38">
        <f t="shared" si="15"/>
        <v>252450</v>
      </c>
      <c r="J68" s="17"/>
      <c r="K68" s="16">
        <v>172675.8</v>
      </c>
      <c r="L68" s="16">
        <f t="shared" si="30"/>
        <v>172675.8</v>
      </c>
      <c r="M68" s="17">
        <f t="shared" si="31"/>
        <v>79774.200000000012</v>
      </c>
      <c r="N68" s="17">
        <f t="shared" si="18"/>
        <v>12622.5</v>
      </c>
      <c r="O68" s="17">
        <f t="shared" si="32"/>
        <v>67151.700000000012</v>
      </c>
      <c r="P68" s="36">
        <v>1.5</v>
      </c>
      <c r="Q68" s="17">
        <f t="shared" si="20"/>
        <v>44767.80000000001</v>
      </c>
      <c r="R68" s="17">
        <f t="shared" si="29"/>
        <v>172675.8</v>
      </c>
      <c r="S68" s="17">
        <f t="shared" si="33"/>
        <v>217443.6</v>
      </c>
      <c r="T68" s="17">
        <f t="shared" si="34"/>
        <v>35006.399999999994</v>
      </c>
      <c r="U68" s="39"/>
      <c r="V68" s="1">
        <f t="shared" si="35"/>
        <v>33575.850000000006</v>
      </c>
      <c r="W68" s="17"/>
      <c r="X68" s="40">
        <f t="shared" si="36"/>
        <v>0.5</v>
      </c>
      <c r="Y68" s="40">
        <f t="shared" si="37"/>
        <v>22383.900000000005</v>
      </c>
      <c r="Z68" s="40">
        <f t="shared" si="38"/>
        <v>12622.499999999989</v>
      </c>
      <c r="AA68" s="25">
        <f t="shared" si="39"/>
        <v>0</v>
      </c>
    </row>
    <row r="69" spans="2:27" x14ac:dyDescent="0.2">
      <c r="B69" s="35"/>
      <c r="C69" s="36" t="s">
        <v>72</v>
      </c>
      <c r="D69" s="37" t="s">
        <v>27</v>
      </c>
      <c r="E69" s="37"/>
      <c r="F69" s="17">
        <v>970031</v>
      </c>
      <c r="G69" s="17"/>
      <c r="H69" s="17"/>
      <c r="I69" s="38">
        <f t="shared" si="15"/>
        <v>970031</v>
      </c>
      <c r="J69" s="17"/>
      <c r="K69" s="16">
        <v>664714.36861538468</v>
      </c>
      <c r="L69" s="16">
        <f t="shared" si="30"/>
        <v>664714.36861538468</v>
      </c>
      <c r="M69" s="17">
        <f t="shared" si="31"/>
        <v>305316.63138461532</v>
      </c>
      <c r="N69" s="17">
        <f t="shared" si="18"/>
        <v>48501.55</v>
      </c>
      <c r="O69" s="17">
        <f t="shared" si="32"/>
        <v>256815.08138461533</v>
      </c>
      <c r="P69" s="36">
        <v>1.5</v>
      </c>
      <c r="Q69" s="17">
        <f t="shared" si="20"/>
        <v>171210.05425641022</v>
      </c>
      <c r="R69" s="17">
        <f t="shared" si="29"/>
        <v>664714.36861538468</v>
      </c>
      <c r="S69" s="17">
        <f t="shared" si="33"/>
        <v>835924.4228717949</v>
      </c>
      <c r="T69" s="17">
        <f t="shared" si="34"/>
        <v>134106.5771282051</v>
      </c>
      <c r="U69" s="39"/>
      <c r="V69" s="1">
        <f t="shared" si="35"/>
        <v>128407.54069230767</v>
      </c>
      <c r="W69" s="17"/>
      <c r="X69" s="40">
        <f t="shared" si="36"/>
        <v>0.5</v>
      </c>
      <c r="Y69" s="40">
        <f t="shared" si="37"/>
        <v>85605.027128205111</v>
      </c>
      <c r="Z69" s="40">
        <f t="shared" si="38"/>
        <v>48501.549999999988</v>
      </c>
      <c r="AA69" s="25">
        <f t="shared" si="39"/>
        <v>0</v>
      </c>
    </row>
    <row r="70" spans="2:27" x14ac:dyDescent="0.2">
      <c r="B70" s="35"/>
      <c r="C70" s="36" t="s">
        <v>73</v>
      </c>
      <c r="D70" s="37" t="s">
        <v>27</v>
      </c>
      <c r="E70" s="37"/>
      <c r="F70" s="17">
        <v>60000</v>
      </c>
      <c r="G70" s="17"/>
      <c r="H70" s="17"/>
      <c r="I70" s="38">
        <f t="shared" si="15"/>
        <v>60000</v>
      </c>
      <c r="J70" s="17"/>
      <c r="K70" s="16">
        <v>41040</v>
      </c>
      <c r="L70" s="16">
        <f t="shared" si="30"/>
        <v>41040</v>
      </c>
      <c r="M70" s="17">
        <f t="shared" si="31"/>
        <v>18960</v>
      </c>
      <c r="N70" s="17">
        <f t="shared" si="18"/>
        <v>3000</v>
      </c>
      <c r="O70" s="17">
        <f t="shared" si="32"/>
        <v>15960</v>
      </c>
      <c r="P70" s="36">
        <v>1.5</v>
      </c>
      <c r="Q70" s="17">
        <f t="shared" si="20"/>
        <v>10640</v>
      </c>
      <c r="R70" s="17">
        <f t="shared" si="29"/>
        <v>41040</v>
      </c>
      <c r="S70" s="17">
        <f t="shared" si="33"/>
        <v>51680</v>
      </c>
      <c r="T70" s="17">
        <f t="shared" si="34"/>
        <v>8320</v>
      </c>
      <c r="U70" s="39"/>
      <c r="V70" s="1">
        <f t="shared" si="35"/>
        <v>7980</v>
      </c>
      <c r="W70" s="17"/>
      <c r="X70" s="40">
        <f t="shared" si="36"/>
        <v>0.5</v>
      </c>
      <c r="Y70" s="40">
        <f t="shared" si="37"/>
        <v>5320</v>
      </c>
      <c r="Z70" s="40">
        <f t="shared" si="38"/>
        <v>3000</v>
      </c>
      <c r="AA70" s="25">
        <f t="shared" si="39"/>
        <v>0</v>
      </c>
    </row>
    <row r="71" spans="2:27" x14ac:dyDescent="0.2">
      <c r="B71" s="35"/>
      <c r="C71" s="36" t="s">
        <v>74</v>
      </c>
      <c r="D71" s="37" t="s">
        <v>28</v>
      </c>
      <c r="E71" s="37"/>
      <c r="F71" s="17">
        <v>155346</v>
      </c>
      <c r="G71" s="17"/>
      <c r="H71" s="17"/>
      <c r="I71" s="38">
        <f t="shared" si="15"/>
        <v>155346</v>
      </c>
      <c r="J71" s="17"/>
      <c r="K71" s="16">
        <v>84330.685714285704</v>
      </c>
      <c r="L71" s="16">
        <f t="shared" si="30"/>
        <v>84330.685714285704</v>
      </c>
      <c r="M71" s="17">
        <f t="shared" si="31"/>
        <v>71015.314285714296</v>
      </c>
      <c r="N71" s="17">
        <f t="shared" si="18"/>
        <v>7767.3</v>
      </c>
      <c r="O71" s="17">
        <f t="shared" si="32"/>
        <v>63248.014285714293</v>
      </c>
      <c r="P71" s="36">
        <v>2.5</v>
      </c>
      <c r="Q71" s="17">
        <f t="shared" si="20"/>
        <v>25299.205714285716</v>
      </c>
      <c r="R71" s="17">
        <f t="shared" si="29"/>
        <v>84330.685714285704</v>
      </c>
      <c r="S71" s="17">
        <f t="shared" si="33"/>
        <v>109629.89142857143</v>
      </c>
      <c r="T71" s="17">
        <f t="shared" si="34"/>
        <v>45716.108571428573</v>
      </c>
      <c r="U71" s="39"/>
      <c r="V71" s="1">
        <f t="shared" si="35"/>
        <v>18974.404285714285</v>
      </c>
      <c r="W71" s="17"/>
      <c r="X71" s="40">
        <f t="shared" si="36"/>
        <v>1.5</v>
      </c>
      <c r="Y71" s="40">
        <f t="shared" si="37"/>
        <v>37948.80857142857</v>
      </c>
      <c r="Z71" s="40">
        <f t="shared" si="38"/>
        <v>7767.3000000000029</v>
      </c>
      <c r="AA71" s="25">
        <f t="shared" si="39"/>
        <v>0</v>
      </c>
    </row>
    <row r="72" spans="2:27" x14ac:dyDescent="0.2">
      <c r="B72" s="35"/>
      <c r="C72" s="36" t="s">
        <v>75</v>
      </c>
      <c r="D72" s="37" t="s">
        <v>28</v>
      </c>
      <c r="E72" s="37"/>
      <c r="F72" s="17">
        <v>90520.43</v>
      </c>
      <c r="G72" s="17"/>
      <c r="H72" s="17"/>
      <c r="I72" s="38">
        <f t="shared" si="15"/>
        <v>90520.43</v>
      </c>
      <c r="J72" s="17"/>
      <c r="K72" s="16">
        <v>49139.661999999997</v>
      </c>
      <c r="L72" s="16">
        <f t="shared" si="30"/>
        <v>49139.661999999997</v>
      </c>
      <c r="M72" s="17">
        <f t="shared" si="31"/>
        <v>41380.767999999996</v>
      </c>
      <c r="N72" s="17">
        <f t="shared" si="18"/>
        <v>4526.0214999999998</v>
      </c>
      <c r="O72" s="17">
        <f t="shared" si="32"/>
        <v>36854.746499999994</v>
      </c>
      <c r="P72" s="36">
        <v>2.5</v>
      </c>
      <c r="Q72" s="17">
        <f t="shared" si="20"/>
        <v>14741.898599999997</v>
      </c>
      <c r="R72" s="17">
        <f t="shared" si="29"/>
        <v>49139.661999999997</v>
      </c>
      <c r="S72" s="17">
        <f t="shared" si="33"/>
        <v>63881.560599999997</v>
      </c>
      <c r="T72" s="17">
        <f t="shared" si="34"/>
        <v>26638.869399999996</v>
      </c>
      <c r="U72" s="39"/>
      <c r="V72" s="1">
        <f t="shared" si="35"/>
        <v>11056.423949999997</v>
      </c>
      <c r="W72" s="17"/>
      <c r="X72" s="40">
        <f t="shared" si="36"/>
        <v>1.5</v>
      </c>
      <c r="Y72" s="40">
        <f t="shared" si="37"/>
        <v>22112.847899999993</v>
      </c>
      <c r="Z72" s="40">
        <f t="shared" si="38"/>
        <v>4526.0215000000026</v>
      </c>
      <c r="AA72" s="25">
        <f t="shared" si="39"/>
        <v>0</v>
      </c>
    </row>
    <row r="73" spans="2:27" x14ac:dyDescent="0.2">
      <c r="B73" s="35"/>
      <c r="C73" s="36" t="s">
        <v>76</v>
      </c>
      <c r="D73" s="37" t="s">
        <v>28</v>
      </c>
      <c r="E73" s="37"/>
      <c r="F73" s="17">
        <v>826.5</v>
      </c>
      <c r="G73" s="17"/>
      <c r="H73" s="17"/>
      <c r="I73" s="38">
        <f t="shared" si="15"/>
        <v>826.5</v>
      </c>
      <c r="J73" s="17"/>
      <c r="K73" s="16">
        <v>448.67142857142858</v>
      </c>
      <c r="L73" s="16">
        <f t="shared" si="30"/>
        <v>448.67142857142858</v>
      </c>
      <c r="M73" s="17">
        <f t="shared" si="31"/>
        <v>377.82857142857142</v>
      </c>
      <c r="N73" s="17">
        <f t="shared" si="18"/>
        <v>41.325000000000003</v>
      </c>
      <c r="O73" s="17">
        <f t="shared" si="32"/>
        <v>336.50357142857143</v>
      </c>
      <c r="P73" s="36">
        <v>2.5</v>
      </c>
      <c r="Q73" s="17">
        <f t="shared" si="20"/>
        <v>134.60142857142858</v>
      </c>
      <c r="R73" s="17">
        <f t="shared" si="29"/>
        <v>448.67142857142858</v>
      </c>
      <c r="S73" s="17">
        <f t="shared" si="33"/>
        <v>583.27285714285722</v>
      </c>
      <c r="T73" s="17">
        <f t="shared" si="34"/>
        <v>243.22714285714278</v>
      </c>
      <c r="U73" s="39"/>
      <c r="V73" s="1">
        <f t="shared" si="35"/>
        <v>100.95107142857144</v>
      </c>
      <c r="W73" s="17"/>
      <c r="X73" s="40">
        <f t="shared" si="36"/>
        <v>1.5</v>
      </c>
      <c r="Y73" s="40">
        <f t="shared" si="37"/>
        <v>201.90214285714288</v>
      </c>
      <c r="Z73" s="40">
        <f t="shared" si="38"/>
        <v>41.324999999999903</v>
      </c>
      <c r="AA73" s="25">
        <f t="shared" si="39"/>
        <v>9.9475983006414026E-14</v>
      </c>
    </row>
    <row r="74" spans="2:27" x14ac:dyDescent="0.2">
      <c r="B74" s="35"/>
      <c r="C74" s="36" t="s">
        <v>38</v>
      </c>
      <c r="D74" s="37" t="s">
        <v>77</v>
      </c>
      <c r="E74" s="37"/>
      <c r="F74" s="16">
        <v>2119080</v>
      </c>
      <c r="G74" s="17">
        <v>0</v>
      </c>
      <c r="H74" s="17"/>
      <c r="I74" s="38">
        <f t="shared" si="15"/>
        <v>2119080</v>
      </c>
      <c r="J74" s="17"/>
      <c r="K74" s="16">
        <v>1649067.75</v>
      </c>
      <c r="L74" s="16">
        <f t="shared" si="30"/>
        <v>1649067.75</v>
      </c>
      <c r="M74" s="17">
        <f t="shared" si="31"/>
        <v>470012.25</v>
      </c>
      <c r="N74" s="17">
        <f>+F74*0.05</f>
        <v>105954</v>
      </c>
      <c r="O74" s="17">
        <f t="shared" si="32"/>
        <v>364058.25</v>
      </c>
      <c r="P74" s="36">
        <v>3</v>
      </c>
      <c r="Q74" s="17">
        <f t="shared" si="20"/>
        <v>121352.75</v>
      </c>
      <c r="R74" s="17">
        <f t="shared" si="29"/>
        <v>1649067.75</v>
      </c>
      <c r="S74" s="17">
        <f t="shared" si="33"/>
        <v>1770420.5</v>
      </c>
      <c r="T74" s="17">
        <f t="shared" si="34"/>
        <v>348659.5</v>
      </c>
      <c r="U74" s="39"/>
      <c r="V74" s="1">
        <f t="shared" si="35"/>
        <v>91014.5625</v>
      </c>
      <c r="W74" s="17"/>
      <c r="X74" s="40"/>
      <c r="Y74" s="40"/>
      <c r="Z74" s="40"/>
    </row>
    <row r="75" spans="2:27" x14ac:dyDescent="0.2">
      <c r="B75" s="35"/>
      <c r="C75" s="36" t="s">
        <v>78</v>
      </c>
      <c r="D75" s="37" t="s">
        <v>77</v>
      </c>
      <c r="E75" s="37"/>
      <c r="F75" s="16">
        <v>5851723</v>
      </c>
      <c r="G75" s="17"/>
      <c r="H75" s="17"/>
      <c r="I75" s="38">
        <f t="shared" si="15"/>
        <v>5851723</v>
      </c>
      <c r="J75" s="17"/>
      <c r="K75" s="16">
        <v>5851723</v>
      </c>
      <c r="L75" s="16">
        <f t="shared" si="30"/>
        <v>5851723</v>
      </c>
      <c r="M75" s="17">
        <f t="shared" si="31"/>
        <v>0</v>
      </c>
      <c r="N75" s="17">
        <f t="shared" ref="N75:N78" si="40">+F75*0.05</f>
        <v>292586.15000000002</v>
      </c>
      <c r="O75" s="17">
        <f t="shared" si="32"/>
        <v>-292586.15000000002</v>
      </c>
      <c r="P75" s="36">
        <v>0</v>
      </c>
      <c r="Q75" s="17">
        <v>0</v>
      </c>
      <c r="R75" s="17">
        <f t="shared" si="29"/>
        <v>5851723</v>
      </c>
      <c r="S75" s="17">
        <f t="shared" si="33"/>
        <v>5851723</v>
      </c>
      <c r="T75" s="17">
        <f t="shared" si="34"/>
        <v>0</v>
      </c>
      <c r="U75" s="39"/>
      <c r="V75" s="1"/>
      <c r="W75" s="17"/>
      <c r="X75" s="40"/>
      <c r="Y75" s="40"/>
      <c r="Z75" s="40"/>
    </row>
    <row r="76" spans="2:27" x14ac:dyDescent="0.2">
      <c r="B76" s="35"/>
      <c r="C76" s="36" t="s">
        <v>79</v>
      </c>
      <c r="D76" s="37" t="s">
        <v>80</v>
      </c>
      <c r="E76" s="37"/>
      <c r="F76" s="16">
        <v>882500</v>
      </c>
      <c r="G76" s="17"/>
      <c r="H76" s="17"/>
      <c r="I76" s="38">
        <f t="shared" si="15"/>
        <v>882500</v>
      </c>
      <c r="J76" s="17"/>
      <c r="K76" s="16">
        <v>188694.0883190883</v>
      </c>
      <c r="L76" s="16">
        <f t="shared" si="30"/>
        <v>188694.0883190883</v>
      </c>
      <c r="M76" s="17">
        <f t="shared" si="31"/>
        <v>693805.91168091167</v>
      </c>
      <c r="N76" s="17">
        <f t="shared" si="40"/>
        <v>44125</v>
      </c>
      <c r="O76" s="17">
        <f t="shared" si="32"/>
        <v>649680.91168091167</v>
      </c>
      <c r="P76" s="36">
        <v>5.5</v>
      </c>
      <c r="Q76" s="17">
        <f t="shared" si="20"/>
        <v>118123.80212380212</v>
      </c>
      <c r="R76" s="17">
        <f t="shared" si="29"/>
        <v>188694.0883190883</v>
      </c>
      <c r="S76" s="17">
        <f t="shared" si="33"/>
        <v>306817.89044289041</v>
      </c>
      <c r="T76" s="17">
        <f t="shared" si="34"/>
        <v>575682.10955710965</v>
      </c>
      <c r="U76" s="39"/>
      <c r="V76" s="1"/>
      <c r="W76" s="17"/>
      <c r="X76" s="40"/>
      <c r="Y76" s="40"/>
      <c r="Z76" s="40"/>
    </row>
    <row r="77" spans="2:27" x14ac:dyDescent="0.2">
      <c r="B77" s="35"/>
      <c r="C77" s="36" t="s">
        <v>73</v>
      </c>
      <c r="D77" s="37" t="s">
        <v>80</v>
      </c>
      <c r="E77" s="37"/>
      <c r="F77" s="16">
        <v>118458</v>
      </c>
      <c r="G77" s="17"/>
      <c r="H77" s="17"/>
      <c r="I77" s="38">
        <f t="shared" si="15"/>
        <v>118458</v>
      </c>
      <c r="J77" s="17"/>
      <c r="K77" s="16">
        <v>30009.360000000001</v>
      </c>
      <c r="L77" s="16">
        <f t="shared" si="30"/>
        <v>30009.360000000001</v>
      </c>
      <c r="M77" s="17">
        <f t="shared" si="31"/>
        <v>88448.639999999999</v>
      </c>
      <c r="N77" s="17">
        <f t="shared" si="40"/>
        <v>5922.9000000000005</v>
      </c>
      <c r="O77" s="17">
        <f t="shared" si="32"/>
        <v>82525.740000000005</v>
      </c>
      <c r="P77" s="36">
        <v>5.5</v>
      </c>
      <c r="Q77" s="17">
        <f t="shared" si="20"/>
        <v>15004.68</v>
      </c>
      <c r="R77" s="17">
        <f t="shared" si="29"/>
        <v>30009.360000000001</v>
      </c>
      <c r="S77" s="17">
        <f t="shared" si="33"/>
        <v>45014.04</v>
      </c>
      <c r="T77" s="17">
        <f t="shared" si="34"/>
        <v>73443.959999999992</v>
      </c>
      <c r="U77" s="39"/>
      <c r="V77" s="1"/>
      <c r="W77" s="17"/>
      <c r="X77" s="40"/>
      <c r="Y77" s="40"/>
      <c r="Z77" s="40"/>
    </row>
    <row r="78" spans="2:27" x14ac:dyDescent="0.2">
      <c r="B78" s="35"/>
      <c r="C78" s="36" t="s">
        <v>73</v>
      </c>
      <c r="D78" s="37" t="s">
        <v>80</v>
      </c>
      <c r="E78" s="37"/>
      <c r="F78" s="16">
        <v>250273</v>
      </c>
      <c r="G78" s="17"/>
      <c r="H78" s="17"/>
      <c r="I78" s="38">
        <f t="shared" si="15"/>
        <v>250273</v>
      </c>
      <c r="J78" s="17"/>
      <c r="K78" s="16">
        <v>192602.53999999998</v>
      </c>
      <c r="L78" s="16">
        <f t="shared" si="30"/>
        <v>192602.53999999998</v>
      </c>
      <c r="M78" s="17">
        <f t="shared" si="31"/>
        <v>57670.460000000021</v>
      </c>
      <c r="N78" s="17">
        <f t="shared" si="40"/>
        <v>12513.650000000001</v>
      </c>
      <c r="O78" s="17">
        <f t="shared" si="32"/>
        <v>45156.810000000019</v>
      </c>
      <c r="P78" s="36">
        <v>3</v>
      </c>
      <c r="Q78" s="17">
        <f t="shared" si="20"/>
        <v>15052.270000000006</v>
      </c>
      <c r="R78" s="17">
        <f t="shared" si="29"/>
        <v>192602.53999999998</v>
      </c>
      <c r="S78" s="17">
        <f t="shared" si="33"/>
        <v>207654.81</v>
      </c>
      <c r="T78" s="17">
        <f t="shared" si="34"/>
        <v>42618.19</v>
      </c>
      <c r="U78" s="39"/>
      <c r="V78" s="1"/>
      <c r="W78" s="17"/>
      <c r="X78" s="40"/>
      <c r="Y78" s="40"/>
      <c r="Z78" s="40"/>
    </row>
    <row r="79" spans="2:27" x14ac:dyDescent="0.2">
      <c r="B79" s="35"/>
      <c r="C79" s="36" t="s">
        <v>81</v>
      </c>
      <c r="D79" s="37" t="s">
        <v>82</v>
      </c>
      <c r="E79" s="37"/>
      <c r="F79" s="16">
        <v>6903550</v>
      </c>
      <c r="G79" s="16"/>
      <c r="H79" s="17"/>
      <c r="I79" s="38">
        <f t="shared" si="15"/>
        <v>6903550</v>
      </c>
      <c r="J79" s="17"/>
      <c r="K79" s="16">
        <v>2162153.5636363635</v>
      </c>
      <c r="L79" s="16">
        <v>1722531.67</v>
      </c>
      <c r="M79" s="17">
        <f t="shared" si="31"/>
        <v>5181018.33</v>
      </c>
      <c r="N79" s="17">
        <f>+I79*0.05</f>
        <v>345177.5</v>
      </c>
      <c r="O79" s="17">
        <f t="shared" si="32"/>
        <v>4835840.83</v>
      </c>
      <c r="P79" s="36">
        <v>10</v>
      </c>
      <c r="Q79" s="17">
        <f t="shared" si="20"/>
        <v>483584.08299999998</v>
      </c>
      <c r="R79" s="17">
        <f t="shared" si="29"/>
        <v>2162153.5636363635</v>
      </c>
      <c r="S79" s="17">
        <f t="shared" si="33"/>
        <v>2645737.6466363636</v>
      </c>
      <c r="T79" s="17">
        <f t="shared" ref="T79:T88" si="41">+I79-S79</f>
        <v>4257812.3533636369</v>
      </c>
      <c r="U79" s="39"/>
      <c r="V79" s="1"/>
      <c r="W79" s="17"/>
      <c r="X79" s="40"/>
      <c r="Y79" s="40"/>
      <c r="Z79" s="40"/>
    </row>
    <row r="80" spans="2:27" x14ac:dyDescent="0.2">
      <c r="B80" s="35"/>
      <c r="C80" s="36" t="s">
        <v>83</v>
      </c>
      <c r="D80" s="37" t="s">
        <v>82</v>
      </c>
      <c r="E80" s="37"/>
      <c r="F80" s="17">
        <v>7654762.4199999999</v>
      </c>
      <c r="G80" s="17"/>
      <c r="H80" s="17"/>
      <c r="I80" s="38">
        <f t="shared" si="15"/>
        <v>7654762.4199999999</v>
      </c>
      <c r="J80" s="17"/>
      <c r="K80" s="16">
        <v>2974959.280730769</v>
      </c>
      <c r="L80" s="16">
        <f>2795536.42+7428+112.26</f>
        <v>2803076.6799999997</v>
      </c>
      <c r="M80" s="17">
        <f>+I80-L80</f>
        <v>4851685.74</v>
      </c>
      <c r="N80" s="17">
        <f>+I80*0.05</f>
        <v>382738.12100000004</v>
      </c>
      <c r="O80" s="17">
        <f t="shared" si="32"/>
        <v>4468947.6189999999</v>
      </c>
      <c r="P80" s="36">
        <v>5.5</v>
      </c>
      <c r="Q80" s="17">
        <f t="shared" si="20"/>
        <v>812535.93072727276</v>
      </c>
      <c r="R80" s="17">
        <f t="shared" si="29"/>
        <v>2974959.280730769</v>
      </c>
      <c r="S80" s="17">
        <f>+Q80+R80</f>
        <v>3787495.2114580418</v>
      </c>
      <c r="T80" s="17">
        <f t="shared" si="41"/>
        <v>3867267.2085419581</v>
      </c>
      <c r="U80" s="25"/>
      <c r="V80" s="1">
        <f>+Q80/4*3</f>
        <v>609401.94804545457</v>
      </c>
      <c r="W80" s="17">
        <v>413897.48817647056</v>
      </c>
      <c r="X80" s="40">
        <f>+P80-1</f>
        <v>4.5</v>
      </c>
      <c r="Y80" s="40">
        <f>+Q80*X80</f>
        <v>3656411.6882727277</v>
      </c>
      <c r="Z80" s="40">
        <f>+T80-Y80</f>
        <v>210855.52026923047</v>
      </c>
      <c r="AA80" s="25">
        <f>+N80-Z80</f>
        <v>171882.60073076957</v>
      </c>
    </row>
    <row r="81" spans="2:27" x14ac:dyDescent="0.2">
      <c r="B81" s="35"/>
      <c r="C81" s="84" t="s">
        <v>38</v>
      </c>
      <c r="D81" s="87" t="s">
        <v>82</v>
      </c>
      <c r="E81" s="87"/>
      <c r="F81" s="42">
        <v>60000</v>
      </c>
      <c r="G81" s="13"/>
      <c r="H81" s="13"/>
      <c r="I81" s="88">
        <f t="shared" si="15"/>
        <v>60000</v>
      </c>
      <c r="J81" s="13"/>
      <c r="K81" s="42">
        <v>1900</v>
      </c>
      <c r="L81" s="42">
        <f>+J81+K81</f>
        <v>1900</v>
      </c>
      <c r="M81" s="13">
        <f>+I81-L81</f>
        <v>58100</v>
      </c>
      <c r="N81" s="13">
        <f>+I81*0.05</f>
        <v>3000</v>
      </c>
      <c r="O81" s="13">
        <f t="shared" si="32"/>
        <v>55100</v>
      </c>
      <c r="P81" s="84">
        <v>4</v>
      </c>
      <c r="Q81" s="13">
        <f t="shared" si="20"/>
        <v>13775</v>
      </c>
      <c r="R81" s="13">
        <f t="shared" si="29"/>
        <v>1900</v>
      </c>
      <c r="S81" s="13">
        <f>+Q81+R81</f>
        <v>15675</v>
      </c>
      <c r="T81" s="13">
        <f t="shared" si="41"/>
        <v>44325</v>
      </c>
      <c r="U81" s="39"/>
      <c r="V81" s="1"/>
      <c r="W81" s="13"/>
      <c r="X81" s="40"/>
      <c r="Y81" s="40"/>
      <c r="Z81" s="40"/>
    </row>
    <row r="82" spans="2:27" s="36" customFormat="1" x14ac:dyDescent="0.2">
      <c r="C82" s="36" t="s">
        <v>84</v>
      </c>
      <c r="D82" s="37" t="s">
        <v>82</v>
      </c>
      <c r="E82" s="37"/>
      <c r="F82" s="16">
        <v>1602975</v>
      </c>
      <c r="G82" s="17"/>
      <c r="H82" s="17"/>
      <c r="I82" s="89">
        <f t="shared" si="15"/>
        <v>1602975</v>
      </c>
      <c r="J82" s="17"/>
      <c r="K82" s="16">
        <v>295756.37847222219</v>
      </c>
      <c r="L82" s="16">
        <v>204184</v>
      </c>
      <c r="M82" s="17">
        <f>+I82-L82</f>
        <v>1398791</v>
      </c>
      <c r="N82" s="17">
        <f>+I82*0.05</f>
        <v>80148.75</v>
      </c>
      <c r="O82" s="17">
        <f t="shared" si="32"/>
        <v>1318642.25</v>
      </c>
      <c r="P82" s="36">
        <v>6.2</v>
      </c>
      <c r="Q82" s="17">
        <f t="shared" si="20"/>
        <v>212684.23387096773</v>
      </c>
      <c r="R82" s="17">
        <f t="shared" si="29"/>
        <v>295756.37847222219</v>
      </c>
      <c r="S82" s="17">
        <f>+Q82+R82</f>
        <v>508440.61234318989</v>
      </c>
      <c r="T82" s="17">
        <f t="shared" si="41"/>
        <v>1094534.3876568102</v>
      </c>
      <c r="U82" s="90"/>
      <c r="V82" s="17"/>
      <c r="W82" s="17"/>
      <c r="X82" s="65"/>
      <c r="Y82" s="65"/>
      <c r="Z82" s="65"/>
      <c r="AA82" s="16"/>
    </row>
    <row r="83" spans="2:27" s="36" customFormat="1" x14ac:dyDescent="0.2">
      <c r="C83" s="91" t="s">
        <v>168</v>
      </c>
      <c r="D83" s="37" t="s">
        <v>162</v>
      </c>
      <c r="E83" s="37"/>
      <c r="F83" s="16">
        <v>44240963</v>
      </c>
      <c r="G83" s="44">
        <v>0</v>
      </c>
      <c r="H83" s="17"/>
      <c r="I83" s="89">
        <f t="shared" si="15"/>
        <v>44240963</v>
      </c>
      <c r="J83" s="17"/>
      <c r="K83" s="44">
        <f>43172832-1182360</f>
        <v>41990472</v>
      </c>
      <c r="L83" s="16"/>
      <c r="M83" s="17"/>
      <c r="N83" s="17">
        <f>+I83-K83</f>
        <v>2250491</v>
      </c>
      <c r="O83" s="17">
        <f t="shared" si="32"/>
        <v>41990472</v>
      </c>
      <c r="P83" s="36">
        <v>0</v>
      </c>
      <c r="Q83" s="17">
        <v>0</v>
      </c>
      <c r="R83" s="17">
        <f t="shared" si="29"/>
        <v>41990472</v>
      </c>
      <c r="S83" s="17">
        <f t="shared" ref="S83" si="42">+Q83+R83</f>
        <v>41990472</v>
      </c>
      <c r="T83" s="45">
        <f t="shared" si="41"/>
        <v>2250491</v>
      </c>
      <c r="U83" s="90"/>
      <c r="V83" s="17"/>
      <c r="W83" s="17"/>
      <c r="X83" s="65"/>
      <c r="Y83" s="65"/>
      <c r="Z83" s="65"/>
      <c r="AA83" s="16"/>
    </row>
    <row r="84" spans="2:27" s="36" customFormat="1" x14ac:dyDescent="0.2">
      <c r="C84" s="91" t="s">
        <v>163</v>
      </c>
      <c r="D84" s="37" t="s">
        <v>162</v>
      </c>
      <c r="E84" s="37"/>
      <c r="F84" s="16">
        <v>5843045</v>
      </c>
      <c r="G84" s="45">
        <v>0</v>
      </c>
      <c r="H84" s="17"/>
      <c r="I84" s="89">
        <f t="shared" si="15"/>
        <v>5843045</v>
      </c>
      <c r="J84" s="17"/>
      <c r="K84" s="44">
        <v>5550892</v>
      </c>
      <c r="L84" s="16"/>
      <c r="M84" s="17"/>
      <c r="N84" s="17">
        <f t="shared" ref="N84:N88" si="43">+I84*0.05</f>
        <v>292152.25</v>
      </c>
      <c r="O84" s="17">
        <f t="shared" si="32"/>
        <v>5550892.75</v>
      </c>
      <c r="P84" s="36">
        <v>0</v>
      </c>
      <c r="Q84" s="17">
        <v>0</v>
      </c>
      <c r="R84" s="17"/>
      <c r="S84" s="17">
        <f>+K84+Q84</f>
        <v>5550892</v>
      </c>
      <c r="T84" s="45">
        <f t="shared" si="41"/>
        <v>292153</v>
      </c>
      <c r="U84" s="90"/>
      <c r="V84" s="17"/>
      <c r="W84" s="17"/>
      <c r="X84" s="65"/>
      <c r="Y84" s="65"/>
      <c r="Z84" s="65"/>
      <c r="AA84" s="16"/>
    </row>
    <row r="85" spans="2:27" s="36" customFormat="1" x14ac:dyDescent="0.2">
      <c r="C85" s="91" t="s">
        <v>164</v>
      </c>
      <c r="D85" s="37" t="s">
        <v>162</v>
      </c>
      <c r="E85" s="37"/>
      <c r="F85" s="16">
        <v>454136</v>
      </c>
      <c r="G85" s="45">
        <v>0</v>
      </c>
      <c r="H85" s="17"/>
      <c r="I85" s="89">
        <f t="shared" si="15"/>
        <v>454136</v>
      </c>
      <c r="J85" s="17"/>
      <c r="K85" s="44">
        <v>300226</v>
      </c>
      <c r="L85" s="16"/>
      <c r="M85" s="17"/>
      <c r="N85" s="17">
        <f t="shared" si="43"/>
        <v>22706.800000000003</v>
      </c>
      <c r="O85" s="17">
        <f t="shared" si="32"/>
        <v>431429.2</v>
      </c>
      <c r="P85" s="91">
        <v>6</v>
      </c>
      <c r="Q85" s="17">
        <v>0</v>
      </c>
      <c r="R85" s="17"/>
      <c r="S85" s="17">
        <f>+K85+Q85</f>
        <v>300226</v>
      </c>
      <c r="T85" s="45">
        <f t="shared" si="41"/>
        <v>153910</v>
      </c>
      <c r="U85" s="90"/>
      <c r="V85" s="17"/>
      <c r="W85" s="17"/>
      <c r="X85" s="65"/>
      <c r="Y85" s="65"/>
      <c r="Z85" s="65"/>
      <c r="AA85" s="16"/>
    </row>
    <row r="86" spans="2:27" s="36" customFormat="1" x14ac:dyDescent="0.2">
      <c r="C86" s="91" t="s">
        <v>165</v>
      </c>
      <c r="D86" s="37" t="s">
        <v>162</v>
      </c>
      <c r="E86" s="37"/>
      <c r="F86" s="16">
        <v>5609209</v>
      </c>
      <c r="G86" s="45">
        <v>0</v>
      </c>
      <c r="H86" s="17"/>
      <c r="I86" s="89">
        <f t="shared" si="15"/>
        <v>5609209</v>
      </c>
      <c r="J86" s="17"/>
      <c r="K86" s="44">
        <f>4754366+143596</f>
        <v>4897962</v>
      </c>
      <c r="L86" s="16"/>
      <c r="M86" s="17"/>
      <c r="N86" s="17">
        <f t="shared" si="43"/>
        <v>280460.45</v>
      </c>
      <c r="O86" s="17">
        <f t="shared" si="32"/>
        <v>5328748.55</v>
      </c>
      <c r="P86" s="91">
        <v>1</v>
      </c>
      <c r="Q86" s="17">
        <v>0</v>
      </c>
      <c r="R86" s="17"/>
      <c r="S86" s="17">
        <f>+K86+Q86</f>
        <v>4897962</v>
      </c>
      <c r="T86" s="45">
        <f t="shared" si="41"/>
        <v>711247</v>
      </c>
      <c r="U86" s="90"/>
      <c r="V86" s="17"/>
      <c r="W86" s="17"/>
      <c r="X86" s="65"/>
      <c r="Y86" s="65"/>
      <c r="Z86" s="65"/>
      <c r="AA86" s="16"/>
    </row>
    <row r="87" spans="2:27" s="36" customFormat="1" x14ac:dyDescent="0.2">
      <c r="C87" s="91" t="s">
        <v>166</v>
      </c>
      <c r="D87" s="37" t="s">
        <v>162</v>
      </c>
      <c r="E87" s="37"/>
      <c r="F87" s="16">
        <v>2263675</v>
      </c>
      <c r="G87" s="45">
        <v>0</v>
      </c>
      <c r="H87" s="17"/>
      <c r="I87" s="89">
        <f t="shared" si="15"/>
        <v>2263675</v>
      </c>
      <c r="J87" s="17"/>
      <c r="K87" s="44">
        <v>1433660</v>
      </c>
      <c r="L87" s="16"/>
      <c r="M87" s="17"/>
      <c r="N87" s="17">
        <f t="shared" si="43"/>
        <v>113183.75</v>
      </c>
      <c r="O87" s="17">
        <f t="shared" si="32"/>
        <v>2150491.25</v>
      </c>
      <c r="P87" s="91">
        <v>2.5</v>
      </c>
      <c r="Q87" s="17">
        <v>0</v>
      </c>
      <c r="R87" s="17"/>
      <c r="S87" s="17">
        <f>+K87+Q87</f>
        <v>1433660</v>
      </c>
      <c r="T87" s="45">
        <f t="shared" si="41"/>
        <v>830015</v>
      </c>
      <c r="U87" s="90"/>
      <c r="V87" s="17"/>
      <c r="W87" s="17"/>
      <c r="X87" s="65"/>
      <c r="Y87" s="65"/>
      <c r="Z87" s="65"/>
      <c r="AA87" s="16"/>
    </row>
    <row r="88" spans="2:27" s="36" customFormat="1" x14ac:dyDescent="0.2">
      <c r="C88" s="91" t="s">
        <v>167</v>
      </c>
      <c r="D88" s="37" t="s">
        <v>162</v>
      </c>
      <c r="E88" s="37"/>
      <c r="F88" s="16">
        <v>415000</v>
      </c>
      <c r="G88" s="45">
        <v>0</v>
      </c>
      <c r="H88" s="17"/>
      <c r="I88" s="89">
        <f t="shared" si="15"/>
        <v>415000</v>
      </c>
      <c r="J88" s="17"/>
      <c r="K88" s="44">
        <v>59949</v>
      </c>
      <c r="L88" s="16"/>
      <c r="M88" s="17"/>
      <c r="N88" s="17">
        <f t="shared" si="43"/>
        <v>20750</v>
      </c>
      <c r="O88" s="17">
        <f t="shared" si="32"/>
        <v>394250</v>
      </c>
      <c r="P88" s="91">
        <v>3.9</v>
      </c>
      <c r="Q88" s="17">
        <v>0</v>
      </c>
      <c r="R88" s="17"/>
      <c r="S88" s="17">
        <f>+K88+Q88</f>
        <v>59949</v>
      </c>
      <c r="T88" s="45">
        <f t="shared" si="41"/>
        <v>355051</v>
      </c>
      <c r="U88" s="90"/>
      <c r="V88" s="17"/>
      <c r="W88" s="17"/>
      <c r="X88" s="65"/>
      <c r="Y88" s="65"/>
      <c r="Z88" s="65"/>
      <c r="AA88" s="16"/>
    </row>
    <row r="89" spans="2:27" ht="15" thickBot="1" x14ac:dyDescent="0.25">
      <c r="B89" s="35"/>
      <c r="C89" s="92" t="s">
        <v>85</v>
      </c>
      <c r="D89" s="93"/>
      <c r="E89" s="93"/>
      <c r="F89" s="43"/>
      <c r="G89" s="18"/>
      <c r="H89" s="18"/>
      <c r="I89" s="38">
        <f t="shared" si="15"/>
        <v>0</v>
      </c>
      <c r="J89" s="73"/>
      <c r="L89" s="19"/>
      <c r="M89" s="78"/>
      <c r="N89" s="26">
        <f t="shared" ref="N89:N128" si="44">+F89*0.05</f>
        <v>0</v>
      </c>
      <c r="O89" s="26">
        <f>+F89-N89-L89</f>
        <v>0</v>
      </c>
      <c r="P89" s="79"/>
      <c r="Q89" s="26"/>
      <c r="R89" s="26">
        <f t="shared" ref="R89:R128" si="45">+K89</f>
        <v>0</v>
      </c>
      <c r="S89" s="26"/>
      <c r="T89" s="26"/>
      <c r="U89" s="39">
        <v>5.28E-2</v>
      </c>
      <c r="V89" s="1">
        <f>+F89*U89</f>
        <v>0</v>
      </c>
      <c r="W89" s="26"/>
    </row>
    <row r="90" spans="2:27" x14ac:dyDescent="0.2">
      <c r="B90" s="35"/>
      <c r="C90" s="79" t="s">
        <v>86</v>
      </c>
      <c r="D90" s="94" t="s">
        <v>17</v>
      </c>
      <c r="E90" s="94"/>
      <c r="F90" s="26">
        <v>6437474.2400000002</v>
      </c>
      <c r="G90" s="26"/>
      <c r="H90" s="26"/>
      <c r="I90" s="38">
        <f t="shared" si="15"/>
        <v>6437474.2400000002</v>
      </c>
      <c r="J90" s="17"/>
      <c r="K90" s="16">
        <v>6115391.1679999996</v>
      </c>
      <c r="L90" s="16">
        <f t="shared" ref="L90:L128" si="46">+J90+K90</f>
        <v>6115391.1679999996</v>
      </c>
      <c r="M90" s="17">
        <f t="shared" ref="M90:M128" si="47">+I90-L90</f>
        <v>322083.07200000063</v>
      </c>
      <c r="N90" s="17">
        <f t="shared" si="44"/>
        <v>321873.71200000006</v>
      </c>
      <c r="O90" s="17">
        <f t="shared" ref="O90:O128" si="48">+I90-L90-N90</f>
        <v>209.36000000056811</v>
      </c>
      <c r="P90" s="36">
        <v>0</v>
      </c>
      <c r="Q90" s="17">
        <v>0</v>
      </c>
      <c r="R90" s="17">
        <f t="shared" si="45"/>
        <v>6115391.1679999996</v>
      </c>
      <c r="S90" s="17">
        <f t="shared" ref="S90:S128" si="49">+Q90+R90</f>
        <v>6115391.1679999996</v>
      </c>
      <c r="T90" s="17">
        <f t="shared" ref="T90:T109" si="50">+F90-S90</f>
        <v>322083.07200000063</v>
      </c>
      <c r="U90" s="39">
        <v>5.28E-2</v>
      </c>
      <c r="V90" s="1">
        <f t="shared" ref="V90:V127" si="51">+Q90/4*3</f>
        <v>0</v>
      </c>
      <c r="W90" s="17">
        <v>1120211.7451031085</v>
      </c>
      <c r="X90" s="40"/>
      <c r="Y90" s="40">
        <f t="shared" ref="Y90:Y126" si="52">+Q90*X90</f>
        <v>0</v>
      </c>
      <c r="Z90" s="40">
        <f t="shared" ref="Z90:Z126" si="53">+T90-Y90</f>
        <v>322083.07200000063</v>
      </c>
      <c r="AA90" s="25">
        <v>0</v>
      </c>
    </row>
    <row r="91" spans="2:27" x14ac:dyDescent="0.2">
      <c r="B91" s="35"/>
      <c r="C91" s="36" t="s">
        <v>87</v>
      </c>
      <c r="D91" s="37" t="s">
        <v>17</v>
      </c>
      <c r="E91" s="37"/>
      <c r="F91" s="17">
        <v>7447519.0599999996</v>
      </c>
      <c r="G91" s="17"/>
      <c r="H91" s="17"/>
      <c r="I91" s="38">
        <f t="shared" si="15"/>
        <v>7447519.0599999996</v>
      </c>
      <c r="J91" s="17"/>
      <c r="K91" s="16">
        <v>7075143.1069999998</v>
      </c>
      <c r="L91" s="16">
        <f t="shared" si="46"/>
        <v>7075143.1069999998</v>
      </c>
      <c r="M91" s="17">
        <f t="shared" si="47"/>
        <v>372375.95299999975</v>
      </c>
      <c r="N91" s="17">
        <f t="shared" si="44"/>
        <v>372375.95299999998</v>
      </c>
      <c r="O91" s="17">
        <f t="shared" si="48"/>
        <v>0</v>
      </c>
      <c r="P91" s="36">
        <v>0</v>
      </c>
      <c r="Q91" s="17">
        <v>0</v>
      </c>
      <c r="R91" s="17">
        <f t="shared" si="45"/>
        <v>7075143.1069999998</v>
      </c>
      <c r="S91" s="17">
        <f t="shared" si="49"/>
        <v>7075143.1069999998</v>
      </c>
      <c r="T91" s="17">
        <f t="shared" si="50"/>
        <v>372375.95299999975</v>
      </c>
      <c r="U91" s="39">
        <v>5.28E-2</v>
      </c>
      <c r="V91" s="1">
        <f t="shared" si="51"/>
        <v>0</v>
      </c>
      <c r="W91" s="17">
        <v>869338.08471604157</v>
      </c>
      <c r="X91" s="40">
        <f t="shared" ref="X91:X126" si="54">+P91-1</f>
        <v>-1</v>
      </c>
      <c r="Y91" s="40">
        <f t="shared" si="52"/>
        <v>0</v>
      </c>
      <c r="Z91" s="40">
        <f t="shared" si="53"/>
        <v>372375.95299999975</v>
      </c>
      <c r="AA91" s="25">
        <f t="shared" ref="AA91:AA126" si="55">+N91-Z91</f>
        <v>0</v>
      </c>
    </row>
    <row r="92" spans="2:27" x14ac:dyDescent="0.2">
      <c r="B92" s="35"/>
      <c r="C92" s="36" t="s">
        <v>88</v>
      </c>
      <c r="D92" s="37" t="s">
        <v>17</v>
      </c>
      <c r="E92" s="37"/>
      <c r="F92" s="17">
        <v>46092857.129999995</v>
      </c>
      <c r="G92" s="17">
        <v>0</v>
      </c>
      <c r="H92" s="17"/>
      <c r="I92" s="38">
        <f t="shared" ref="I92:I128" si="56">+F92+G92-H92</f>
        <v>46092857.129999995</v>
      </c>
      <c r="J92" s="17"/>
      <c r="K92" s="16">
        <v>25241423.155976921</v>
      </c>
      <c r="L92" s="16">
        <f t="shared" si="46"/>
        <v>25241423.155976921</v>
      </c>
      <c r="M92" s="17">
        <f t="shared" si="47"/>
        <v>20851433.974023074</v>
      </c>
      <c r="N92" s="17">
        <f t="shared" si="44"/>
        <v>2304642.8564999998</v>
      </c>
      <c r="O92" s="17">
        <f t="shared" si="48"/>
        <v>18546791.117523074</v>
      </c>
      <c r="P92" s="36">
        <v>8</v>
      </c>
      <c r="Q92" s="17">
        <f t="shared" ref="Q92:Q128" si="57">+O92/P92</f>
        <v>2318348.8896903843</v>
      </c>
      <c r="R92" s="17">
        <f t="shared" si="45"/>
        <v>25241423.155976921</v>
      </c>
      <c r="S92" s="17">
        <f t="shared" si="49"/>
        <v>27559772.045667306</v>
      </c>
      <c r="T92" s="17">
        <f t="shared" si="50"/>
        <v>18533085.08433269</v>
      </c>
      <c r="U92" s="39">
        <v>5.28E-2</v>
      </c>
      <c r="V92" s="1">
        <f t="shared" si="51"/>
        <v>1738761.6672677882</v>
      </c>
      <c r="W92" s="17">
        <v>2539893.8121070517</v>
      </c>
      <c r="X92" s="40">
        <f t="shared" si="54"/>
        <v>7</v>
      </c>
      <c r="Y92" s="40">
        <f t="shared" si="52"/>
        <v>16228442.22783269</v>
      </c>
      <c r="Z92" s="40">
        <f t="shared" si="53"/>
        <v>2304642.8564999998</v>
      </c>
      <c r="AA92" s="25">
        <f t="shared" si="55"/>
        <v>0</v>
      </c>
    </row>
    <row r="93" spans="2:27" x14ac:dyDescent="0.2">
      <c r="B93" s="35"/>
      <c r="C93" s="36" t="s">
        <v>89</v>
      </c>
      <c r="D93" s="37" t="s">
        <v>17</v>
      </c>
      <c r="E93" s="37"/>
      <c r="F93" s="17">
        <v>27720238.050000001</v>
      </c>
      <c r="G93" s="17"/>
      <c r="H93" s="17"/>
      <c r="I93" s="38">
        <f t="shared" si="56"/>
        <v>27720238.050000001</v>
      </c>
      <c r="J93" s="17"/>
      <c r="K93" s="16">
        <v>14649864.809751615</v>
      </c>
      <c r="L93" s="16">
        <f t="shared" si="46"/>
        <v>14649864.809751615</v>
      </c>
      <c r="M93" s="17">
        <f t="shared" si="47"/>
        <v>13070373.240248386</v>
      </c>
      <c r="N93" s="17">
        <f t="shared" si="44"/>
        <v>1386011.9025000001</v>
      </c>
      <c r="O93" s="17">
        <f t="shared" si="48"/>
        <v>11684361.337748386</v>
      </c>
      <c r="P93" s="36">
        <v>8</v>
      </c>
      <c r="Q93" s="17">
        <f t="shared" si="57"/>
        <v>1460545.1672185482</v>
      </c>
      <c r="R93" s="17">
        <f t="shared" si="45"/>
        <v>14649864.809751615</v>
      </c>
      <c r="S93" s="17">
        <f t="shared" si="49"/>
        <v>16110409.976970162</v>
      </c>
      <c r="T93" s="17">
        <f t="shared" si="50"/>
        <v>11609828.073029839</v>
      </c>
      <c r="U93" s="39">
        <v>5.28E-2</v>
      </c>
      <c r="V93" s="1">
        <f t="shared" si="51"/>
        <v>1095408.8754139112</v>
      </c>
      <c r="W93" s="17">
        <v>1460545.1672185478</v>
      </c>
      <c r="X93" s="40">
        <f t="shared" si="54"/>
        <v>7</v>
      </c>
      <c r="Y93" s="40">
        <f t="shared" si="52"/>
        <v>10223816.170529839</v>
      </c>
      <c r="Z93" s="40">
        <f t="shared" si="53"/>
        <v>1386011.9024999999</v>
      </c>
      <c r="AA93" s="25">
        <f t="shared" si="55"/>
        <v>0</v>
      </c>
    </row>
    <row r="94" spans="2:27" x14ac:dyDescent="0.2">
      <c r="B94" s="35"/>
      <c r="C94" s="36" t="s">
        <v>90</v>
      </c>
      <c r="D94" s="37" t="s">
        <v>17</v>
      </c>
      <c r="E94" s="37"/>
      <c r="F94" s="17">
        <v>39646645.5</v>
      </c>
      <c r="G94" s="17"/>
      <c r="H94" s="17"/>
      <c r="I94" s="38">
        <f t="shared" si="56"/>
        <v>39646645.5</v>
      </c>
      <c r="J94" s="17"/>
      <c r="K94" s="16">
        <v>20952850.24924767</v>
      </c>
      <c r="L94" s="16">
        <f t="shared" si="46"/>
        <v>20952850.24924767</v>
      </c>
      <c r="M94" s="17">
        <f t="shared" si="47"/>
        <v>18693795.25075233</v>
      </c>
      <c r="N94" s="17">
        <f t="shared" si="44"/>
        <v>1982332.2750000001</v>
      </c>
      <c r="O94" s="17">
        <f t="shared" si="48"/>
        <v>16711462.975752329</v>
      </c>
      <c r="P94" s="36">
        <v>8</v>
      </c>
      <c r="Q94" s="17">
        <f t="shared" si="57"/>
        <v>2088932.8719690412</v>
      </c>
      <c r="R94" s="17">
        <f t="shared" si="45"/>
        <v>20952850.24924767</v>
      </c>
      <c r="S94" s="17">
        <f t="shared" si="49"/>
        <v>23041783.121216711</v>
      </c>
      <c r="T94" s="17">
        <f t="shared" si="50"/>
        <v>16604862.378783289</v>
      </c>
      <c r="U94" s="39">
        <v>5.28E-2</v>
      </c>
      <c r="V94" s="1">
        <f t="shared" si="51"/>
        <v>1566699.6539767808</v>
      </c>
      <c r="W94" s="17">
        <v>2088932.8719690409</v>
      </c>
      <c r="X94" s="40">
        <f t="shared" si="54"/>
        <v>7</v>
      </c>
      <c r="Y94" s="40">
        <f t="shared" si="52"/>
        <v>14622530.103783289</v>
      </c>
      <c r="Z94" s="40">
        <f t="shared" si="53"/>
        <v>1982332.2750000004</v>
      </c>
      <c r="AA94" s="25">
        <f t="shared" si="55"/>
        <v>0</v>
      </c>
    </row>
    <row r="95" spans="2:27" x14ac:dyDescent="0.2">
      <c r="B95" s="35"/>
      <c r="C95" s="36" t="s">
        <v>91</v>
      </c>
      <c r="D95" s="37" t="s">
        <v>21</v>
      </c>
      <c r="E95" s="37"/>
      <c r="F95" s="17">
        <v>5240306.28</v>
      </c>
      <c r="G95" s="17"/>
      <c r="H95" s="17"/>
      <c r="I95" s="38">
        <f t="shared" si="56"/>
        <v>5240306.28</v>
      </c>
      <c r="J95" s="17"/>
      <c r="K95" s="16">
        <v>2631684.6952511999</v>
      </c>
      <c r="L95" s="16">
        <f t="shared" si="46"/>
        <v>2631684.6952511999</v>
      </c>
      <c r="M95" s="17">
        <f t="shared" si="47"/>
        <v>2608621.5847488004</v>
      </c>
      <c r="N95" s="17">
        <f t="shared" si="44"/>
        <v>262015.31400000001</v>
      </c>
      <c r="O95" s="17">
        <f t="shared" si="48"/>
        <v>2346606.2707488006</v>
      </c>
      <c r="P95" s="36">
        <v>9</v>
      </c>
      <c r="Q95" s="17">
        <f t="shared" si="57"/>
        <v>260734.03008320008</v>
      </c>
      <c r="R95" s="17">
        <f t="shared" si="45"/>
        <v>2631684.6952511999</v>
      </c>
      <c r="S95" s="17">
        <f t="shared" si="49"/>
        <v>2892418.7253343998</v>
      </c>
      <c r="T95" s="17">
        <f t="shared" si="50"/>
        <v>2347887.5546656004</v>
      </c>
      <c r="U95" s="39">
        <v>5.28E-2</v>
      </c>
      <c r="V95" s="1">
        <f t="shared" si="51"/>
        <v>195550.52256240006</v>
      </c>
      <c r="W95" s="17">
        <v>260734.03008319999</v>
      </c>
      <c r="X95" s="40">
        <f t="shared" si="54"/>
        <v>8</v>
      </c>
      <c r="Y95" s="40">
        <f t="shared" si="52"/>
        <v>2085872.2406656006</v>
      </c>
      <c r="Z95" s="40">
        <f t="shared" si="53"/>
        <v>262015.31399999978</v>
      </c>
      <c r="AA95" s="25">
        <f t="shared" si="55"/>
        <v>2.3283064365386963E-10</v>
      </c>
    </row>
    <row r="96" spans="2:27" x14ac:dyDescent="0.2">
      <c r="B96" s="35"/>
      <c r="C96" s="36" t="s">
        <v>92</v>
      </c>
      <c r="D96" s="37" t="s">
        <v>21</v>
      </c>
      <c r="E96" s="37"/>
      <c r="F96" s="17">
        <v>382174.99</v>
      </c>
      <c r="G96" s="17"/>
      <c r="H96" s="17"/>
      <c r="I96" s="38">
        <f t="shared" si="56"/>
        <v>382174.99</v>
      </c>
      <c r="J96" s="17"/>
      <c r="K96" s="16">
        <v>192080.80724959998</v>
      </c>
      <c r="L96" s="16">
        <f t="shared" si="46"/>
        <v>192080.80724959998</v>
      </c>
      <c r="M96" s="17">
        <f t="shared" si="47"/>
        <v>190094.18275040001</v>
      </c>
      <c r="N96" s="17">
        <f t="shared" si="44"/>
        <v>19108.749500000002</v>
      </c>
      <c r="O96" s="17">
        <f t="shared" si="48"/>
        <v>170985.4332504</v>
      </c>
      <c r="P96" s="36">
        <v>9</v>
      </c>
      <c r="Q96" s="17">
        <f t="shared" si="57"/>
        <v>18998.381472266668</v>
      </c>
      <c r="R96" s="17">
        <f t="shared" si="45"/>
        <v>192080.80724959998</v>
      </c>
      <c r="S96" s="17">
        <f t="shared" si="49"/>
        <v>211079.18872186664</v>
      </c>
      <c r="T96" s="17">
        <f t="shared" si="50"/>
        <v>171095.80127813335</v>
      </c>
      <c r="U96" s="39">
        <v>5.28E-2</v>
      </c>
      <c r="V96" s="1">
        <f t="shared" si="51"/>
        <v>14248.7861042</v>
      </c>
      <c r="W96" s="17">
        <v>18998.381472266668</v>
      </c>
      <c r="X96" s="40">
        <f t="shared" si="54"/>
        <v>8</v>
      </c>
      <c r="Y96" s="40">
        <f t="shared" si="52"/>
        <v>151987.05177813335</v>
      </c>
      <c r="Z96" s="40">
        <f t="shared" si="53"/>
        <v>19108.749500000005</v>
      </c>
      <c r="AA96" s="25">
        <f t="shared" si="55"/>
        <v>0</v>
      </c>
    </row>
    <row r="97" spans="2:27" x14ac:dyDescent="0.2">
      <c r="B97" s="35"/>
      <c r="C97" s="36" t="s">
        <v>93</v>
      </c>
      <c r="D97" s="37" t="s">
        <v>21</v>
      </c>
      <c r="E97" s="37"/>
      <c r="F97" s="17">
        <v>3030525</v>
      </c>
      <c r="G97" s="17"/>
      <c r="H97" s="17"/>
      <c r="I97" s="38">
        <f t="shared" si="56"/>
        <v>3030525</v>
      </c>
      <c r="J97" s="17"/>
      <c r="K97" s="16">
        <v>1527626.7960000001</v>
      </c>
      <c r="L97" s="16">
        <f t="shared" si="46"/>
        <v>1527626.7960000001</v>
      </c>
      <c r="M97" s="17">
        <f t="shared" si="47"/>
        <v>1502898.2039999999</v>
      </c>
      <c r="N97" s="17">
        <f t="shared" si="44"/>
        <v>151526.25</v>
      </c>
      <c r="O97" s="17">
        <f t="shared" si="48"/>
        <v>1351371.9539999999</v>
      </c>
      <c r="P97" s="36">
        <v>9</v>
      </c>
      <c r="Q97" s="17">
        <f t="shared" si="57"/>
        <v>150152.43933333331</v>
      </c>
      <c r="R97" s="17">
        <f t="shared" si="45"/>
        <v>1527626.7960000001</v>
      </c>
      <c r="S97" s="17">
        <f t="shared" si="49"/>
        <v>1677779.2353333335</v>
      </c>
      <c r="T97" s="17">
        <f t="shared" si="50"/>
        <v>1352745.7646666665</v>
      </c>
      <c r="U97" s="39">
        <v>5.28E-2</v>
      </c>
      <c r="V97" s="1">
        <f t="shared" si="51"/>
        <v>112614.32949999999</v>
      </c>
      <c r="W97" s="17">
        <v>150152.43933333331</v>
      </c>
      <c r="X97" s="40">
        <f t="shared" si="54"/>
        <v>8</v>
      </c>
      <c r="Y97" s="40">
        <f t="shared" si="52"/>
        <v>1201219.5146666665</v>
      </c>
      <c r="Z97" s="40">
        <f t="shared" si="53"/>
        <v>151526.25</v>
      </c>
      <c r="AA97" s="25">
        <f t="shared" si="55"/>
        <v>0</v>
      </c>
    </row>
    <row r="98" spans="2:27" x14ac:dyDescent="0.2">
      <c r="B98" s="35"/>
      <c r="C98" s="36" t="s">
        <v>94</v>
      </c>
      <c r="D98" s="37" t="s">
        <v>22</v>
      </c>
      <c r="E98" s="37"/>
      <c r="F98" s="17">
        <v>24426806</v>
      </c>
      <c r="G98" s="17"/>
      <c r="H98" s="17"/>
      <c r="I98" s="38">
        <f t="shared" si="56"/>
        <v>24426806</v>
      </c>
      <c r="J98" s="17"/>
      <c r="K98" s="16">
        <v>10314218.833500002</v>
      </c>
      <c r="L98" s="16">
        <f t="shared" si="46"/>
        <v>10314218.833500002</v>
      </c>
      <c r="M98" s="17">
        <f t="shared" si="47"/>
        <v>14112587.166499998</v>
      </c>
      <c r="N98" s="17">
        <f t="shared" si="44"/>
        <v>1221340.3</v>
      </c>
      <c r="O98" s="17">
        <f t="shared" si="48"/>
        <v>12891246.866499998</v>
      </c>
      <c r="P98" s="36">
        <v>10</v>
      </c>
      <c r="Q98" s="17">
        <f t="shared" si="57"/>
        <v>1289124.6866499998</v>
      </c>
      <c r="R98" s="17">
        <f t="shared" si="45"/>
        <v>10314218.833500002</v>
      </c>
      <c r="S98" s="17">
        <f t="shared" si="49"/>
        <v>11603343.520150002</v>
      </c>
      <c r="T98" s="17">
        <f t="shared" si="50"/>
        <v>12823462.479849998</v>
      </c>
      <c r="U98" s="39">
        <v>5.28E-2</v>
      </c>
      <c r="V98" s="1">
        <f t="shared" si="51"/>
        <v>966843.51498749992</v>
      </c>
      <c r="W98" s="17">
        <v>1289124.68665</v>
      </c>
      <c r="X98" s="40">
        <f t="shared" si="54"/>
        <v>9</v>
      </c>
      <c r="Y98" s="40">
        <f t="shared" si="52"/>
        <v>11602122.179849999</v>
      </c>
      <c r="Z98" s="40">
        <f t="shared" si="53"/>
        <v>1221340.2999999989</v>
      </c>
      <c r="AA98" s="25">
        <f t="shared" si="55"/>
        <v>0</v>
      </c>
    </row>
    <row r="99" spans="2:27" x14ac:dyDescent="0.2">
      <c r="B99" s="35"/>
      <c r="C99" s="36" t="s">
        <v>95</v>
      </c>
      <c r="D99" s="37" t="s">
        <v>22</v>
      </c>
      <c r="E99" s="37"/>
      <c r="F99" s="17">
        <v>1008447</v>
      </c>
      <c r="G99" s="17"/>
      <c r="H99" s="17"/>
      <c r="I99" s="38">
        <f t="shared" si="56"/>
        <v>1008447</v>
      </c>
      <c r="J99" s="17"/>
      <c r="K99" s="16">
        <v>439514.87075000006</v>
      </c>
      <c r="L99" s="16">
        <f t="shared" si="46"/>
        <v>439514.87075000006</v>
      </c>
      <c r="M99" s="17">
        <f t="shared" si="47"/>
        <v>568932.12925</v>
      </c>
      <c r="N99" s="17">
        <f t="shared" si="44"/>
        <v>50422.350000000006</v>
      </c>
      <c r="O99" s="17">
        <f t="shared" si="48"/>
        <v>518509.77925000002</v>
      </c>
      <c r="P99" s="36">
        <v>10</v>
      </c>
      <c r="Q99" s="17">
        <f t="shared" si="57"/>
        <v>51850.977924999999</v>
      </c>
      <c r="R99" s="17">
        <f t="shared" si="45"/>
        <v>439514.87075000006</v>
      </c>
      <c r="S99" s="17">
        <f t="shared" si="49"/>
        <v>491365.84867500007</v>
      </c>
      <c r="T99" s="17">
        <f t="shared" si="50"/>
        <v>517081.15132499993</v>
      </c>
      <c r="U99" s="39">
        <v>5.28E-2</v>
      </c>
      <c r="V99" s="1">
        <f t="shared" si="51"/>
        <v>38888.233443749996</v>
      </c>
      <c r="W99" s="17">
        <v>51850.977924999999</v>
      </c>
      <c r="X99" s="40">
        <f t="shared" si="54"/>
        <v>9</v>
      </c>
      <c r="Y99" s="40">
        <f t="shared" si="52"/>
        <v>466658.80132500001</v>
      </c>
      <c r="Z99" s="40">
        <f t="shared" si="53"/>
        <v>50422.349999999919</v>
      </c>
      <c r="AA99" s="25">
        <f t="shared" si="55"/>
        <v>8.7311491370201111E-11</v>
      </c>
    </row>
    <row r="100" spans="2:27" x14ac:dyDescent="0.2">
      <c r="B100" s="35"/>
      <c r="C100" s="36" t="s">
        <v>96</v>
      </c>
      <c r="D100" s="37" t="s">
        <v>22</v>
      </c>
      <c r="E100" s="37"/>
      <c r="F100" s="17">
        <v>605609.71</v>
      </c>
      <c r="G100" s="17"/>
      <c r="H100" s="17"/>
      <c r="I100" s="38">
        <f t="shared" si="56"/>
        <v>605609.71</v>
      </c>
      <c r="J100" s="17"/>
      <c r="K100" s="16">
        <v>255718.70004749997</v>
      </c>
      <c r="L100" s="16">
        <f t="shared" si="46"/>
        <v>255718.70004749997</v>
      </c>
      <c r="M100" s="17">
        <f t="shared" si="47"/>
        <v>349891.0099525</v>
      </c>
      <c r="N100" s="17">
        <f t="shared" si="44"/>
        <v>30280.485499999999</v>
      </c>
      <c r="O100" s="17">
        <f t="shared" si="48"/>
        <v>319610.52445249999</v>
      </c>
      <c r="P100" s="36">
        <v>10</v>
      </c>
      <c r="Q100" s="17">
        <f t="shared" si="57"/>
        <v>31961.052445249999</v>
      </c>
      <c r="R100" s="17">
        <f t="shared" si="45"/>
        <v>255718.70004749997</v>
      </c>
      <c r="S100" s="17">
        <f t="shared" si="49"/>
        <v>287679.75249274995</v>
      </c>
      <c r="T100" s="17">
        <f t="shared" si="50"/>
        <v>317929.95750725002</v>
      </c>
      <c r="U100" s="39">
        <v>5.28E-2</v>
      </c>
      <c r="V100" s="1">
        <f t="shared" si="51"/>
        <v>23970.7893339375</v>
      </c>
      <c r="W100" s="17">
        <v>31961.052445249999</v>
      </c>
      <c r="X100" s="40">
        <f t="shared" si="54"/>
        <v>9</v>
      </c>
      <c r="Y100" s="40">
        <f t="shared" si="52"/>
        <v>287649.47200725001</v>
      </c>
      <c r="Z100" s="40">
        <f t="shared" si="53"/>
        <v>30280.48550000001</v>
      </c>
      <c r="AA100" s="25">
        <f t="shared" si="55"/>
        <v>0</v>
      </c>
    </row>
    <row r="101" spans="2:27" x14ac:dyDescent="0.2">
      <c r="B101" s="35"/>
      <c r="C101" s="36" t="s">
        <v>97</v>
      </c>
      <c r="D101" s="37" t="s">
        <v>22</v>
      </c>
      <c r="E101" s="37"/>
      <c r="F101" s="17">
        <v>660000</v>
      </c>
      <c r="G101" s="17"/>
      <c r="H101" s="17"/>
      <c r="I101" s="38">
        <f t="shared" si="56"/>
        <v>660000</v>
      </c>
      <c r="J101" s="17"/>
      <c r="K101" s="16">
        <v>278685</v>
      </c>
      <c r="L101" s="16">
        <f t="shared" si="46"/>
        <v>278685</v>
      </c>
      <c r="M101" s="17">
        <f t="shared" si="47"/>
        <v>381315</v>
      </c>
      <c r="N101" s="17">
        <f t="shared" si="44"/>
        <v>33000</v>
      </c>
      <c r="O101" s="17">
        <f t="shared" si="48"/>
        <v>348315</v>
      </c>
      <c r="P101" s="36">
        <v>10</v>
      </c>
      <c r="Q101" s="17">
        <f t="shared" si="57"/>
        <v>34831.5</v>
      </c>
      <c r="R101" s="17">
        <f t="shared" si="45"/>
        <v>278685</v>
      </c>
      <c r="S101" s="17">
        <f t="shared" si="49"/>
        <v>313516.5</v>
      </c>
      <c r="T101" s="17">
        <f t="shared" si="50"/>
        <v>346483.5</v>
      </c>
      <c r="U101" s="39">
        <v>5.28E-2</v>
      </c>
      <c r="V101" s="1">
        <f t="shared" si="51"/>
        <v>26123.625</v>
      </c>
      <c r="W101" s="17">
        <v>34831.5</v>
      </c>
      <c r="X101" s="40">
        <f t="shared" si="54"/>
        <v>9</v>
      </c>
      <c r="Y101" s="40">
        <f t="shared" si="52"/>
        <v>313483.5</v>
      </c>
      <c r="Z101" s="40">
        <f t="shared" si="53"/>
        <v>33000</v>
      </c>
      <c r="AA101" s="25">
        <f t="shared" si="55"/>
        <v>0</v>
      </c>
    </row>
    <row r="102" spans="2:27" x14ac:dyDescent="0.2">
      <c r="B102" s="35"/>
      <c r="C102" s="36" t="s">
        <v>98</v>
      </c>
      <c r="D102" s="37" t="s">
        <v>22</v>
      </c>
      <c r="E102" s="37"/>
      <c r="F102" s="17">
        <v>409585.5</v>
      </c>
      <c r="G102" s="17"/>
      <c r="H102" s="17"/>
      <c r="I102" s="38">
        <f t="shared" si="56"/>
        <v>409585.5</v>
      </c>
      <c r="J102" s="17"/>
      <c r="K102" s="16">
        <v>177011.22737499999</v>
      </c>
      <c r="L102" s="16">
        <f t="shared" si="46"/>
        <v>177011.22737499999</v>
      </c>
      <c r="M102" s="17">
        <f t="shared" si="47"/>
        <v>232574.27262500001</v>
      </c>
      <c r="N102" s="17">
        <f t="shared" si="44"/>
        <v>20479.275000000001</v>
      </c>
      <c r="O102" s="17">
        <f t="shared" si="48"/>
        <v>212094.99762500002</v>
      </c>
      <c r="P102" s="36">
        <v>10</v>
      </c>
      <c r="Q102" s="17">
        <f t="shared" si="57"/>
        <v>21209.499762500003</v>
      </c>
      <c r="R102" s="17">
        <f t="shared" si="45"/>
        <v>177011.22737499999</v>
      </c>
      <c r="S102" s="17">
        <f t="shared" si="49"/>
        <v>198220.72713749998</v>
      </c>
      <c r="T102" s="17">
        <f t="shared" si="50"/>
        <v>211364.77286250002</v>
      </c>
      <c r="U102" s="39">
        <v>5.28E-2</v>
      </c>
      <c r="V102" s="1">
        <f t="shared" si="51"/>
        <v>15907.124821875002</v>
      </c>
      <c r="W102" s="17">
        <v>21209.4997625</v>
      </c>
      <c r="X102" s="40">
        <f t="shared" si="54"/>
        <v>9</v>
      </c>
      <c r="Y102" s="40">
        <f t="shared" si="52"/>
        <v>190885.49786250002</v>
      </c>
      <c r="Z102" s="40">
        <f t="shared" si="53"/>
        <v>20479.274999999994</v>
      </c>
      <c r="AA102" s="25">
        <f t="shared" si="55"/>
        <v>0</v>
      </c>
    </row>
    <row r="103" spans="2:27" x14ac:dyDescent="0.2">
      <c r="B103" s="35"/>
      <c r="C103" s="36" t="s">
        <v>99</v>
      </c>
      <c r="D103" s="37" t="s">
        <v>22</v>
      </c>
      <c r="E103" s="37"/>
      <c r="F103" s="17">
        <v>1018206</v>
      </c>
      <c r="G103" s="17"/>
      <c r="H103" s="17"/>
      <c r="I103" s="38">
        <f t="shared" si="56"/>
        <v>1018206</v>
      </c>
      <c r="J103" s="17"/>
      <c r="K103" s="16">
        <v>463403.10849999997</v>
      </c>
      <c r="L103" s="16">
        <f t="shared" si="46"/>
        <v>463403.10849999997</v>
      </c>
      <c r="M103" s="17">
        <f t="shared" si="47"/>
        <v>554802.89150000003</v>
      </c>
      <c r="N103" s="17">
        <f t="shared" si="44"/>
        <v>50910.3</v>
      </c>
      <c r="O103" s="17">
        <f t="shared" si="48"/>
        <v>503892.59150000004</v>
      </c>
      <c r="P103" s="36">
        <v>10</v>
      </c>
      <c r="Q103" s="17">
        <f t="shared" si="57"/>
        <v>50389.259150000005</v>
      </c>
      <c r="R103" s="17">
        <f t="shared" si="45"/>
        <v>463403.10849999997</v>
      </c>
      <c r="S103" s="17">
        <f t="shared" si="49"/>
        <v>513792.36764999997</v>
      </c>
      <c r="T103" s="17">
        <f t="shared" si="50"/>
        <v>504413.63235000003</v>
      </c>
      <c r="U103" s="39">
        <v>5.28E-2</v>
      </c>
      <c r="V103" s="1">
        <f t="shared" si="51"/>
        <v>37791.944362500006</v>
      </c>
      <c r="W103" s="17">
        <v>50389.259149999998</v>
      </c>
      <c r="X103" s="40">
        <f t="shared" si="54"/>
        <v>9</v>
      </c>
      <c r="Y103" s="40">
        <f t="shared" si="52"/>
        <v>453503.33235000004</v>
      </c>
      <c r="Z103" s="40">
        <f t="shared" si="53"/>
        <v>50910.299999999988</v>
      </c>
      <c r="AA103" s="25">
        <f t="shared" si="55"/>
        <v>0</v>
      </c>
    </row>
    <row r="104" spans="2:27" x14ac:dyDescent="0.2">
      <c r="B104" s="35"/>
      <c r="C104" s="36" t="s">
        <v>100</v>
      </c>
      <c r="D104" s="37" t="s">
        <v>22</v>
      </c>
      <c r="E104" s="37"/>
      <c r="F104" s="17">
        <v>1498581</v>
      </c>
      <c r="G104" s="17"/>
      <c r="H104" s="17"/>
      <c r="I104" s="38">
        <f t="shared" si="56"/>
        <v>1498581</v>
      </c>
      <c r="J104" s="17"/>
      <c r="K104" s="16">
        <v>656990.20224999986</v>
      </c>
      <c r="L104" s="16">
        <f t="shared" si="46"/>
        <v>656990.20224999986</v>
      </c>
      <c r="M104" s="17">
        <f t="shared" si="47"/>
        <v>841590.79775000014</v>
      </c>
      <c r="N104" s="17">
        <f t="shared" si="44"/>
        <v>74929.05</v>
      </c>
      <c r="O104" s="17">
        <f t="shared" si="48"/>
        <v>766661.7477500001</v>
      </c>
      <c r="P104" s="36">
        <v>10</v>
      </c>
      <c r="Q104" s="17">
        <f t="shared" si="57"/>
        <v>76666.174775000007</v>
      </c>
      <c r="R104" s="17">
        <f t="shared" si="45"/>
        <v>656990.20224999986</v>
      </c>
      <c r="S104" s="17">
        <f t="shared" si="49"/>
        <v>733656.37702499982</v>
      </c>
      <c r="T104" s="17">
        <f t="shared" si="50"/>
        <v>764924.62297500018</v>
      </c>
      <c r="U104" s="39">
        <v>5.28E-2</v>
      </c>
      <c r="V104" s="1">
        <f t="shared" si="51"/>
        <v>57499.631081250001</v>
      </c>
      <c r="W104" s="17">
        <v>76666.174774999992</v>
      </c>
      <c r="X104" s="40">
        <f t="shared" si="54"/>
        <v>9</v>
      </c>
      <c r="Y104" s="40">
        <f t="shared" si="52"/>
        <v>689995.57297500002</v>
      </c>
      <c r="Z104" s="40">
        <f t="shared" si="53"/>
        <v>74929.050000000163</v>
      </c>
      <c r="AA104" s="25">
        <f t="shared" si="55"/>
        <v>-1.6007106751203537E-10</v>
      </c>
    </row>
    <row r="105" spans="2:27" x14ac:dyDescent="0.2">
      <c r="B105" s="35"/>
      <c r="C105" s="36" t="s">
        <v>101</v>
      </c>
      <c r="D105" s="37" t="s">
        <v>22</v>
      </c>
      <c r="E105" s="37"/>
      <c r="F105" s="17">
        <v>943372</v>
      </c>
      <c r="G105" s="17"/>
      <c r="H105" s="17"/>
      <c r="I105" s="38">
        <f t="shared" si="56"/>
        <v>943372</v>
      </c>
      <c r="J105" s="17"/>
      <c r="K105" s="16">
        <v>398338.82700000005</v>
      </c>
      <c r="L105" s="16">
        <f t="shared" si="46"/>
        <v>398338.82700000005</v>
      </c>
      <c r="M105" s="17">
        <f t="shared" si="47"/>
        <v>545033.17299999995</v>
      </c>
      <c r="N105" s="17">
        <f t="shared" si="44"/>
        <v>47168.600000000006</v>
      </c>
      <c r="O105" s="17">
        <f t="shared" si="48"/>
        <v>497864.57299999997</v>
      </c>
      <c r="P105" s="36">
        <v>10</v>
      </c>
      <c r="Q105" s="17">
        <f t="shared" si="57"/>
        <v>49786.457299999995</v>
      </c>
      <c r="R105" s="17">
        <f t="shared" si="45"/>
        <v>398338.82700000005</v>
      </c>
      <c r="S105" s="17">
        <f t="shared" si="49"/>
        <v>448125.28430000006</v>
      </c>
      <c r="T105" s="17">
        <f t="shared" si="50"/>
        <v>495246.71569999994</v>
      </c>
      <c r="U105" s="39">
        <v>5.28E-2</v>
      </c>
      <c r="V105" s="1">
        <f t="shared" si="51"/>
        <v>37339.842974999992</v>
      </c>
      <c r="W105" s="17">
        <v>49786.457300000002</v>
      </c>
      <c r="X105" s="40">
        <f t="shared" si="54"/>
        <v>9</v>
      </c>
      <c r="Y105" s="40">
        <f t="shared" si="52"/>
        <v>448078.11569999997</v>
      </c>
      <c r="Z105" s="40">
        <f t="shared" si="53"/>
        <v>47168.599999999977</v>
      </c>
      <c r="AA105" s="25">
        <f t="shared" si="55"/>
        <v>0</v>
      </c>
    </row>
    <row r="106" spans="2:27" x14ac:dyDescent="0.2">
      <c r="B106" s="35"/>
      <c r="C106" s="36" t="s">
        <v>102</v>
      </c>
      <c r="D106" s="37" t="s">
        <v>23</v>
      </c>
      <c r="E106" s="37"/>
      <c r="F106" s="17">
        <v>364412.87999999989</v>
      </c>
      <c r="G106" s="17"/>
      <c r="H106" s="17"/>
      <c r="I106" s="38">
        <f t="shared" si="56"/>
        <v>364412.87999999989</v>
      </c>
      <c r="J106" s="17"/>
      <c r="K106" s="16">
        <v>137858.55392376467</v>
      </c>
      <c r="L106" s="16">
        <f t="shared" si="46"/>
        <v>137858.55392376467</v>
      </c>
      <c r="M106" s="17">
        <f t="shared" si="47"/>
        <v>226554.32607623521</v>
      </c>
      <c r="N106" s="17">
        <f t="shared" si="44"/>
        <v>18220.643999999997</v>
      </c>
      <c r="O106" s="17">
        <f t="shared" si="48"/>
        <v>208333.68207623521</v>
      </c>
      <c r="P106" s="36">
        <v>11</v>
      </c>
      <c r="Q106" s="17">
        <f t="shared" si="57"/>
        <v>18939.425643294111</v>
      </c>
      <c r="R106" s="17">
        <f t="shared" si="45"/>
        <v>137858.55392376467</v>
      </c>
      <c r="S106" s="17">
        <f t="shared" si="49"/>
        <v>156797.97956705879</v>
      </c>
      <c r="T106" s="17">
        <f t="shared" si="50"/>
        <v>207614.9004329411</v>
      </c>
      <c r="U106" s="39">
        <v>5.28E-2</v>
      </c>
      <c r="V106" s="1">
        <f t="shared" si="51"/>
        <v>14204.569232470583</v>
      </c>
      <c r="W106" s="17">
        <v>18939.425643294111</v>
      </c>
      <c r="X106" s="40">
        <f t="shared" si="54"/>
        <v>10</v>
      </c>
      <c r="Y106" s="40">
        <f t="shared" si="52"/>
        <v>189394.25643294113</v>
      </c>
      <c r="Z106" s="40">
        <f t="shared" si="53"/>
        <v>18220.643999999971</v>
      </c>
      <c r="AA106" s="25">
        <f t="shared" si="55"/>
        <v>0</v>
      </c>
    </row>
    <row r="107" spans="2:27" x14ac:dyDescent="0.2">
      <c r="B107" s="35"/>
      <c r="C107" s="36" t="s">
        <v>103</v>
      </c>
      <c r="D107" s="37" t="s">
        <v>23</v>
      </c>
      <c r="E107" s="37"/>
      <c r="F107" s="17">
        <v>2314475</v>
      </c>
      <c r="G107" s="17"/>
      <c r="H107" s="17"/>
      <c r="I107" s="38">
        <f t="shared" si="56"/>
        <v>2314475</v>
      </c>
      <c r="J107" s="17"/>
      <c r="K107" s="16">
        <v>888050.79882352939</v>
      </c>
      <c r="L107" s="16">
        <f t="shared" si="46"/>
        <v>888050.79882352939</v>
      </c>
      <c r="M107" s="17">
        <f t="shared" si="47"/>
        <v>1426424.2011764706</v>
      </c>
      <c r="N107" s="17">
        <f t="shared" si="44"/>
        <v>115723.75</v>
      </c>
      <c r="O107" s="17">
        <f t="shared" si="48"/>
        <v>1310700.4511764706</v>
      </c>
      <c r="P107" s="36">
        <v>11</v>
      </c>
      <c r="Q107" s="17">
        <f t="shared" si="57"/>
        <v>119154.58647058824</v>
      </c>
      <c r="R107" s="17">
        <f t="shared" si="45"/>
        <v>888050.79882352939</v>
      </c>
      <c r="S107" s="17">
        <f t="shared" si="49"/>
        <v>1007205.3852941176</v>
      </c>
      <c r="T107" s="17">
        <f t="shared" si="50"/>
        <v>1307269.6147058825</v>
      </c>
      <c r="U107" s="39">
        <v>5.28E-2</v>
      </c>
      <c r="V107" s="1">
        <f t="shared" si="51"/>
        <v>89365.939852941185</v>
      </c>
      <c r="W107" s="17">
        <v>119154.58647058823</v>
      </c>
      <c r="X107" s="40">
        <f t="shared" si="54"/>
        <v>10</v>
      </c>
      <c r="Y107" s="40">
        <f t="shared" si="52"/>
        <v>1191545.8647058825</v>
      </c>
      <c r="Z107" s="40">
        <f t="shared" si="53"/>
        <v>115723.75</v>
      </c>
      <c r="AA107" s="25">
        <f t="shared" si="55"/>
        <v>0</v>
      </c>
    </row>
    <row r="108" spans="2:27" x14ac:dyDescent="0.2">
      <c r="B108" s="35"/>
      <c r="C108" s="36" t="s">
        <v>95</v>
      </c>
      <c r="D108" s="37" t="s">
        <v>23</v>
      </c>
      <c r="E108" s="37"/>
      <c r="F108" s="17">
        <v>70235</v>
      </c>
      <c r="G108" s="17"/>
      <c r="H108" s="17"/>
      <c r="I108" s="38">
        <f t="shared" si="56"/>
        <v>70235</v>
      </c>
      <c r="J108" s="17"/>
      <c r="K108" s="16">
        <v>28091.999294117646</v>
      </c>
      <c r="L108" s="16">
        <f t="shared" si="46"/>
        <v>28091.999294117646</v>
      </c>
      <c r="M108" s="17">
        <f t="shared" si="47"/>
        <v>42143.000705882354</v>
      </c>
      <c r="N108" s="17">
        <f t="shared" si="44"/>
        <v>3511.75</v>
      </c>
      <c r="O108" s="17">
        <f t="shared" si="48"/>
        <v>38631.250705882354</v>
      </c>
      <c r="P108" s="36">
        <v>11</v>
      </c>
      <c r="Q108" s="17">
        <f t="shared" si="57"/>
        <v>3511.9318823529411</v>
      </c>
      <c r="R108" s="17">
        <f t="shared" si="45"/>
        <v>28091.999294117646</v>
      </c>
      <c r="S108" s="17">
        <f t="shared" si="49"/>
        <v>31603.931176470585</v>
      </c>
      <c r="T108" s="17">
        <f t="shared" si="50"/>
        <v>38631.068823529415</v>
      </c>
      <c r="U108" s="39">
        <v>5.28E-2</v>
      </c>
      <c r="V108" s="1">
        <f t="shared" si="51"/>
        <v>2633.9489117647058</v>
      </c>
      <c r="W108" s="17">
        <v>3511.9318823529416</v>
      </c>
      <c r="X108" s="40">
        <f t="shared" si="54"/>
        <v>10</v>
      </c>
      <c r="Y108" s="40">
        <f t="shared" si="52"/>
        <v>35119.318823529407</v>
      </c>
      <c r="Z108" s="40">
        <f t="shared" si="53"/>
        <v>3511.7500000000073</v>
      </c>
      <c r="AA108" s="25">
        <f t="shared" si="55"/>
        <v>-7.2759576141834259E-12</v>
      </c>
    </row>
    <row r="109" spans="2:27" x14ac:dyDescent="0.2">
      <c r="B109" s="35"/>
      <c r="C109" s="36" t="s">
        <v>104</v>
      </c>
      <c r="D109" s="37" t="s">
        <v>23</v>
      </c>
      <c r="E109" s="37"/>
      <c r="F109" s="17">
        <v>23187.94</v>
      </c>
      <c r="G109" s="17"/>
      <c r="H109" s="17"/>
      <c r="I109" s="38">
        <f t="shared" si="56"/>
        <v>23187.94</v>
      </c>
      <c r="J109" s="17"/>
      <c r="K109" s="16">
        <v>8566.9890324705866</v>
      </c>
      <c r="L109" s="16">
        <f t="shared" si="46"/>
        <v>8566.9890324705866</v>
      </c>
      <c r="M109" s="17">
        <f t="shared" si="47"/>
        <v>14620.950967529412</v>
      </c>
      <c r="N109" s="17">
        <f t="shared" si="44"/>
        <v>1159.3969999999999</v>
      </c>
      <c r="O109" s="17">
        <f t="shared" si="48"/>
        <v>13461.553967529413</v>
      </c>
      <c r="P109" s="36">
        <v>11</v>
      </c>
      <c r="Q109" s="17">
        <f t="shared" si="57"/>
        <v>1223.7776334117648</v>
      </c>
      <c r="R109" s="17">
        <f t="shared" si="45"/>
        <v>8566.9890324705866</v>
      </c>
      <c r="S109" s="17">
        <f t="shared" si="49"/>
        <v>9790.7666658823509</v>
      </c>
      <c r="T109" s="17">
        <f t="shared" si="50"/>
        <v>13397.173334117648</v>
      </c>
      <c r="U109" s="39">
        <v>5.28E-2</v>
      </c>
      <c r="V109" s="1">
        <f t="shared" si="51"/>
        <v>917.83322505882359</v>
      </c>
      <c r="W109" s="17">
        <v>1223.7776334117646</v>
      </c>
      <c r="X109" s="40">
        <f t="shared" si="54"/>
        <v>10</v>
      </c>
      <c r="Y109" s="40">
        <f t="shared" si="52"/>
        <v>12237.776334117647</v>
      </c>
      <c r="Z109" s="40">
        <f t="shared" si="53"/>
        <v>1159.3970000000008</v>
      </c>
      <c r="AA109" s="25">
        <f t="shared" si="55"/>
        <v>0</v>
      </c>
    </row>
    <row r="110" spans="2:27" s="141" customFormat="1" x14ac:dyDescent="0.2">
      <c r="B110" s="134"/>
      <c r="C110" s="91" t="s">
        <v>105</v>
      </c>
      <c r="D110" s="135" t="s">
        <v>23</v>
      </c>
      <c r="E110" s="135"/>
      <c r="F110" s="45">
        <v>-15180</v>
      </c>
      <c r="G110" s="45"/>
      <c r="H110" s="45">
        <v>0</v>
      </c>
      <c r="I110" s="136">
        <f t="shared" si="56"/>
        <v>-15180</v>
      </c>
      <c r="J110" s="45"/>
      <c r="K110" s="44">
        <v>-5608.3849411764704</v>
      </c>
      <c r="L110" s="44">
        <f t="shared" si="46"/>
        <v>-5608.3849411764704</v>
      </c>
      <c r="M110" s="45">
        <f t="shared" si="47"/>
        <v>-9571.6150588235287</v>
      </c>
      <c r="N110" s="45">
        <f t="shared" si="44"/>
        <v>-759</v>
      </c>
      <c r="O110" s="45">
        <f t="shared" si="48"/>
        <v>-8812.6150588235287</v>
      </c>
      <c r="P110" s="91">
        <v>11</v>
      </c>
      <c r="Q110" s="45">
        <f>ROUND(0,(+O110/P110))</f>
        <v>0</v>
      </c>
      <c r="R110" s="45">
        <f t="shared" si="45"/>
        <v>-5608.3849411764704</v>
      </c>
      <c r="S110" s="45">
        <f t="shared" si="49"/>
        <v>-5608.3849411764704</v>
      </c>
      <c r="T110" s="45">
        <v>0</v>
      </c>
      <c r="U110" s="137">
        <v>5.28E-2</v>
      </c>
      <c r="V110" s="138">
        <f t="shared" si="51"/>
        <v>0</v>
      </c>
      <c r="W110" s="45">
        <v>-801.14682352941168</v>
      </c>
      <c r="X110" s="139">
        <f t="shared" si="54"/>
        <v>10</v>
      </c>
      <c r="Y110" s="139">
        <f t="shared" si="52"/>
        <v>0</v>
      </c>
      <c r="Z110" s="139">
        <f t="shared" si="53"/>
        <v>0</v>
      </c>
      <c r="AA110" s="140">
        <f t="shared" si="55"/>
        <v>-759</v>
      </c>
    </row>
    <row r="111" spans="2:27" x14ac:dyDescent="0.2">
      <c r="B111" s="35"/>
      <c r="C111" s="36" t="s">
        <v>106</v>
      </c>
      <c r="D111" s="37" t="s">
        <v>23</v>
      </c>
      <c r="E111" s="37"/>
      <c r="F111" s="17">
        <v>19159</v>
      </c>
      <c r="G111" s="17"/>
      <c r="H111" s="17"/>
      <c r="I111" s="38">
        <f t="shared" si="56"/>
        <v>19159</v>
      </c>
      <c r="J111" s="17"/>
      <c r="K111" s="16">
        <v>7078.4616000000005</v>
      </c>
      <c r="L111" s="16">
        <f t="shared" si="46"/>
        <v>7078.4616000000005</v>
      </c>
      <c r="M111" s="17">
        <f t="shared" si="47"/>
        <v>12080.538399999999</v>
      </c>
      <c r="N111" s="17">
        <f t="shared" si="44"/>
        <v>957.95</v>
      </c>
      <c r="O111" s="17">
        <f t="shared" si="48"/>
        <v>11122.588399999999</v>
      </c>
      <c r="P111" s="36">
        <v>11</v>
      </c>
      <c r="Q111" s="17">
        <f t="shared" si="57"/>
        <v>1011.1443999999999</v>
      </c>
      <c r="R111" s="17">
        <f t="shared" si="45"/>
        <v>7078.4616000000005</v>
      </c>
      <c r="S111" s="17">
        <f t="shared" si="49"/>
        <v>8089.6060000000007</v>
      </c>
      <c r="T111" s="17">
        <f>+F111-S111</f>
        <v>11069.394</v>
      </c>
      <c r="U111" s="39">
        <v>5.28E-2</v>
      </c>
      <c r="V111" s="1">
        <f t="shared" si="51"/>
        <v>758.35829999999987</v>
      </c>
      <c r="W111" s="17">
        <v>1011.1444</v>
      </c>
      <c r="X111" s="40">
        <f t="shared" si="54"/>
        <v>10</v>
      </c>
      <c r="Y111" s="40">
        <f t="shared" si="52"/>
        <v>10111.444</v>
      </c>
      <c r="Z111" s="40">
        <f t="shared" si="53"/>
        <v>957.95000000000073</v>
      </c>
      <c r="AA111" s="25">
        <f t="shared" si="55"/>
        <v>0</v>
      </c>
    </row>
    <row r="112" spans="2:27" s="141" customFormat="1" x14ac:dyDescent="0.2">
      <c r="B112" s="134"/>
      <c r="C112" s="91" t="s">
        <v>107</v>
      </c>
      <c r="D112" s="135" t="s">
        <v>23</v>
      </c>
      <c r="E112" s="135"/>
      <c r="F112" s="45">
        <v>-110880</v>
      </c>
      <c r="G112" s="45"/>
      <c r="H112" s="45">
        <v>0</v>
      </c>
      <c r="I112" s="136">
        <f t="shared" si="56"/>
        <v>-110880</v>
      </c>
      <c r="J112" s="45"/>
      <c r="K112" s="44">
        <v>-40965.594352941182</v>
      </c>
      <c r="L112" s="44">
        <f t="shared" si="46"/>
        <v>-40965.594352941182</v>
      </c>
      <c r="M112" s="45">
        <f t="shared" si="47"/>
        <v>-69914.405647058826</v>
      </c>
      <c r="N112" s="45">
        <f t="shared" si="44"/>
        <v>-5544</v>
      </c>
      <c r="O112" s="45">
        <f t="shared" si="48"/>
        <v>-64370.405647058826</v>
      </c>
      <c r="P112" s="91">
        <v>11</v>
      </c>
      <c r="Q112" s="45">
        <f>ROUND(0,(+O112/P112))</f>
        <v>0</v>
      </c>
      <c r="R112" s="45">
        <f t="shared" si="45"/>
        <v>-40965.594352941182</v>
      </c>
      <c r="S112" s="45">
        <f t="shared" si="49"/>
        <v>-40965.594352941182</v>
      </c>
      <c r="T112" s="45">
        <v>0</v>
      </c>
      <c r="U112" s="137">
        <v>5.28E-2</v>
      </c>
      <c r="V112" s="138">
        <f t="shared" si="51"/>
        <v>0</v>
      </c>
      <c r="W112" s="45">
        <v>-5851.8550588235294</v>
      </c>
      <c r="X112" s="139">
        <f t="shared" si="54"/>
        <v>10</v>
      </c>
      <c r="Y112" s="139">
        <f t="shared" si="52"/>
        <v>0</v>
      </c>
      <c r="Z112" s="139">
        <f t="shared" si="53"/>
        <v>0</v>
      </c>
      <c r="AA112" s="140">
        <f t="shared" si="55"/>
        <v>-5544</v>
      </c>
    </row>
    <row r="113" spans="2:27" s="141" customFormat="1" x14ac:dyDescent="0.2">
      <c r="B113" s="134"/>
      <c r="C113" s="91" t="s">
        <v>108</v>
      </c>
      <c r="D113" s="135" t="s">
        <v>23</v>
      </c>
      <c r="E113" s="135"/>
      <c r="F113" s="45">
        <v>-34041.160000000003</v>
      </c>
      <c r="G113" s="45"/>
      <c r="H113" s="45">
        <v>0</v>
      </c>
      <c r="I113" s="136">
        <f t="shared" si="56"/>
        <v>-34041.160000000003</v>
      </c>
      <c r="J113" s="45"/>
      <c r="K113" s="44">
        <v>-12576.80692517647</v>
      </c>
      <c r="L113" s="44">
        <f t="shared" si="46"/>
        <v>-12576.80692517647</v>
      </c>
      <c r="M113" s="45">
        <f t="shared" si="47"/>
        <v>-21464.353074823535</v>
      </c>
      <c r="N113" s="45">
        <f t="shared" si="44"/>
        <v>-1702.0580000000002</v>
      </c>
      <c r="O113" s="45">
        <f t="shared" si="48"/>
        <v>-19762.295074823534</v>
      </c>
      <c r="P113" s="91">
        <v>11</v>
      </c>
      <c r="Q113" s="45">
        <f>ROUND(0,(+O113/P113))</f>
        <v>0</v>
      </c>
      <c r="R113" s="45">
        <f t="shared" si="45"/>
        <v>-12576.80692517647</v>
      </c>
      <c r="S113" s="45">
        <f t="shared" si="49"/>
        <v>-12576.80692517647</v>
      </c>
      <c r="T113" s="45">
        <v>0</v>
      </c>
      <c r="U113" s="137">
        <v>5.28E-2</v>
      </c>
      <c r="V113" s="138">
        <f t="shared" si="51"/>
        <v>0</v>
      </c>
      <c r="W113" s="45">
        <v>-1796.5722795294118</v>
      </c>
      <c r="X113" s="139">
        <f t="shared" si="54"/>
        <v>10</v>
      </c>
      <c r="Y113" s="139">
        <f t="shared" si="52"/>
        <v>0</v>
      </c>
      <c r="Z113" s="139">
        <f t="shared" si="53"/>
        <v>0</v>
      </c>
      <c r="AA113" s="140">
        <f t="shared" si="55"/>
        <v>-1702.0580000000002</v>
      </c>
    </row>
    <row r="114" spans="2:27" s="141" customFormat="1" x14ac:dyDescent="0.2">
      <c r="B114" s="134"/>
      <c r="C114" s="91" t="s">
        <v>109</v>
      </c>
      <c r="D114" s="135" t="s">
        <v>23</v>
      </c>
      <c r="E114" s="135"/>
      <c r="F114" s="45">
        <v>-4751.2</v>
      </c>
      <c r="G114" s="45"/>
      <c r="H114" s="45">
        <v>0</v>
      </c>
      <c r="I114" s="136">
        <f t="shared" si="56"/>
        <v>-4751.2</v>
      </c>
      <c r="J114" s="45"/>
      <c r="K114" s="44">
        <v>-1755.3727623529412</v>
      </c>
      <c r="L114" s="44">
        <f t="shared" si="46"/>
        <v>-1755.3727623529412</v>
      </c>
      <c r="M114" s="45">
        <f t="shared" si="47"/>
        <v>-2995.8272376470586</v>
      </c>
      <c r="N114" s="45">
        <f t="shared" si="44"/>
        <v>-237.56</v>
      </c>
      <c r="O114" s="45">
        <f t="shared" si="48"/>
        <v>-2758.2672376470587</v>
      </c>
      <c r="P114" s="91">
        <v>11</v>
      </c>
      <c r="Q114" s="45">
        <f>ROUND(0,(+O114/P114))</f>
        <v>0</v>
      </c>
      <c r="R114" s="45">
        <f t="shared" si="45"/>
        <v>-1755.3727623529412</v>
      </c>
      <c r="S114" s="45">
        <f t="shared" si="49"/>
        <v>-1755.3727623529412</v>
      </c>
      <c r="T114" s="45">
        <v>0</v>
      </c>
      <c r="U114" s="137">
        <v>5.28E-2</v>
      </c>
      <c r="V114" s="138">
        <f t="shared" si="51"/>
        <v>0</v>
      </c>
      <c r="W114" s="45">
        <v>-250.75156705882347</v>
      </c>
      <c r="X114" s="139">
        <f t="shared" si="54"/>
        <v>10</v>
      </c>
      <c r="Y114" s="139">
        <f t="shared" si="52"/>
        <v>0</v>
      </c>
      <c r="Z114" s="139">
        <f t="shared" si="53"/>
        <v>0</v>
      </c>
      <c r="AA114" s="140">
        <f t="shared" si="55"/>
        <v>-237.56</v>
      </c>
    </row>
    <row r="115" spans="2:27" x14ac:dyDescent="0.2">
      <c r="B115" s="35"/>
      <c r="C115" s="36" t="s">
        <v>102</v>
      </c>
      <c r="D115" s="37" t="s">
        <v>25</v>
      </c>
      <c r="E115" s="37"/>
      <c r="F115" s="17">
        <v>4596786</v>
      </c>
      <c r="G115" s="17"/>
      <c r="H115" s="17"/>
      <c r="I115" s="38">
        <f t="shared" si="56"/>
        <v>4596786</v>
      </c>
      <c r="J115" s="17"/>
      <c r="K115" s="16">
        <v>1563519.5666666669</v>
      </c>
      <c r="L115" s="16">
        <f t="shared" si="46"/>
        <v>1563519.5666666669</v>
      </c>
      <c r="M115" s="17">
        <f t="shared" si="47"/>
        <v>3033266.4333333331</v>
      </c>
      <c r="N115" s="17">
        <f t="shared" si="44"/>
        <v>229839.30000000002</v>
      </c>
      <c r="O115" s="17">
        <f t="shared" si="48"/>
        <v>2803427.1333333333</v>
      </c>
      <c r="P115" s="36">
        <v>12</v>
      </c>
      <c r="Q115" s="17">
        <f t="shared" si="57"/>
        <v>233618.92777777778</v>
      </c>
      <c r="R115" s="17">
        <f t="shared" si="45"/>
        <v>1563519.5666666669</v>
      </c>
      <c r="S115" s="17">
        <f t="shared" si="49"/>
        <v>1797138.4944444448</v>
      </c>
      <c r="T115" s="17">
        <f t="shared" ref="T115:T121" si="58">+F115-S115</f>
        <v>2799647.5055555552</v>
      </c>
      <c r="U115" s="39">
        <v>5.28E-2</v>
      </c>
      <c r="V115" s="1">
        <f t="shared" si="51"/>
        <v>175214.19583333333</v>
      </c>
      <c r="W115" s="17">
        <v>233618.92777777778</v>
      </c>
      <c r="X115" s="40">
        <f t="shared" si="54"/>
        <v>11</v>
      </c>
      <c r="Y115" s="40">
        <f t="shared" si="52"/>
        <v>2569808.2055555554</v>
      </c>
      <c r="Z115" s="40">
        <f t="shared" si="53"/>
        <v>229839.29999999981</v>
      </c>
      <c r="AA115" s="25">
        <f t="shared" si="55"/>
        <v>0</v>
      </c>
    </row>
    <row r="116" spans="2:27" x14ac:dyDescent="0.2">
      <c r="B116" s="35"/>
      <c r="C116" s="36" t="s">
        <v>110</v>
      </c>
      <c r="D116" s="37" t="s">
        <v>25</v>
      </c>
      <c r="E116" s="37"/>
      <c r="F116" s="17">
        <v>849335.82</v>
      </c>
      <c r="G116" s="17"/>
      <c r="H116" s="17"/>
      <c r="I116" s="38">
        <f t="shared" si="56"/>
        <v>849335.82</v>
      </c>
      <c r="J116" s="17"/>
      <c r="K116" s="16">
        <v>272992.34299999999</v>
      </c>
      <c r="L116" s="16">
        <f t="shared" si="46"/>
        <v>272992.34299999999</v>
      </c>
      <c r="M116" s="17">
        <f t="shared" si="47"/>
        <v>576343.47699999996</v>
      </c>
      <c r="N116" s="17">
        <f t="shared" si="44"/>
        <v>42466.790999999997</v>
      </c>
      <c r="O116" s="17">
        <f t="shared" si="48"/>
        <v>533876.68599999999</v>
      </c>
      <c r="P116" s="36">
        <v>12</v>
      </c>
      <c r="Q116" s="17">
        <f t="shared" si="57"/>
        <v>44489.72383333333</v>
      </c>
      <c r="R116" s="17">
        <f t="shared" si="45"/>
        <v>272992.34299999999</v>
      </c>
      <c r="S116" s="17">
        <f t="shared" si="49"/>
        <v>317482.06683333335</v>
      </c>
      <c r="T116" s="17">
        <f t="shared" si="58"/>
        <v>531853.7531666666</v>
      </c>
      <c r="U116" s="39">
        <v>5.28E-2</v>
      </c>
      <c r="V116" s="1">
        <f t="shared" si="51"/>
        <v>33367.292874999999</v>
      </c>
      <c r="W116" s="17">
        <v>44489.72383333333</v>
      </c>
      <c r="X116" s="40">
        <f t="shared" si="54"/>
        <v>11</v>
      </c>
      <c r="Y116" s="40">
        <f t="shared" si="52"/>
        <v>489386.96216666664</v>
      </c>
      <c r="Z116" s="40">
        <f t="shared" si="53"/>
        <v>42466.790999999968</v>
      </c>
      <c r="AA116" s="25">
        <f t="shared" si="55"/>
        <v>0</v>
      </c>
    </row>
    <row r="117" spans="2:27" x14ac:dyDescent="0.2">
      <c r="B117" s="35"/>
      <c r="C117" s="36" t="s">
        <v>111</v>
      </c>
      <c r="D117" s="37" t="s">
        <v>25</v>
      </c>
      <c r="E117" s="37"/>
      <c r="F117" s="17">
        <v>84150</v>
      </c>
      <c r="G117" s="17"/>
      <c r="H117" s="17"/>
      <c r="I117" s="38">
        <f t="shared" si="56"/>
        <v>84150</v>
      </c>
      <c r="J117" s="17"/>
      <c r="K117" s="16">
        <v>28128.833333333328</v>
      </c>
      <c r="L117" s="16">
        <f t="shared" si="46"/>
        <v>28128.833333333328</v>
      </c>
      <c r="M117" s="17">
        <f t="shared" si="47"/>
        <v>56021.166666666672</v>
      </c>
      <c r="N117" s="17">
        <f t="shared" si="44"/>
        <v>4207.5</v>
      </c>
      <c r="O117" s="17">
        <f t="shared" si="48"/>
        <v>51813.666666666672</v>
      </c>
      <c r="P117" s="36">
        <v>12</v>
      </c>
      <c r="Q117" s="17">
        <f t="shared" si="57"/>
        <v>4317.8055555555557</v>
      </c>
      <c r="R117" s="17">
        <f t="shared" si="45"/>
        <v>28128.833333333328</v>
      </c>
      <c r="S117" s="17">
        <f t="shared" si="49"/>
        <v>32446.638888888883</v>
      </c>
      <c r="T117" s="17">
        <f t="shared" si="58"/>
        <v>51703.361111111117</v>
      </c>
      <c r="U117" s="39">
        <v>5.28E-2</v>
      </c>
      <c r="V117" s="1">
        <f t="shared" si="51"/>
        <v>3238.354166666667</v>
      </c>
      <c r="W117" s="17">
        <v>4317.8055555555557</v>
      </c>
      <c r="X117" s="40">
        <f t="shared" si="54"/>
        <v>11</v>
      </c>
      <c r="Y117" s="40">
        <f t="shared" si="52"/>
        <v>47495.861111111109</v>
      </c>
      <c r="Z117" s="40">
        <f t="shared" si="53"/>
        <v>4207.5000000000073</v>
      </c>
      <c r="AA117" s="25">
        <f t="shared" si="55"/>
        <v>-7.2759576141834259E-12</v>
      </c>
    </row>
    <row r="118" spans="2:27" x14ac:dyDescent="0.2">
      <c r="B118" s="35"/>
      <c r="C118" s="36" t="s">
        <v>112</v>
      </c>
      <c r="D118" s="37" t="s">
        <v>25</v>
      </c>
      <c r="E118" s="37"/>
      <c r="F118" s="17">
        <v>350961.12</v>
      </c>
      <c r="G118" s="17"/>
      <c r="H118" s="17"/>
      <c r="I118" s="38">
        <f t="shared" si="56"/>
        <v>350961.12</v>
      </c>
      <c r="J118" s="17"/>
      <c r="K118" s="16">
        <v>117314.35466666665</v>
      </c>
      <c r="L118" s="16">
        <f t="shared" si="46"/>
        <v>117314.35466666665</v>
      </c>
      <c r="M118" s="17">
        <f t="shared" si="47"/>
        <v>233646.76533333334</v>
      </c>
      <c r="N118" s="17">
        <f t="shared" si="44"/>
        <v>17548.056</v>
      </c>
      <c r="O118" s="17">
        <f t="shared" si="48"/>
        <v>216098.70933333333</v>
      </c>
      <c r="P118" s="36">
        <v>12</v>
      </c>
      <c r="Q118" s="17">
        <f t="shared" si="57"/>
        <v>18008.225777777778</v>
      </c>
      <c r="R118" s="17">
        <f t="shared" si="45"/>
        <v>117314.35466666665</v>
      </c>
      <c r="S118" s="17">
        <f t="shared" si="49"/>
        <v>135322.58044444444</v>
      </c>
      <c r="T118" s="17">
        <f t="shared" si="58"/>
        <v>215638.53955555556</v>
      </c>
      <c r="U118" s="39">
        <v>5.28E-2</v>
      </c>
      <c r="V118" s="1">
        <f t="shared" si="51"/>
        <v>13506.169333333333</v>
      </c>
      <c r="W118" s="17">
        <v>18008.225777777778</v>
      </c>
      <c r="X118" s="40">
        <f t="shared" si="54"/>
        <v>11</v>
      </c>
      <c r="Y118" s="40">
        <f t="shared" si="52"/>
        <v>198090.48355555555</v>
      </c>
      <c r="Z118" s="40">
        <f t="shared" si="53"/>
        <v>17548.056000000011</v>
      </c>
      <c r="AA118" s="25">
        <f t="shared" si="55"/>
        <v>0</v>
      </c>
    </row>
    <row r="119" spans="2:27" x14ac:dyDescent="0.2">
      <c r="B119" s="35"/>
      <c r="C119" s="36" t="s">
        <v>106</v>
      </c>
      <c r="D119" s="37" t="s">
        <v>25</v>
      </c>
      <c r="E119" s="37"/>
      <c r="F119" s="17">
        <v>2834950</v>
      </c>
      <c r="G119" s="17"/>
      <c r="H119" s="17"/>
      <c r="I119" s="38">
        <f t="shared" si="56"/>
        <v>2834950</v>
      </c>
      <c r="J119" s="17"/>
      <c r="K119" s="16">
        <v>897734.16666666674</v>
      </c>
      <c r="L119" s="16">
        <f t="shared" si="46"/>
        <v>897734.16666666674</v>
      </c>
      <c r="M119" s="17">
        <f t="shared" si="47"/>
        <v>1937215.8333333333</v>
      </c>
      <c r="N119" s="17">
        <f t="shared" si="44"/>
        <v>141747.5</v>
      </c>
      <c r="O119" s="17">
        <f t="shared" si="48"/>
        <v>1795468.3333333333</v>
      </c>
      <c r="P119" s="36">
        <v>12</v>
      </c>
      <c r="Q119" s="17">
        <f t="shared" si="57"/>
        <v>149622.36111111109</v>
      </c>
      <c r="R119" s="17">
        <f t="shared" si="45"/>
        <v>897734.16666666674</v>
      </c>
      <c r="S119" s="17">
        <f t="shared" si="49"/>
        <v>1047356.5277777779</v>
      </c>
      <c r="T119" s="17">
        <f t="shared" si="58"/>
        <v>1787593.472222222</v>
      </c>
      <c r="U119" s="39">
        <v>5.28E-2</v>
      </c>
      <c r="V119" s="1">
        <f t="shared" si="51"/>
        <v>112216.77083333331</v>
      </c>
      <c r="W119" s="17">
        <v>149622.36111111112</v>
      </c>
      <c r="X119" s="40">
        <f t="shared" si="54"/>
        <v>11</v>
      </c>
      <c r="Y119" s="40">
        <f t="shared" si="52"/>
        <v>1645845.972222222</v>
      </c>
      <c r="Z119" s="40">
        <f t="shared" si="53"/>
        <v>141747.5</v>
      </c>
      <c r="AA119" s="25">
        <f t="shared" si="55"/>
        <v>0</v>
      </c>
    </row>
    <row r="120" spans="2:27" x14ac:dyDescent="0.2">
      <c r="B120" s="35"/>
      <c r="C120" s="36" t="s">
        <v>108</v>
      </c>
      <c r="D120" s="37" t="s">
        <v>25</v>
      </c>
      <c r="E120" s="37"/>
      <c r="F120" s="17">
        <v>57654</v>
      </c>
      <c r="G120" s="17"/>
      <c r="H120" s="17"/>
      <c r="I120" s="38">
        <f t="shared" si="56"/>
        <v>57654</v>
      </c>
      <c r="J120" s="17"/>
      <c r="K120" s="16">
        <v>18257.100000000002</v>
      </c>
      <c r="L120" s="16">
        <f t="shared" si="46"/>
        <v>18257.100000000002</v>
      </c>
      <c r="M120" s="17">
        <f t="shared" si="47"/>
        <v>39396.899999999994</v>
      </c>
      <c r="N120" s="17">
        <f t="shared" si="44"/>
        <v>2882.7000000000003</v>
      </c>
      <c r="O120" s="17">
        <f t="shared" si="48"/>
        <v>36514.199999999997</v>
      </c>
      <c r="P120" s="36">
        <v>12</v>
      </c>
      <c r="Q120" s="17">
        <f t="shared" si="57"/>
        <v>3042.85</v>
      </c>
      <c r="R120" s="17">
        <f t="shared" si="45"/>
        <v>18257.100000000002</v>
      </c>
      <c r="S120" s="17">
        <f t="shared" si="49"/>
        <v>21299.95</v>
      </c>
      <c r="T120" s="17">
        <f t="shared" si="58"/>
        <v>36354.050000000003</v>
      </c>
      <c r="U120" s="39">
        <v>5.28E-2</v>
      </c>
      <c r="V120" s="1">
        <f t="shared" si="51"/>
        <v>2282.1374999999998</v>
      </c>
      <c r="W120" s="17">
        <v>3042.8500000000004</v>
      </c>
      <c r="X120" s="40">
        <f t="shared" si="54"/>
        <v>11</v>
      </c>
      <c r="Y120" s="40">
        <f t="shared" si="52"/>
        <v>33471.35</v>
      </c>
      <c r="Z120" s="40">
        <f t="shared" si="53"/>
        <v>2882.7000000000044</v>
      </c>
      <c r="AA120" s="25">
        <f t="shared" si="55"/>
        <v>-4.0927261579781771E-12</v>
      </c>
    </row>
    <row r="121" spans="2:27" x14ac:dyDescent="0.2">
      <c r="B121" s="35"/>
      <c r="C121" s="36" t="s">
        <v>101</v>
      </c>
      <c r="D121" s="37" t="s">
        <v>25</v>
      </c>
      <c r="E121" s="37"/>
      <c r="F121" s="17">
        <v>379699.4</v>
      </c>
      <c r="G121" s="17"/>
      <c r="H121" s="17"/>
      <c r="I121" s="38">
        <f t="shared" si="56"/>
        <v>379699.4</v>
      </c>
      <c r="J121" s="17"/>
      <c r="K121" s="16">
        <v>120238.14333333334</v>
      </c>
      <c r="L121" s="16">
        <f t="shared" si="46"/>
        <v>120238.14333333334</v>
      </c>
      <c r="M121" s="17">
        <f t="shared" si="47"/>
        <v>259461.25666666668</v>
      </c>
      <c r="N121" s="17">
        <f t="shared" si="44"/>
        <v>18984.97</v>
      </c>
      <c r="O121" s="17">
        <f t="shared" si="48"/>
        <v>240476.28666666668</v>
      </c>
      <c r="P121" s="36">
        <v>12</v>
      </c>
      <c r="Q121" s="17">
        <f t="shared" si="57"/>
        <v>20039.690555555557</v>
      </c>
      <c r="R121" s="17">
        <f t="shared" si="45"/>
        <v>120238.14333333334</v>
      </c>
      <c r="S121" s="17">
        <f t="shared" si="49"/>
        <v>140277.83388888888</v>
      </c>
      <c r="T121" s="17">
        <f t="shared" si="58"/>
        <v>239421.56611111114</v>
      </c>
      <c r="U121" s="39">
        <v>5.28E-2</v>
      </c>
      <c r="V121" s="1">
        <f t="shared" si="51"/>
        <v>15029.767916666668</v>
      </c>
      <c r="W121" s="17">
        <v>20039.690555555557</v>
      </c>
      <c r="X121" s="40">
        <f t="shared" si="54"/>
        <v>11</v>
      </c>
      <c r="Y121" s="40">
        <f t="shared" si="52"/>
        <v>220436.59611111111</v>
      </c>
      <c r="Z121" s="40">
        <f t="shared" si="53"/>
        <v>18984.97000000003</v>
      </c>
      <c r="AA121" s="25">
        <f t="shared" si="55"/>
        <v>-2.9103830456733704E-11</v>
      </c>
    </row>
    <row r="122" spans="2:27" s="141" customFormat="1" x14ac:dyDescent="0.2">
      <c r="B122" s="134"/>
      <c r="C122" s="91" t="s">
        <v>113</v>
      </c>
      <c r="D122" s="135" t="s">
        <v>26</v>
      </c>
      <c r="E122" s="135"/>
      <c r="F122" s="45">
        <v>-342851.52</v>
      </c>
      <c r="G122" s="45"/>
      <c r="H122" s="45">
        <v>0</v>
      </c>
      <c r="I122" s="136">
        <f t="shared" si="56"/>
        <v>-342851.52</v>
      </c>
      <c r="J122" s="45"/>
      <c r="K122" s="44">
        <v>-101743.23377777779</v>
      </c>
      <c r="L122" s="44">
        <f t="shared" si="46"/>
        <v>-101743.23377777779</v>
      </c>
      <c r="M122" s="45">
        <f t="shared" si="47"/>
        <v>-241108.28622222223</v>
      </c>
      <c r="N122" s="45">
        <f t="shared" si="44"/>
        <v>-17142.576000000001</v>
      </c>
      <c r="O122" s="45">
        <f t="shared" si="48"/>
        <v>-223965.71022222223</v>
      </c>
      <c r="P122" s="91">
        <v>13</v>
      </c>
      <c r="Q122" s="45">
        <f>ROUND(0,(+O122/P122))</f>
        <v>0</v>
      </c>
      <c r="R122" s="45">
        <f t="shared" si="45"/>
        <v>-101743.23377777779</v>
      </c>
      <c r="S122" s="45">
        <f t="shared" si="49"/>
        <v>-101743.23377777779</v>
      </c>
      <c r="T122" s="45">
        <v>0</v>
      </c>
      <c r="U122" s="137">
        <v>5.28E-2</v>
      </c>
      <c r="V122" s="138">
        <f t="shared" si="51"/>
        <v>0</v>
      </c>
      <c r="W122" s="45">
        <v>-17142.576000000001</v>
      </c>
      <c r="X122" s="139">
        <f t="shared" si="54"/>
        <v>12</v>
      </c>
      <c r="Y122" s="139">
        <f t="shared" si="52"/>
        <v>0</v>
      </c>
      <c r="Z122" s="139">
        <f t="shared" si="53"/>
        <v>0</v>
      </c>
      <c r="AA122" s="140">
        <f t="shared" si="55"/>
        <v>-17142.576000000001</v>
      </c>
    </row>
    <row r="123" spans="2:27" s="141" customFormat="1" x14ac:dyDescent="0.2">
      <c r="B123" s="134"/>
      <c r="C123" s="91" t="s">
        <v>114</v>
      </c>
      <c r="D123" s="135" t="s">
        <v>26</v>
      </c>
      <c r="E123" s="135"/>
      <c r="F123" s="45">
        <v>-749009</v>
      </c>
      <c r="G123" s="45"/>
      <c r="H123" s="45">
        <v>0</v>
      </c>
      <c r="I123" s="136">
        <f t="shared" si="56"/>
        <v>-749009</v>
      </c>
      <c r="J123" s="45"/>
      <c r="K123" s="44">
        <v>-224702.7</v>
      </c>
      <c r="L123" s="44">
        <f t="shared" si="46"/>
        <v>-224702.7</v>
      </c>
      <c r="M123" s="45">
        <f t="shared" si="47"/>
        <v>-524306.30000000005</v>
      </c>
      <c r="N123" s="45">
        <f t="shared" si="44"/>
        <v>-37450.450000000004</v>
      </c>
      <c r="O123" s="45">
        <f t="shared" si="48"/>
        <v>-486855.85000000003</v>
      </c>
      <c r="P123" s="91">
        <v>13</v>
      </c>
      <c r="Q123" s="45">
        <f>ROUND(0,(+O123/P123))</f>
        <v>0</v>
      </c>
      <c r="R123" s="45">
        <f t="shared" si="45"/>
        <v>-224702.7</v>
      </c>
      <c r="S123" s="45">
        <f t="shared" si="49"/>
        <v>-224702.7</v>
      </c>
      <c r="T123" s="45">
        <v>0</v>
      </c>
      <c r="U123" s="137">
        <v>5.28E-2</v>
      </c>
      <c r="V123" s="138">
        <f t="shared" si="51"/>
        <v>0</v>
      </c>
      <c r="W123" s="45">
        <v>-37450.450000000004</v>
      </c>
      <c r="X123" s="139">
        <f t="shared" si="54"/>
        <v>12</v>
      </c>
      <c r="Y123" s="139">
        <f t="shared" si="52"/>
        <v>0</v>
      </c>
      <c r="Z123" s="139">
        <f t="shared" si="53"/>
        <v>0</v>
      </c>
      <c r="AA123" s="140">
        <f t="shared" si="55"/>
        <v>-37450.450000000004</v>
      </c>
    </row>
    <row r="124" spans="2:27" s="141" customFormat="1" x14ac:dyDescent="0.2">
      <c r="B124" s="134"/>
      <c r="C124" s="91" t="s">
        <v>109</v>
      </c>
      <c r="D124" s="135" t="s">
        <v>26</v>
      </c>
      <c r="E124" s="135"/>
      <c r="F124" s="45">
        <f>-173279.69-1.42</f>
        <v>-173281.11000000002</v>
      </c>
      <c r="G124" s="45"/>
      <c r="H124" s="45">
        <v>0</v>
      </c>
      <c r="I124" s="136">
        <f t="shared" si="56"/>
        <v>-173281.11000000002</v>
      </c>
      <c r="J124" s="45"/>
      <c r="K124" s="44">
        <v>-51983.906999999999</v>
      </c>
      <c r="L124" s="44">
        <f t="shared" si="46"/>
        <v>-51983.906999999999</v>
      </c>
      <c r="M124" s="45">
        <f t="shared" si="47"/>
        <v>-121297.20300000001</v>
      </c>
      <c r="N124" s="45">
        <f t="shared" si="44"/>
        <v>-8664.0555000000004</v>
      </c>
      <c r="O124" s="45">
        <f t="shared" si="48"/>
        <v>-112633.14750000001</v>
      </c>
      <c r="P124" s="91">
        <v>13</v>
      </c>
      <c r="Q124" s="45">
        <f>ROUND(0,(+O124/P124))</f>
        <v>0</v>
      </c>
      <c r="R124" s="45">
        <f t="shared" si="45"/>
        <v>-51983.906999999999</v>
      </c>
      <c r="S124" s="45">
        <f t="shared" si="49"/>
        <v>-51983.906999999999</v>
      </c>
      <c r="T124" s="45">
        <v>0</v>
      </c>
      <c r="U124" s="137">
        <v>5.28E-2</v>
      </c>
      <c r="V124" s="138">
        <f t="shared" si="51"/>
        <v>0</v>
      </c>
      <c r="W124" s="45">
        <v>-8663.9845000000005</v>
      </c>
      <c r="X124" s="139">
        <f t="shared" si="54"/>
        <v>12</v>
      </c>
      <c r="Y124" s="139">
        <f t="shared" si="52"/>
        <v>0</v>
      </c>
      <c r="Z124" s="139">
        <f t="shared" si="53"/>
        <v>0</v>
      </c>
      <c r="AA124" s="140">
        <f t="shared" si="55"/>
        <v>-8664.0555000000004</v>
      </c>
    </row>
    <row r="125" spans="2:27" x14ac:dyDescent="0.2">
      <c r="B125" s="35"/>
      <c r="C125" s="36" t="s">
        <v>115</v>
      </c>
      <c r="D125" s="37" t="s">
        <v>27</v>
      </c>
      <c r="E125" s="37"/>
      <c r="F125" s="17">
        <v>518971.71</v>
      </c>
      <c r="G125" s="17"/>
      <c r="H125" s="17"/>
      <c r="I125" s="38">
        <f t="shared" si="56"/>
        <v>518971.71</v>
      </c>
      <c r="J125" s="17"/>
      <c r="K125" s="16">
        <v>129742.92750000001</v>
      </c>
      <c r="L125" s="16">
        <f t="shared" si="46"/>
        <v>129742.92750000001</v>
      </c>
      <c r="M125" s="17">
        <f t="shared" si="47"/>
        <v>389228.78250000003</v>
      </c>
      <c r="N125" s="17">
        <f t="shared" si="44"/>
        <v>25948.585500000001</v>
      </c>
      <c r="O125" s="17">
        <f t="shared" si="48"/>
        <v>363280.19700000004</v>
      </c>
      <c r="P125" s="36">
        <v>14</v>
      </c>
      <c r="Q125" s="17">
        <f t="shared" si="57"/>
        <v>25948.585500000005</v>
      </c>
      <c r="R125" s="17">
        <f t="shared" si="45"/>
        <v>129742.92750000001</v>
      </c>
      <c r="S125" s="17">
        <f t="shared" si="49"/>
        <v>155691.51300000001</v>
      </c>
      <c r="T125" s="17">
        <f>+F125-S125</f>
        <v>363280.19700000004</v>
      </c>
      <c r="U125" s="39"/>
      <c r="V125" s="1">
        <f t="shared" si="51"/>
        <v>19461.439125000004</v>
      </c>
      <c r="W125" s="17"/>
      <c r="X125" s="40">
        <f t="shared" si="54"/>
        <v>13</v>
      </c>
      <c r="Y125" s="40">
        <f t="shared" si="52"/>
        <v>337331.61150000006</v>
      </c>
      <c r="Z125" s="40">
        <f t="shared" si="53"/>
        <v>25948.585499999986</v>
      </c>
      <c r="AA125" s="25">
        <f t="shared" si="55"/>
        <v>0</v>
      </c>
    </row>
    <row r="126" spans="2:27" x14ac:dyDescent="0.2">
      <c r="B126" s="35"/>
      <c r="C126" s="36" t="s">
        <v>116</v>
      </c>
      <c r="D126" s="37" t="s">
        <v>27</v>
      </c>
      <c r="E126" s="37"/>
      <c r="F126" s="17">
        <v>105775</v>
      </c>
      <c r="G126" s="17"/>
      <c r="H126" s="17"/>
      <c r="I126" s="38">
        <f t="shared" si="56"/>
        <v>105775</v>
      </c>
      <c r="J126" s="17"/>
      <c r="K126" s="16">
        <v>26443.75</v>
      </c>
      <c r="L126" s="16">
        <f t="shared" si="46"/>
        <v>26443.75</v>
      </c>
      <c r="M126" s="17">
        <f t="shared" si="47"/>
        <v>79331.25</v>
      </c>
      <c r="N126" s="17">
        <f t="shared" si="44"/>
        <v>5288.75</v>
      </c>
      <c r="O126" s="17">
        <f t="shared" si="48"/>
        <v>74042.5</v>
      </c>
      <c r="P126" s="36">
        <v>14</v>
      </c>
      <c r="Q126" s="17">
        <f t="shared" si="57"/>
        <v>5288.75</v>
      </c>
      <c r="R126" s="17">
        <f t="shared" si="45"/>
        <v>26443.75</v>
      </c>
      <c r="S126" s="17">
        <f t="shared" si="49"/>
        <v>31732.5</v>
      </c>
      <c r="T126" s="17">
        <f>+F126-S126</f>
        <v>74042.5</v>
      </c>
      <c r="U126" s="39"/>
      <c r="V126" s="1">
        <f t="shared" si="51"/>
        <v>3966.5625</v>
      </c>
      <c r="W126" s="17"/>
      <c r="X126" s="40">
        <f t="shared" si="54"/>
        <v>13</v>
      </c>
      <c r="Y126" s="40">
        <f t="shared" si="52"/>
        <v>68753.75</v>
      </c>
      <c r="Z126" s="40">
        <f t="shared" si="53"/>
        <v>5288.75</v>
      </c>
      <c r="AA126" s="25">
        <f t="shared" si="55"/>
        <v>0</v>
      </c>
    </row>
    <row r="127" spans="2:27" x14ac:dyDescent="0.2">
      <c r="B127" s="35"/>
      <c r="C127" s="36" t="s">
        <v>115</v>
      </c>
      <c r="D127" s="37" t="s">
        <v>77</v>
      </c>
      <c r="E127" s="37"/>
      <c r="F127" s="17">
        <v>3791580</v>
      </c>
      <c r="G127" s="17"/>
      <c r="H127" s="17"/>
      <c r="I127" s="38">
        <f t="shared" si="56"/>
        <v>3791580</v>
      </c>
      <c r="J127" s="17">
        <v>0</v>
      </c>
      <c r="K127" s="16">
        <v>1458300</v>
      </c>
      <c r="L127" s="16">
        <f t="shared" si="46"/>
        <v>1458300</v>
      </c>
      <c r="M127" s="17">
        <f t="shared" si="47"/>
        <v>2333280</v>
      </c>
      <c r="N127" s="17">
        <f t="shared" si="44"/>
        <v>189579</v>
      </c>
      <c r="O127" s="17">
        <f t="shared" si="48"/>
        <v>2143701</v>
      </c>
      <c r="P127" s="36">
        <v>4.5</v>
      </c>
      <c r="Q127" s="17">
        <f t="shared" si="57"/>
        <v>476378</v>
      </c>
      <c r="R127" s="17">
        <f t="shared" si="45"/>
        <v>1458300</v>
      </c>
      <c r="S127" s="17">
        <f t="shared" si="49"/>
        <v>1934678</v>
      </c>
      <c r="T127" s="17">
        <f>+F127-S127</f>
        <v>1856902</v>
      </c>
      <c r="U127" s="39"/>
      <c r="V127" s="1">
        <f t="shared" si="51"/>
        <v>357283.5</v>
      </c>
      <c r="W127" s="17"/>
    </row>
    <row r="128" spans="2:27" x14ac:dyDescent="0.2">
      <c r="B128" s="35"/>
      <c r="C128" s="36" t="s">
        <v>109</v>
      </c>
      <c r="D128" s="37" t="s">
        <v>77</v>
      </c>
      <c r="E128" s="37"/>
      <c r="F128" s="17">
        <v>39155.440000000002</v>
      </c>
      <c r="G128" s="17"/>
      <c r="H128" s="17"/>
      <c r="I128" s="38">
        <f t="shared" si="56"/>
        <v>39155.440000000002</v>
      </c>
      <c r="J128" s="17">
        <v>0</v>
      </c>
      <c r="K128" s="16">
        <v>7439.5336000000007</v>
      </c>
      <c r="L128" s="16">
        <f t="shared" si="46"/>
        <v>7439.5336000000007</v>
      </c>
      <c r="M128" s="17">
        <f t="shared" si="47"/>
        <v>31715.9064</v>
      </c>
      <c r="N128" s="17">
        <f t="shared" si="44"/>
        <v>1957.7720000000002</v>
      </c>
      <c r="O128" s="17">
        <f t="shared" si="48"/>
        <v>29758.134399999999</v>
      </c>
      <c r="P128" s="36">
        <v>8</v>
      </c>
      <c r="Q128" s="17">
        <f t="shared" si="57"/>
        <v>3719.7667999999999</v>
      </c>
      <c r="R128" s="17">
        <f t="shared" si="45"/>
        <v>7439.5336000000007</v>
      </c>
      <c r="S128" s="17">
        <f t="shared" si="49"/>
        <v>11159.3004</v>
      </c>
      <c r="T128" s="17">
        <f>+F128-S128</f>
        <v>27996.139600000002</v>
      </c>
      <c r="U128" s="39"/>
      <c r="V128" s="1"/>
      <c r="W128" s="17"/>
    </row>
    <row r="129" spans="2:27" s="77" customFormat="1" x14ac:dyDescent="0.2">
      <c r="B129" s="74"/>
      <c r="C129" s="95"/>
      <c r="D129" s="96"/>
      <c r="E129" s="96"/>
      <c r="F129" s="27">
        <f t="shared" ref="F129:O129" si="59">SUM(F23:F128)</f>
        <v>283728254.90999997</v>
      </c>
      <c r="G129" s="27">
        <f t="shared" si="59"/>
        <v>0</v>
      </c>
      <c r="H129" s="27">
        <f t="shared" si="59"/>
        <v>0</v>
      </c>
      <c r="I129" s="27">
        <f t="shared" si="59"/>
        <v>283728254.90999997</v>
      </c>
      <c r="J129" s="27">
        <f t="shared" si="59"/>
        <v>0</v>
      </c>
      <c r="K129" s="27">
        <f t="shared" si="59"/>
        <v>175051554.00220972</v>
      </c>
      <c r="L129" s="27">
        <f t="shared" si="59"/>
        <v>120115316.12937032</v>
      </c>
      <c r="M129" s="27">
        <f t="shared" si="59"/>
        <v>104786910.78062968</v>
      </c>
      <c r="N129" s="27">
        <f t="shared" si="59"/>
        <v>14224855.595500002</v>
      </c>
      <c r="O129" s="27">
        <f t="shared" si="59"/>
        <v>149388083.18512967</v>
      </c>
      <c r="P129" s="27"/>
      <c r="Q129" s="97">
        <f>SUM(Q23:Q128)</f>
        <v>11728416.124877939</v>
      </c>
      <c r="R129" s="27">
        <f>SUM(R23:R128)</f>
        <v>162808865.00220972</v>
      </c>
      <c r="S129" s="27">
        <f>SUM(S23:S128)</f>
        <v>186779970.12708768</v>
      </c>
      <c r="T129" s="27">
        <f>SUM(T23:T128)</f>
        <v>97938942.773152903</v>
      </c>
      <c r="V129" s="98">
        <f>SUM(V23:V127)</f>
        <v>8149854.216812375</v>
      </c>
      <c r="W129" s="27">
        <v>12967400.920358922</v>
      </c>
      <c r="AA129" s="28"/>
    </row>
    <row r="130" spans="2:27" x14ac:dyDescent="0.2">
      <c r="B130" s="35"/>
      <c r="C130" s="72"/>
      <c r="F130" s="18">
        <v>283728254.91000003</v>
      </c>
      <c r="G130" s="18">
        <f>+F129-F130</f>
        <v>0</v>
      </c>
      <c r="H130" s="18"/>
      <c r="I130" s="19"/>
      <c r="J130" s="18"/>
      <c r="K130" s="25">
        <v>-119636034</v>
      </c>
      <c r="L130" s="19"/>
      <c r="M130" s="99"/>
      <c r="N130" s="36"/>
      <c r="O130" s="36"/>
      <c r="P130" s="36"/>
      <c r="Q130" s="17">
        <f>+Q129+142973</f>
        <v>11871389.124877939</v>
      </c>
      <c r="R130" s="17"/>
      <c r="S130" s="17">
        <v>-186630668</v>
      </c>
      <c r="T130" s="17"/>
      <c r="W130" s="17"/>
    </row>
    <row r="131" spans="2:27" x14ac:dyDescent="0.2">
      <c r="B131" s="35"/>
      <c r="C131" s="77" t="s">
        <v>117</v>
      </c>
      <c r="F131" s="18"/>
      <c r="G131" s="18"/>
      <c r="H131" s="18"/>
      <c r="I131" s="19"/>
      <c r="J131" s="18"/>
      <c r="K131" s="25">
        <v>-55415521</v>
      </c>
      <c r="L131" s="19"/>
      <c r="M131" s="99"/>
      <c r="N131" s="36"/>
      <c r="O131" s="36"/>
      <c r="P131" s="36"/>
      <c r="Q131" s="17"/>
      <c r="R131" s="17"/>
      <c r="S131" s="17"/>
      <c r="T131" s="17"/>
      <c r="W131" s="17"/>
    </row>
    <row r="132" spans="2:27" x14ac:dyDescent="0.2">
      <c r="B132" s="35"/>
      <c r="C132" s="36" t="s">
        <v>118</v>
      </c>
      <c r="D132" s="37" t="s">
        <v>21</v>
      </c>
      <c r="E132" s="37"/>
      <c r="F132" s="17">
        <v>16958</v>
      </c>
      <c r="G132" s="17"/>
      <c r="H132" s="17"/>
      <c r="I132" s="38">
        <f t="shared" ref="I132:I146" si="60">+F132+G132-H132</f>
        <v>16958</v>
      </c>
      <c r="J132" s="17"/>
      <c r="K132" s="16">
        <v>8458.3283199999987</v>
      </c>
      <c r="L132" s="16">
        <f t="shared" ref="L132:L144" si="61">+J132+K132</f>
        <v>8458.3283199999987</v>
      </c>
      <c r="M132" s="17">
        <f t="shared" ref="M132:M146" si="62">+I132-L132</f>
        <v>8499.6716800000013</v>
      </c>
      <c r="N132" s="17">
        <f t="shared" ref="N132:N144" si="63">+F132*0.05</f>
        <v>847.90000000000009</v>
      </c>
      <c r="O132" s="17">
        <f t="shared" ref="O132:O146" si="64">+I132-L132-N132</f>
        <v>7651.7716800000017</v>
      </c>
      <c r="P132" s="36">
        <v>9</v>
      </c>
      <c r="Q132" s="17">
        <f t="shared" ref="Q132:Q145" si="65">+O132/P132</f>
        <v>850.19685333333348</v>
      </c>
      <c r="R132" s="17">
        <f t="shared" ref="R132:R146" si="66">+K132</f>
        <v>8458.3283199999987</v>
      </c>
      <c r="S132" s="17">
        <f t="shared" ref="S132:S146" si="67">+Q132+R132</f>
        <v>9308.5251733333316</v>
      </c>
      <c r="T132" s="17">
        <f t="shared" ref="T132:T146" si="68">+F132-S132</f>
        <v>7649.4748266666684</v>
      </c>
      <c r="U132" s="39">
        <v>5.28E-2</v>
      </c>
      <c r="V132" s="1">
        <f t="shared" ref="V132:V146" si="69">+Q132/4*3</f>
        <v>637.64764000000014</v>
      </c>
      <c r="W132" s="17">
        <v>850.19685333333337</v>
      </c>
      <c r="X132" s="40">
        <f t="shared" ref="X132:X146" si="70">+P132-1</f>
        <v>8</v>
      </c>
      <c r="Y132" s="40">
        <f t="shared" ref="Y132:Y146" si="71">+Q132*X132</f>
        <v>6801.5748266666678</v>
      </c>
      <c r="Z132" s="40">
        <f t="shared" ref="Z132:Z145" si="72">+T132-Y132</f>
        <v>847.90000000000055</v>
      </c>
      <c r="AA132" s="25">
        <f t="shared" ref="AA132:AA145" si="73">+N132-Z132</f>
        <v>0</v>
      </c>
    </row>
    <row r="133" spans="2:27" x14ac:dyDescent="0.2">
      <c r="B133" s="35"/>
      <c r="C133" s="36" t="s">
        <v>119</v>
      </c>
      <c r="D133" s="37" t="s">
        <v>21</v>
      </c>
      <c r="E133" s="37"/>
      <c r="F133" s="17">
        <v>34823.99</v>
      </c>
      <c r="G133" s="17"/>
      <c r="H133" s="17"/>
      <c r="I133" s="38">
        <f t="shared" si="60"/>
        <v>34823.99</v>
      </c>
      <c r="J133" s="17"/>
      <c r="K133" s="16">
        <v>17064.188209599997</v>
      </c>
      <c r="L133" s="16">
        <f t="shared" si="61"/>
        <v>17064.188209599997</v>
      </c>
      <c r="M133" s="17">
        <f t="shared" si="62"/>
        <v>17759.801790400001</v>
      </c>
      <c r="N133" s="17">
        <f t="shared" si="63"/>
        <v>1741.1994999999999</v>
      </c>
      <c r="O133" s="17">
        <f t="shared" si="64"/>
        <v>16018.6022904</v>
      </c>
      <c r="P133" s="36">
        <v>9</v>
      </c>
      <c r="Q133" s="17">
        <f t="shared" si="65"/>
        <v>1779.8446989333333</v>
      </c>
      <c r="R133" s="17">
        <f t="shared" si="66"/>
        <v>17064.188209599997</v>
      </c>
      <c r="S133" s="17">
        <f t="shared" si="67"/>
        <v>18844.032908533329</v>
      </c>
      <c r="T133" s="17">
        <f t="shared" si="68"/>
        <v>15979.957091466669</v>
      </c>
      <c r="U133" s="39">
        <v>5.28E-2</v>
      </c>
      <c r="V133" s="1">
        <f t="shared" si="69"/>
        <v>1334.8835242</v>
      </c>
      <c r="W133" s="17">
        <v>1779.8446989333329</v>
      </c>
      <c r="X133" s="40">
        <f t="shared" si="70"/>
        <v>8</v>
      </c>
      <c r="Y133" s="40">
        <f t="shared" si="71"/>
        <v>14238.757591466667</v>
      </c>
      <c r="Z133" s="40">
        <f t="shared" si="72"/>
        <v>1741.1995000000024</v>
      </c>
      <c r="AA133" s="25">
        <f t="shared" si="73"/>
        <v>-2.5011104298755527E-12</v>
      </c>
    </row>
    <row r="134" spans="2:27" x14ac:dyDescent="0.2">
      <c r="B134" s="35"/>
      <c r="C134" s="36" t="s">
        <v>119</v>
      </c>
      <c r="D134" s="37" t="s">
        <v>22</v>
      </c>
      <c r="E134" s="37"/>
      <c r="F134" s="17">
        <v>43531.87</v>
      </c>
      <c r="G134" s="17"/>
      <c r="H134" s="17"/>
      <c r="I134" s="38">
        <f t="shared" si="60"/>
        <v>43531.87</v>
      </c>
      <c r="J134" s="17"/>
      <c r="K134" s="16">
        <v>19144.457107500002</v>
      </c>
      <c r="L134" s="16">
        <f t="shared" si="61"/>
        <v>19144.457107500002</v>
      </c>
      <c r="M134" s="17">
        <f t="shared" si="62"/>
        <v>24387.4128925</v>
      </c>
      <c r="N134" s="17">
        <f t="shared" si="63"/>
        <v>2176.5935000000004</v>
      </c>
      <c r="O134" s="17">
        <f t="shared" si="64"/>
        <v>22210.819392500001</v>
      </c>
      <c r="P134" s="36">
        <v>10</v>
      </c>
      <c r="Q134" s="17">
        <f t="shared" si="65"/>
        <v>2221.0819392500002</v>
      </c>
      <c r="R134" s="17">
        <f t="shared" si="66"/>
        <v>19144.457107500002</v>
      </c>
      <c r="S134" s="17">
        <f t="shared" si="67"/>
        <v>21365.539046750004</v>
      </c>
      <c r="T134" s="17">
        <f t="shared" si="68"/>
        <v>22166.330953249999</v>
      </c>
      <c r="U134" s="39">
        <v>5.28E-2</v>
      </c>
      <c r="V134" s="1">
        <f t="shared" si="69"/>
        <v>1665.8114544375003</v>
      </c>
      <c r="W134" s="17">
        <v>2221.0819392499998</v>
      </c>
      <c r="X134" s="40">
        <f t="shared" si="70"/>
        <v>9</v>
      </c>
      <c r="Y134" s="40">
        <f t="shared" si="71"/>
        <v>19989.737453250003</v>
      </c>
      <c r="Z134" s="40">
        <f t="shared" si="72"/>
        <v>2176.5934999999954</v>
      </c>
      <c r="AA134" s="25">
        <f t="shared" si="73"/>
        <v>5.0022208597511053E-12</v>
      </c>
    </row>
    <row r="135" spans="2:27" x14ac:dyDescent="0.2">
      <c r="B135" s="35"/>
      <c r="C135" s="36" t="s">
        <v>120</v>
      </c>
      <c r="D135" s="37" t="s">
        <v>22</v>
      </c>
      <c r="E135" s="37"/>
      <c r="F135" s="17">
        <v>9213695.8399999999</v>
      </c>
      <c r="G135" s="17"/>
      <c r="H135" s="17"/>
      <c r="I135" s="38">
        <f t="shared" si="60"/>
        <v>9213695.8399999999</v>
      </c>
      <c r="J135" s="17"/>
      <c r="K135" s="16">
        <v>4046450.9530553846</v>
      </c>
      <c r="L135" s="16">
        <f t="shared" si="61"/>
        <v>4046450.9530553846</v>
      </c>
      <c r="M135" s="17">
        <f t="shared" si="62"/>
        <v>5167244.8869446153</v>
      </c>
      <c r="N135" s="17">
        <f t="shared" si="63"/>
        <v>460684.79200000002</v>
      </c>
      <c r="O135" s="17">
        <f t="shared" si="64"/>
        <v>4706560.0949446149</v>
      </c>
      <c r="P135" s="36">
        <v>10</v>
      </c>
      <c r="Q135" s="17">
        <f t="shared" si="65"/>
        <v>470656.00949446147</v>
      </c>
      <c r="R135" s="17">
        <f t="shared" si="66"/>
        <v>4046450.9530553846</v>
      </c>
      <c r="S135" s="17">
        <f t="shared" si="67"/>
        <v>4517106.9625498457</v>
      </c>
      <c r="T135" s="17">
        <f t="shared" si="68"/>
        <v>4696588.8774501542</v>
      </c>
      <c r="U135" s="39">
        <v>5.28E-2</v>
      </c>
      <c r="V135" s="1">
        <f t="shared" si="69"/>
        <v>352992.00712084607</v>
      </c>
      <c r="W135" s="17">
        <v>470537.54795600002</v>
      </c>
      <c r="X135" s="40">
        <f t="shared" si="70"/>
        <v>9</v>
      </c>
      <c r="Y135" s="40">
        <f t="shared" si="71"/>
        <v>4235904.0854501529</v>
      </c>
      <c r="Z135" s="40">
        <f t="shared" si="72"/>
        <v>460684.7920000013</v>
      </c>
      <c r="AA135" s="25">
        <f t="shared" si="73"/>
        <v>-1.280568540096283E-9</v>
      </c>
    </row>
    <row r="136" spans="2:27" x14ac:dyDescent="0.2">
      <c r="B136" s="35"/>
      <c r="C136" s="36" t="s">
        <v>121</v>
      </c>
      <c r="D136" s="37" t="s">
        <v>23</v>
      </c>
      <c r="E136" s="37"/>
      <c r="F136" s="17">
        <v>1963756</v>
      </c>
      <c r="G136" s="17"/>
      <c r="H136" s="17"/>
      <c r="I136" s="38">
        <f t="shared" si="60"/>
        <v>1963756</v>
      </c>
      <c r="J136" s="17"/>
      <c r="K136" s="16">
        <v>1092005.5258181817</v>
      </c>
      <c r="L136" s="16">
        <f t="shared" si="61"/>
        <v>1092005.5258181817</v>
      </c>
      <c r="M136" s="17">
        <f t="shared" si="62"/>
        <v>871750.47418181831</v>
      </c>
      <c r="N136" s="17">
        <f t="shared" si="63"/>
        <v>98187.8</v>
      </c>
      <c r="O136" s="17">
        <f t="shared" si="64"/>
        <v>773562.67418181826</v>
      </c>
      <c r="P136" s="36">
        <v>5</v>
      </c>
      <c r="Q136" s="17">
        <f t="shared" si="65"/>
        <v>154712.53483636366</v>
      </c>
      <c r="R136" s="17">
        <f t="shared" si="66"/>
        <v>1092005.5258181817</v>
      </c>
      <c r="S136" s="17">
        <f t="shared" si="67"/>
        <v>1246718.0606545454</v>
      </c>
      <c r="T136" s="17">
        <f t="shared" si="68"/>
        <v>717037.93934545456</v>
      </c>
      <c r="U136" s="39">
        <v>5.28E-2</v>
      </c>
      <c r="V136" s="1">
        <f t="shared" si="69"/>
        <v>116034.40112727275</v>
      </c>
      <c r="W136" s="17">
        <v>154712.53483636363</v>
      </c>
      <c r="X136" s="40">
        <f t="shared" si="70"/>
        <v>4</v>
      </c>
      <c r="Y136" s="40">
        <f t="shared" si="71"/>
        <v>618850.13934545463</v>
      </c>
      <c r="Z136" s="40">
        <f t="shared" si="72"/>
        <v>98187.79999999993</v>
      </c>
      <c r="AA136" s="25">
        <f t="shared" si="73"/>
        <v>0</v>
      </c>
    </row>
    <row r="137" spans="2:27" x14ac:dyDescent="0.2">
      <c r="B137" s="35"/>
      <c r="C137" s="36" t="s">
        <v>122</v>
      </c>
      <c r="D137" s="37" t="s">
        <v>23</v>
      </c>
      <c r="E137" s="37"/>
      <c r="F137" s="17">
        <v>11348</v>
      </c>
      <c r="G137" s="17"/>
      <c r="H137" s="17"/>
      <c r="I137" s="38">
        <f t="shared" si="60"/>
        <v>11348</v>
      </c>
      <c r="J137" s="17"/>
      <c r="K137" s="16">
        <v>4305.2069647058825</v>
      </c>
      <c r="L137" s="16">
        <f t="shared" si="61"/>
        <v>4305.2069647058825</v>
      </c>
      <c r="M137" s="17">
        <f t="shared" si="62"/>
        <v>7042.7930352941175</v>
      </c>
      <c r="N137" s="17">
        <f t="shared" si="63"/>
        <v>567.4</v>
      </c>
      <c r="O137" s="17">
        <f t="shared" si="64"/>
        <v>6475.3930352941179</v>
      </c>
      <c r="P137" s="36">
        <v>11</v>
      </c>
      <c r="Q137" s="17">
        <f t="shared" si="65"/>
        <v>588.67209411764713</v>
      </c>
      <c r="R137" s="17">
        <f t="shared" si="66"/>
        <v>4305.2069647058825</v>
      </c>
      <c r="S137" s="17">
        <f t="shared" si="67"/>
        <v>4893.8790588235297</v>
      </c>
      <c r="T137" s="17">
        <f t="shared" si="68"/>
        <v>6454.1209411764703</v>
      </c>
      <c r="U137" s="39">
        <v>5.28E-2</v>
      </c>
      <c r="V137" s="1">
        <f t="shared" si="69"/>
        <v>441.50407058823532</v>
      </c>
      <c r="W137" s="17">
        <v>588.67209411764713</v>
      </c>
      <c r="X137" s="40">
        <f t="shared" si="70"/>
        <v>10</v>
      </c>
      <c r="Y137" s="40">
        <f t="shared" si="71"/>
        <v>5886.7209411764716</v>
      </c>
      <c r="Z137" s="40">
        <f t="shared" si="72"/>
        <v>567.39999999999873</v>
      </c>
      <c r="AA137" s="25">
        <f t="shared" si="73"/>
        <v>1.2505552149377763E-12</v>
      </c>
    </row>
    <row r="138" spans="2:27" x14ac:dyDescent="0.2">
      <c r="B138" s="35"/>
      <c r="C138" s="36" t="s">
        <v>123</v>
      </c>
      <c r="D138" s="37" t="s">
        <v>25</v>
      </c>
      <c r="E138" s="37"/>
      <c r="F138" s="17">
        <v>84270</v>
      </c>
      <c r="G138" s="17"/>
      <c r="H138" s="17"/>
      <c r="I138" s="38">
        <f t="shared" si="60"/>
        <v>84270</v>
      </c>
      <c r="J138" s="17"/>
      <c r="K138" s="16">
        <v>28416.166666666664</v>
      </c>
      <c r="L138" s="16">
        <f t="shared" si="61"/>
        <v>28416.166666666664</v>
      </c>
      <c r="M138" s="17">
        <f t="shared" si="62"/>
        <v>55853.833333333336</v>
      </c>
      <c r="N138" s="17">
        <f t="shared" si="63"/>
        <v>4213.5</v>
      </c>
      <c r="O138" s="17">
        <f t="shared" si="64"/>
        <v>51640.333333333336</v>
      </c>
      <c r="P138" s="36">
        <v>12</v>
      </c>
      <c r="Q138" s="17">
        <f t="shared" si="65"/>
        <v>4303.3611111111113</v>
      </c>
      <c r="R138" s="17">
        <f t="shared" si="66"/>
        <v>28416.166666666664</v>
      </c>
      <c r="S138" s="17">
        <f t="shared" si="67"/>
        <v>32719.527777777774</v>
      </c>
      <c r="T138" s="17">
        <f t="shared" si="68"/>
        <v>51550.472222222226</v>
      </c>
      <c r="U138" s="39">
        <v>5.28E-2</v>
      </c>
      <c r="V138" s="1">
        <f t="shared" si="69"/>
        <v>3227.5208333333335</v>
      </c>
      <c r="W138" s="17">
        <v>4447.583333333333</v>
      </c>
      <c r="X138" s="40">
        <f t="shared" si="70"/>
        <v>11</v>
      </c>
      <c r="Y138" s="40">
        <f t="shared" si="71"/>
        <v>47336.972222222226</v>
      </c>
      <c r="Z138" s="40">
        <f t="shared" si="72"/>
        <v>4213.5</v>
      </c>
      <c r="AA138" s="25">
        <f t="shared" si="73"/>
        <v>0</v>
      </c>
    </row>
    <row r="139" spans="2:27" x14ac:dyDescent="0.2">
      <c r="B139" s="35"/>
      <c r="C139" s="36" t="s">
        <v>124</v>
      </c>
      <c r="D139" s="37" t="s">
        <v>25</v>
      </c>
      <c r="E139" s="37"/>
      <c r="F139" s="17">
        <v>84863</v>
      </c>
      <c r="G139" s="17"/>
      <c r="H139" s="17"/>
      <c r="I139" s="38">
        <f t="shared" si="60"/>
        <v>84863</v>
      </c>
      <c r="J139" s="17"/>
      <c r="K139" s="16">
        <v>28366.616666666665</v>
      </c>
      <c r="L139" s="16">
        <f t="shared" si="61"/>
        <v>28366.616666666665</v>
      </c>
      <c r="M139" s="17">
        <f t="shared" si="62"/>
        <v>56496.383333333331</v>
      </c>
      <c r="N139" s="17">
        <f t="shared" si="63"/>
        <v>4243.1500000000005</v>
      </c>
      <c r="O139" s="17">
        <f t="shared" si="64"/>
        <v>52253.23333333333</v>
      </c>
      <c r="P139" s="36">
        <v>12</v>
      </c>
      <c r="Q139" s="17">
        <f t="shared" si="65"/>
        <v>4354.4361111111111</v>
      </c>
      <c r="R139" s="17">
        <f t="shared" si="66"/>
        <v>28366.616666666665</v>
      </c>
      <c r="S139" s="17">
        <f t="shared" si="67"/>
        <v>32721.052777777775</v>
      </c>
      <c r="T139" s="17">
        <f t="shared" si="68"/>
        <v>52141.947222222225</v>
      </c>
      <c r="U139" s="39">
        <v>5.28E-2</v>
      </c>
      <c r="V139" s="1">
        <f t="shared" si="69"/>
        <v>3265.8270833333336</v>
      </c>
      <c r="W139" s="17">
        <v>4478.8805555555555</v>
      </c>
      <c r="X139" s="40">
        <f t="shared" si="70"/>
        <v>11</v>
      </c>
      <c r="Y139" s="40">
        <f t="shared" si="71"/>
        <v>47898.797222222223</v>
      </c>
      <c r="Z139" s="40">
        <f t="shared" si="72"/>
        <v>4243.1500000000015</v>
      </c>
      <c r="AA139" s="25">
        <f t="shared" si="73"/>
        <v>0</v>
      </c>
    </row>
    <row r="140" spans="2:27" x14ac:dyDescent="0.2">
      <c r="B140" s="35"/>
      <c r="C140" s="36" t="s">
        <v>125</v>
      </c>
      <c r="D140" s="37" t="s">
        <v>25</v>
      </c>
      <c r="E140" s="37"/>
      <c r="F140" s="17">
        <v>972835</v>
      </c>
      <c r="G140" s="17"/>
      <c r="H140" s="17"/>
      <c r="I140" s="38">
        <f t="shared" si="60"/>
        <v>972835</v>
      </c>
      <c r="J140" s="17"/>
      <c r="K140" s="16">
        <v>464470.125</v>
      </c>
      <c r="L140" s="16">
        <f t="shared" si="61"/>
        <v>464470.125</v>
      </c>
      <c r="M140" s="17">
        <f t="shared" si="62"/>
        <v>508364.875</v>
      </c>
      <c r="N140" s="17">
        <f t="shared" si="63"/>
        <v>48641.75</v>
      </c>
      <c r="O140" s="17">
        <f t="shared" si="64"/>
        <v>459723.125</v>
      </c>
      <c r="P140" s="36">
        <v>6</v>
      </c>
      <c r="Q140" s="17">
        <f t="shared" si="65"/>
        <v>76620.520833333328</v>
      </c>
      <c r="R140" s="17">
        <f t="shared" si="66"/>
        <v>464470.125</v>
      </c>
      <c r="S140" s="17">
        <f t="shared" si="67"/>
        <v>541090.64583333337</v>
      </c>
      <c r="T140" s="17">
        <f t="shared" si="68"/>
        <v>431744.35416666663</v>
      </c>
      <c r="U140" s="39">
        <v>5.28E-2</v>
      </c>
      <c r="V140" s="1">
        <f t="shared" si="69"/>
        <v>57465.390625</v>
      </c>
      <c r="W140" s="17">
        <v>77016.104166666672</v>
      </c>
      <c r="X140" s="40">
        <f t="shared" si="70"/>
        <v>5</v>
      </c>
      <c r="Y140" s="40">
        <f t="shared" si="71"/>
        <v>383102.60416666663</v>
      </c>
      <c r="Z140" s="40">
        <f t="shared" si="72"/>
        <v>48641.75</v>
      </c>
      <c r="AA140" s="25">
        <f t="shared" si="73"/>
        <v>0</v>
      </c>
    </row>
    <row r="141" spans="2:27" x14ac:dyDescent="0.2">
      <c r="B141" s="35"/>
      <c r="C141" s="36" t="s">
        <v>125</v>
      </c>
      <c r="D141" s="37" t="s">
        <v>25</v>
      </c>
      <c r="E141" s="37"/>
      <c r="F141" s="17">
        <f>135690.88-7049</f>
        <v>128641.88</v>
      </c>
      <c r="G141" s="17"/>
      <c r="H141" s="17"/>
      <c r="I141" s="38">
        <f t="shared" si="60"/>
        <v>128641.88</v>
      </c>
      <c r="J141" s="17"/>
      <c r="K141" s="16">
        <v>61409.281636363645</v>
      </c>
      <c r="L141" s="16">
        <f t="shared" si="61"/>
        <v>61409.281636363645</v>
      </c>
      <c r="M141" s="17">
        <f t="shared" si="62"/>
        <v>67232.598363636353</v>
      </c>
      <c r="N141" s="17">
        <f t="shared" si="63"/>
        <v>6432.094000000001</v>
      </c>
      <c r="O141" s="17">
        <f t="shared" si="64"/>
        <v>60800.504363636355</v>
      </c>
      <c r="P141" s="36">
        <v>6</v>
      </c>
      <c r="Q141" s="17">
        <f t="shared" si="65"/>
        <v>10133.417393939393</v>
      </c>
      <c r="R141" s="17">
        <f t="shared" si="66"/>
        <v>61409.281636363645</v>
      </c>
      <c r="S141" s="17">
        <f t="shared" si="67"/>
        <v>71542.699030303032</v>
      </c>
      <c r="T141" s="17">
        <f t="shared" si="68"/>
        <v>57099.180969696972</v>
      </c>
      <c r="U141" s="39">
        <v>5.28E-2</v>
      </c>
      <c r="V141" s="1">
        <f t="shared" si="69"/>
        <v>7600.0630454545444</v>
      </c>
      <c r="W141" s="17">
        <v>10742.194666666668</v>
      </c>
      <c r="X141" s="40">
        <f t="shared" si="70"/>
        <v>5</v>
      </c>
      <c r="Y141" s="40">
        <f t="shared" si="71"/>
        <v>50667.086969696968</v>
      </c>
      <c r="Z141" s="40">
        <f t="shared" si="72"/>
        <v>6432.0940000000046</v>
      </c>
      <c r="AA141" s="25">
        <f t="shared" si="73"/>
        <v>0</v>
      </c>
    </row>
    <row r="142" spans="2:27" x14ac:dyDescent="0.2">
      <c r="B142" s="35"/>
      <c r="C142" s="36" t="s">
        <v>126</v>
      </c>
      <c r="D142" s="37" t="s">
        <v>28</v>
      </c>
      <c r="E142" s="37"/>
      <c r="F142" s="17">
        <v>18093</v>
      </c>
      <c r="G142" s="17"/>
      <c r="H142" s="17"/>
      <c r="I142" s="38">
        <f t="shared" si="60"/>
        <v>18093</v>
      </c>
      <c r="J142" s="17"/>
      <c r="K142" s="16">
        <v>4910.9571428571435</v>
      </c>
      <c r="L142" s="16">
        <f t="shared" si="61"/>
        <v>4910.9571428571435</v>
      </c>
      <c r="M142" s="17">
        <f t="shared" si="62"/>
        <v>13182.042857142857</v>
      </c>
      <c r="N142" s="17">
        <f t="shared" si="63"/>
        <v>904.65000000000009</v>
      </c>
      <c r="O142" s="17">
        <f t="shared" si="64"/>
        <v>12277.392857142857</v>
      </c>
      <c r="P142" s="36">
        <v>10</v>
      </c>
      <c r="Q142" s="17">
        <f t="shared" si="65"/>
        <v>1227.7392857142856</v>
      </c>
      <c r="R142" s="17">
        <f t="shared" si="66"/>
        <v>4910.9571428571435</v>
      </c>
      <c r="S142" s="17">
        <f t="shared" si="67"/>
        <v>6138.6964285714294</v>
      </c>
      <c r="T142" s="17">
        <f t="shared" si="68"/>
        <v>11954.303571428571</v>
      </c>
      <c r="U142" s="39">
        <v>5.28E-2</v>
      </c>
      <c r="V142" s="1">
        <f t="shared" si="69"/>
        <v>920.80446428571418</v>
      </c>
      <c r="W142" s="17"/>
      <c r="X142" s="40">
        <f t="shared" si="70"/>
        <v>9</v>
      </c>
      <c r="Y142" s="40">
        <f t="shared" si="71"/>
        <v>11049.653571428571</v>
      </c>
      <c r="Z142" s="40">
        <f t="shared" si="72"/>
        <v>904.64999999999964</v>
      </c>
      <c r="AA142" s="25">
        <f t="shared" si="73"/>
        <v>0</v>
      </c>
    </row>
    <row r="143" spans="2:27" x14ac:dyDescent="0.2">
      <c r="B143" s="35"/>
      <c r="C143" s="36" t="s">
        <v>127</v>
      </c>
      <c r="D143" s="37" t="s">
        <v>28</v>
      </c>
      <c r="E143" s="37"/>
      <c r="F143" s="17">
        <v>24125</v>
      </c>
      <c r="G143" s="17"/>
      <c r="H143" s="17"/>
      <c r="I143" s="38">
        <f t="shared" si="60"/>
        <v>24125</v>
      </c>
      <c r="J143" s="17"/>
      <c r="K143" s="16">
        <v>6548.2142857142853</v>
      </c>
      <c r="L143" s="16">
        <f t="shared" si="61"/>
        <v>6548.2142857142853</v>
      </c>
      <c r="M143" s="17">
        <f t="shared" si="62"/>
        <v>17576.785714285714</v>
      </c>
      <c r="N143" s="17">
        <f t="shared" si="63"/>
        <v>1206.25</v>
      </c>
      <c r="O143" s="17">
        <f t="shared" si="64"/>
        <v>16370.535714285714</v>
      </c>
      <c r="P143" s="36">
        <v>10</v>
      </c>
      <c r="Q143" s="17">
        <f>+O143/P143</f>
        <v>1637.0535714285713</v>
      </c>
      <c r="R143" s="17">
        <f t="shared" si="66"/>
        <v>6548.2142857142853</v>
      </c>
      <c r="S143" s="17">
        <f t="shared" si="67"/>
        <v>8185.2678571428569</v>
      </c>
      <c r="T143" s="17">
        <f t="shared" si="68"/>
        <v>15939.732142857143</v>
      </c>
      <c r="U143" s="39"/>
      <c r="V143" s="1">
        <f t="shared" si="69"/>
        <v>1227.7901785714284</v>
      </c>
      <c r="W143" s="17"/>
      <c r="X143" s="40">
        <f t="shared" si="70"/>
        <v>9</v>
      </c>
      <c r="Y143" s="40">
        <f t="shared" si="71"/>
        <v>14733.482142857141</v>
      </c>
      <c r="Z143" s="40">
        <f t="shared" si="72"/>
        <v>1206.2500000000018</v>
      </c>
      <c r="AA143" s="25">
        <f t="shared" si="73"/>
        <v>-1.8189894035458565E-12</v>
      </c>
    </row>
    <row r="144" spans="2:27" x14ac:dyDescent="0.2">
      <c r="B144" s="35"/>
      <c r="C144" s="36" t="s">
        <v>127</v>
      </c>
      <c r="D144" s="37" t="s">
        <v>28</v>
      </c>
      <c r="E144" s="37"/>
      <c r="F144" s="17">
        <v>23625</v>
      </c>
      <c r="G144" s="17"/>
      <c r="H144" s="17"/>
      <c r="I144" s="38">
        <f t="shared" si="60"/>
        <v>23625</v>
      </c>
      <c r="J144" s="17"/>
      <c r="K144" s="16">
        <v>6412.5</v>
      </c>
      <c r="L144" s="16">
        <f t="shared" si="61"/>
        <v>6412.5</v>
      </c>
      <c r="M144" s="17">
        <f t="shared" si="62"/>
        <v>17212.5</v>
      </c>
      <c r="N144" s="17">
        <f t="shared" si="63"/>
        <v>1181.25</v>
      </c>
      <c r="O144" s="17">
        <f t="shared" si="64"/>
        <v>16031.25</v>
      </c>
      <c r="P144" s="36">
        <v>10</v>
      </c>
      <c r="Q144" s="17">
        <f t="shared" si="65"/>
        <v>1603.125</v>
      </c>
      <c r="R144" s="17">
        <f t="shared" si="66"/>
        <v>6412.5</v>
      </c>
      <c r="S144" s="17">
        <f t="shared" si="67"/>
        <v>8015.625</v>
      </c>
      <c r="T144" s="17">
        <f t="shared" si="68"/>
        <v>15609.375</v>
      </c>
      <c r="U144" s="39"/>
      <c r="V144" s="1">
        <f t="shared" si="69"/>
        <v>1202.34375</v>
      </c>
      <c r="W144" s="17"/>
      <c r="X144" s="40">
        <f t="shared" si="70"/>
        <v>9</v>
      </c>
      <c r="Y144" s="40">
        <f t="shared" si="71"/>
        <v>14428.125</v>
      </c>
      <c r="Z144" s="40">
        <f t="shared" si="72"/>
        <v>1181.25</v>
      </c>
      <c r="AA144" s="25">
        <f t="shared" si="73"/>
        <v>0</v>
      </c>
    </row>
    <row r="145" spans="2:27" x14ac:dyDescent="0.2">
      <c r="B145" s="35"/>
      <c r="C145" s="84" t="s">
        <v>128</v>
      </c>
      <c r="D145" s="37" t="s">
        <v>77</v>
      </c>
      <c r="E145" s="87"/>
      <c r="F145" s="13">
        <v>250000</v>
      </c>
      <c r="G145" s="13"/>
      <c r="H145" s="13">
        <v>0</v>
      </c>
      <c r="I145" s="38">
        <f t="shared" si="60"/>
        <v>250000</v>
      </c>
      <c r="J145" s="17"/>
      <c r="K145" s="16">
        <v>111386.94638694639</v>
      </c>
      <c r="L145" s="16"/>
      <c r="M145" s="17">
        <f t="shared" si="62"/>
        <v>250000</v>
      </c>
      <c r="N145" s="17">
        <f>+I145*0.05</f>
        <v>12500</v>
      </c>
      <c r="O145" s="17">
        <f t="shared" si="64"/>
        <v>237500</v>
      </c>
      <c r="P145" s="36">
        <v>4.5</v>
      </c>
      <c r="Q145" s="17">
        <f t="shared" si="65"/>
        <v>52777.777777777781</v>
      </c>
      <c r="R145" s="17">
        <f t="shared" si="66"/>
        <v>111386.94638694639</v>
      </c>
      <c r="S145" s="17">
        <f t="shared" si="67"/>
        <v>164164.72416472418</v>
      </c>
      <c r="T145" s="17">
        <f t="shared" si="68"/>
        <v>85835.275835275825</v>
      </c>
      <c r="U145" s="39"/>
      <c r="V145" s="1">
        <f t="shared" si="69"/>
        <v>39583.333333333336</v>
      </c>
      <c r="W145" s="17"/>
      <c r="X145" s="40">
        <f t="shared" si="70"/>
        <v>3.5</v>
      </c>
      <c r="Y145" s="40">
        <f t="shared" si="71"/>
        <v>184722.22222222225</v>
      </c>
      <c r="Z145" s="40">
        <f t="shared" si="72"/>
        <v>-98886.946386946423</v>
      </c>
      <c r="AA145" s="25">
        <f t="shared" si="73"/>
        <v>111386.94638694642</v>
      </c>
    </row>
    <row r="146" spans="2:27" ht="15" thickBot="1" x14ac:dyDescent="0.25">
      <c r="B146" s="35"/>
      <c r="C146" s="41" t="s">
        <v>120</v>
      </c>
      <c r="D146" s="46" t="s">
        <v>80</v>
      </c>
      <c r="F146" s="20">
        <v>451000</v>
      </c>
      <c r="G146" s="20"/>
      <c r="H146" s="20"/>
      <c r="I146" s="38">
        <f t="shared" si="60"/>
        <v>451000</v>
      </c>
      <c r="J146" s="20"/>
      <c r="K146" s="100">
        <v>30760.51282051282</v>
      </c>
      <c r="L146" s="100"/>
      <c r="M146" s="17">
        <f t="shared" si="62"/>
        <v>451000</v>
      </c>
      <c r="N146" s="17">
        <f>+I146*0.05</f>
        <v>22550</v>
      </c>
      <c r="O146" s="17">
        <f t="shared" si="64"/>
        <v>428450</v>
      </c>
      <c r="P146" s="36">
        <v>5.5</v>
      </c>
      <c r="Q146" s="20">
        <f>+O146/P146*3/12</f>
        <v>19475</v>
      </c>
      <c r="R146" s="17">
        <f t="shared" si="66"/>
        <v>30760.51282051282</v>
      </c>
      <c r="S146" s="17">
        <f t="shared" si="67"/>
        <v>50235.51282051282</v>
      </c>
      <c r="T146" s="17">
        <f t="shared" si="68"/>
        <v>400764.48717948719</v>
      </c>
      <c r="U146" s="39"/>
      <c r="V146" s="1">
        <f t="shared" si="69"/>
        <v>14606.25</v>
      </c>
      <c r="W146" s="17"/>
      <c r="X146" s="40">
        <f t="shared" si="70"/>
        <v>4.5</v>
      </c>
      <c r="Y146" s="40">
        <f t="shared" si="71"/>
        <v>87637.5</v>
      </c>
      <c r="Z146" s="40"/>
    </row>
    <row r="147" spans="2:27" s="77" customFormat="1" ht="15" thickBot="1" x14ac:dyDescent="0.25">
      <c r="B147" s="74"/>
      <c r="C147" s="75"/>
      <c r="D147" s="76"/>
      <c r="E147" s="76"/>
      <c r="F147" s="29">
        <f>+SUM(F132:F146)</f>
        <v>13321566.58</v>
      </c>
      <c r="G147" s="29">
        <f>+SUM(G132:G146)</f>
        <v>0</v>
      </c>
      <c r="H147" s="29">
        <f>+SUM(H132:H146)</f>
        <v>0</v>
      </c>
      <c r="I147" s="29">
        <f>+SUM(I132:I146)</f>
        <v>13321566.58</v>
      </c>
      <c r="J147" s="101">
        <f>+SUM(J132:J144)</f>
        <v>0</v>
      </c>
      <c r="K147" s="29">
        <f>+SUM(K132:K146)</f>
        <v>5930109.9800811</v>
      </c>
      <c r="L147" s="29">
        <f>+SUM(L132:L146)</f>
        <v>5787962.5208736407</v>
      </c>
      <c r="M147" s="29">
        <f>+SUM(M132:M146)</f>
        <v>7533604.0591263585</v>
      </c>
      <c r="N147" s="29">
        <f>+SUM(N132:N146)</f>
        <v>666078.32900000014</v>
      </c>
      <c r="O147" s="29">
        <f>+SUM(O132:O146)</f>
        <v>6867525.7301263586</v>
      </c>
      <c r="P147" s="101"/>
      <c r="Q147" s="29">
        <f>+SUM(Q132:Q146)</f>
        <v>802940.77100087493</v>
      </c>
      <c r="R147" s="29">
        <f>+SUM(R132:R146)</f>
        <v>5930109.9800811</v>
      </c>
      <c r="S147" s="29">
        <f>+SUM(S132:S146)</f>
        <v>6733050.7510819752</v>
      </c>
      <c r="T147" s="29">
        <f>+SUM(T132:T146)</f>
        <v>6588515.8289180258</v>
      </c>
      <c r="V147" s="98">
        <f>SUM(V132:V144)</f>
        <v>548015.99491732288</v>
      </c>
      <c r="W147" s="27">
        <v>727374.64110022027</v>
      </c>
      <c r="AA147" s="28"/>
    </row>
    <row r="148" spans="2:27" x14ac:dyDescent="0.2">
      <c r="B148" s="35"/>
      <c r="C148" s="72"/>
      <c r="F148" s="18">
        <f>1083832+12237733.81</f>
        <v>13321565.810000001</v>
      </c>
      <c r="G148" s="18"/>
      <c r="H148" s="18"/>
      <c r="I148" s="19"/>
      <c r="J148" s="18"/>
      <c r="L148" s="19">
        <v>3595898.53</v>
      </c>
      <c r="M148" s="99"/>
      <c r="N148" s="79"/>
      <c r="O148" s="79"/>
      <c r="P148" s="79"/>
      <c r="Q148" s="26"/>
      <c r="R148" s="26"/>
      <c r="S148" s="26"/>
      <c r="T148" s="26"/>
      <c r="W148" s="17"/>
    </row>
    <row r="149" spans="2:27" x14ac:dyDescent="0.2">
      <c r="B149" s="35"/>
      <c r="C149" s="77" t="s">
        <v>129</v>
      </c>
      <c r="F149" s="18"/>
      <c r="G149" s="18"/>
      <c r="H149" s="18"/>
      <c r="I149" s="19"/>
      <c r="J149" s="18"/>
      <c r="L149" s="19"/>
      <c r="M149" s="78"/>
      <c r="N149" s="36"/>
      <c r="O149" s="36"/>
      <c r="P149" s="36"/>
      <c r="Q149" s="17"/>
      <c r="R149" s="17"/>
      <c r="S149" s="17"/>
      <c r="T149" s="17"/>
      <c r="W149" s="17"/>
    </row>
    <row r="150" spans="2:27" x14ac:dyDescent="0.2">
      <c r="B150" s="35"/>
      <c r="C150" s="36" t="s">
        <v>129</v>
      </c>
      <c r="D150" s="37" t="s">
        <v>17</v>
      </c>
      <c r="E150" s="37"/>
      <c r="F150" s="17">
        <v>4973782.42</v>
      </c>
      <c r="G150" s="17"/>
      <c r="H150" s="17"/>
      <c r="I150" s="38">
        <f t="shared" ref="I150:I154" si="74">+F150+G150-H150</f>
        <v>4973782.42</v>
      </c>
      <c r="J150" s="17"/>
      <c r="K150" s="16">
        <v>2628593.7555200281</v>
      </c>
      <c r="L150" s="16">
        <f>+J150+K150</f>
        <v>2628593.7555200281</v>
      </c>
      <c r="M150" s="17">
        <f t="shared" ref="M150:M154" si="75">+I150-L150</f>
        <v>2345188.6644799719</v>
      </c>
      <c r="N150" s="17">
        <f>+F150*0.05</f>
        <v>248689.12100000001</v>
      </c>
      <c r="O150" s="17">
        <f>+I150-L150-N150</f>
        <v>2096499.5434799718</v>
      </c>
      <c r="P150" s="36">
        <v>8</v>
      </c>
      <c r="Q150" s="17">
        <f>+O150/P150</f>
        <v>262062.44293499648</v>
      </c>
      <c r="R150" s="17">
        <f>+K150</f>
        <v>2628593.7555200281</v>
      </c>
      <c r="S150" s="17">
        <f>+Q150+R150</f>
        <v>2890656.1984550245</v>
      </c>
      <c r="T150" s="17">
        <f>+F150-S150</f>
        <v>2083126.2215449754</v>
      </c>
      <c r="U150" s="39">
        <v>5.28E-2</v>
      </c>
      <c r="V150" s="1">
        <f>+Q150/4*3</f>
        <v>196546.83220124737</v>
      </c>
      <c r="W150" s="17">
        <v>280820.7080618536</v>
      </c>
      <c r="X150" s="40">
        <f>+P150-1</f>
        <v>7</v>
      </c>
      <c r="Y150" s="40">
        <f>+Q150*X150</f>
        <v>1834437.1005449754</v>
      </c>
      <c r="Z150" s="40">
        <f>+T150-Y150</f>
        <v>248689.12100000004</v>
      </c>
      <c r="AA150" s="25">
        <f>+N150-Z150</f>
        <v>0</v>
      </c>
    </row>
    <row r="151" spans="2:27" x14ac:dyDescent="0.2">
      <c r="B151" s="35"/>
      <c r="C151" s="36" t="s">
        <v>129</v>
      </c>
      <c r="D151" s="37" t="s">
        <v>21</v>
      </c>
      <c r="E151" s="37"/>
      <c r="F151" s="17">
        <v>507524</v>
      </c>
      <c r="G151" s="17"/>
      <c r="H151" s="17"/>
      <c r="I151" s="38">
        <f t="shared" si="74"/>
        <v>507524</v>
      </c>
      <c r="J151" s="17"/>
      <c r="K151" s="16">
        <v>247651.01295999996</v>
      </c>
      <c r="L151" s="16">
        <f>+J151+K151</f>
        <v>247651.01295999996</v>
      </c>
      <c r="M151" s="17">
        <f t="shared" si="75"/>
        <v>259872.98704000004</v>
      </c>
      <c r="N151" s="17">
        <f>+F151*0.05</f>
        <v>25376.2</v>
      </c>
      <c r="O151" s="17">
        <f>+I151-L151-N151</f>
        <v>234496.78704000002</v>
      </c>
      <c r="P151" s="36">
        <v>9</v>
      </c>
      <c r="Q151" s="17">
        <f>+O151/P151</f>
        <v>26055.198560000004</v>
      </c>
      <c r="R151" s="17">
        <f>+K151</f>
        <v>247651.01295999996</v>
      </c>
      <c r="S151" s="17">
        <f>+Q151+R151</f>
        <v>273706.21151999995</v>
      </c>
      <c r="T151" s="17">
        <f>+F151-S151</f>
        <v>233817.78848000005</v>
      </c>
      <c r="U151" s="39">
        <v>5.28E-2</v>
      </c>
      <c r="V151" s="1">
        <f>+Q151/4*3</f>
        <v>19541.398920000003</v>
      </c>
      <c r="W151" s="17">
        <v>27841.68304</v>
      </c>
      <c r="X151" s="40">
        <f>+P151-1</f>
        <v>8</v>
      </c>
      <c r="Y151" s="40">
        <f>+Q151*X151</f>
        <v>208441.58848000003</v>
      </c>
      <c r="Z151" s="40">
        <f>+T151-Y151</f>
        <v>25376.200000000012</v>
      </c>
      <c r="AA151" s="25">
        <f>+N151-Z151</f>
        <v>0</v>
      </c>
    </row>
    <row r="152" spans="2:27" x14ac:dyDescent="0.2">
      <c r="B152" s="35"/>
      <c r="C152" s="36" t="s">
        <v>129</v>
      </c>
      <c r="D152" s="37" t="s">
        <v>22</v>
      </c>
      <c r="E152" s="37"/>
      <c r="F152" s="17">
        <v>550638.75</v>
      </c>
      <c r="G152" s="17"/>
      <c r="H152" s="17"/>
      <c r="I152" s="38">
        <f t="shared" si="74"/>
        <v>550638.75</v>
      </c>
      <c r="J152" s="17"/>
      <c r="K152" s="16">
        <v>248151.58718749997</v>
      </c>
      <c r="L152" s="16">
        <f>+J152+K152</f>
        <v>248151.58718749997</v>
      </c>
      <c r="M152" s="17">
        <f t="shared" si="75"/>
        <v>302487.16281250003</v>
      </c>
      <c r="N152" s="17">
        <f>+F152*0.05</f>
        <v>27531.9375</v>
      </c>
      <c r="O152" s="17">
        <f>+I152-L152-N152</f>
        <v>274955.22531250003</v>
      </c>
      <c r="P152" s="36">
        <v>10</v>
      </c>
      <c r="Q152" s="17">
        <f>+O152/P152</f>
        <v>27495.522531250004</v>
      </c>
      <c r="R152" s="17">
        <f>+K152</f>
        <v>248151.58718749997</v>
      </c>
      <c r="S152" s="17">
        <f>+Q152+R152</f>
        <v>275647.10971875</v>
      </c>
      <c r="T152" s="17">
        <f>+F152-S152</f>
        <v>274991.64028125</v>
      </c>
      <c r="U152" s="39">
        <v>5.28E-2</v>
      </c>
      <c r="V152" s="1">
        <f>+Q152/4*3</f>
        <v>20621.641898437505</v>
      </c>
      <c r="W152" s="17">
        <v>29312.630406249998</v>
      </c>
      <c r="X152" s="40">
        <f>+P152-1</f>
        <v>9</v>
      </c>
      <c r="Y152" s="40">
        <f>+Q152*X152</f>
        <v>247459.70278125003</v>
      </c>
      <c r="Z152" s="40">
        <f>+T152-Y152</f>
        <v>27531.937499999971</v>
      </c>
      <c r="AA152" s="25">
        <f>+N152-Z152</f>
        <v>2.9103830456733704E-11</v>
      </c>
    </row>
    <row r="153" spans="2:27" x14ac:dyDescent="0.2">
      <c r="B153" s="35"/>
      <c r="C153" s="36" t="s">
        <v>129</v>
      </c>
      <c r="D153" s="37" t="s">
        <v>23</v>
      </c>
      <c r="E153" s="37"/>
      <c r="F153" s="17">
        <v>37797.78</v>
      </c>
      <c r="G153" s="17"/>
      <c r="H153" s="17"/>
      <c r="I153" s="38">
        <f t="shared" si="74"/>
        <v>37797.78</v>
      </c>
      <c r="J153" s="17"/>
      <c r="K153" s="16">
        <v>14873.193919058822</v>
      </c>
      <c r="L153" s="16">
        <f>+J153+K153</f>
        <v>14873.193919058822</v>
      </c>
      <c r="M153" s="17">
        <f t="shared" si="75"/>
        <v>22924.586080941175</v>
      </c>
      <c r="N153" s="17">
        <f>+F153*0.05</f>
        <v>1889.8890000000001</v>
      </c>
      <c r="O153" s="17">
        <f>+I153-L153-N153</f>
        <v>21034.697080941176</v>
      </c>
      <c r="P153" s="36">
        <v>11</v>
      </c>
      <c r="Q153" s="17">
        <f>+O153/P153</f>
        <v>1912.2451891764706</v>
      </c>
      <c r="R153" s="17">
        <f>+K153</f>
        <v>14873.193919058822</v>
      </c>
      <c r="S153" s="17">
        <f>+Q153+R153</f>
        <v>16785.439108235292</v>
      </c>
      <c r="T153" s="17">
        <f>+F153-S153</f>
        <v>21012.340891764707</v>
      </c>
      <c r="U153" s="39">
        <v>5.28E-2</v>
      </c>
      <c r="V153" s="1">
        <f>+Q153/4*3</f>
        <v>1434.183891882353</v>
      </c>
      <c r="W153" s="17">
        <v>2029.6406470588233</v>
      </c>
      <c r="X153" s="40">
        <f>+P153-1</f>
        <v>10</v>
      </c>
      <c r="Y153" s="40">
        <f>+Q153*X153</f>
        <v>19122.451891764707</v>
      </c>
      <c r="Z153" s="40">
        <f>+T153-Y153</f>
        <v>1889.8889999999992</v>
      </c>
      <c r="AA153" s="25">
        <f>+N153-Z153</f>
        <v>0</v>
      </c>
    </row>
    <row r="154" spans="2:27" x14ac:dyDescent="0.2">
      <c r="B154" s="35"/>
      <c r="C154" s="36" t="s">
        <v>129</v>
      </c>
      <c r="D154" s="37" t="s">
        <v>28</v>
      </c>
      <c r="F154" s="17">
        <v>187410</v>
      </c>
      <c r="G154" s="17"/>
      <c r="H154" s="17"/>
      <c r="I154" s="38">
        <f t="shared" si="74"/>
        <v>187410</v>
      </c>
      <c r="J154" s="17"/>
      <c r="K154" s="16">
        <v>37482</v>
      </c>
      <c r="L154" s="16">
        <f>+J154+K154</f>
        <v>37482</v>
      </c>
      <c r="M154" s="17">
        <f t="shared" si="75"/>
        <v>149928</v>
      </c>
      <c r="N154" s="17">
        <f>+F154*0.05</f>
        <v>9370.5</v>
      </c>
      <c r="O154" s="17">
        <f>+I154-L154-N154</f>
        <v>140557.5</v>
      </c>
      <c r="P154" s="36">
        <v>15</v>
      </c>
      <c r="Q154" s="17">
        <f>+O154/P154</f>
        <v>9370.5</v>
      </c>
      <c r="R154" s="17">
        <f>+K154</f>
        <v>37482</v>
      </c>
      <c r="S154" s="17">
        <f>+Q154+R154</f>
        <v>46852.5</v>
      </c>
      <c r="T154" s="17">
        <f>+F154-S154</f>
        <v>140557.5</v>
      </c>
      <c r="U154" s="39"/>
      <c r="V154" s="1">
        <f>+Q154/4*3</f>
        <v>7027.875</v>
      </c>
      <c r="W154" s="17"/>
      <c r="X154" s="40">
        <f>+P154-1</f>
        <v>14</v>
      </c>
      <c r="Y154" s="40">
        <f>+Q154*X154</f>
        <v>131187</v>
      </c>
      <c r="Z154" s="40">
        <f>+T154-Y154</f>
        <v>9370.5</v>
      </c>
      <c r="AA154" s="25">
        <f>+N154-Z154</f>
        <v>0</v>
      </c>
    </row>
    <row r="155" spans="2:27" s="77" customFormat="1" x14ac:dyDescent="0.2">
      <c r="B155" s="74"/>
      <c r="D155" s="102">
        <f>+SUM(D150:D153)</f>
        <v>0</v>
      </c>
      <c r="E155" s="103"/>
      <c r="F155" s="30">
        <f>+SUM(F150:F154)</f>
        <v>6257152.9500000002</v>
      </c>
      <c r="G155" s="104">
        <f>+SUM(G150:G154)</f>
        <v>0</v>
      </c>
      <c r="H155" s="104">
        <f>+SUM(H150:H154)</f>
        <v>0</v>
      </c>
      <c r="I155" s="30">
        <f>+SUM(I150:I154)</f>
        <v>6257152.9500000002</v>
      </c>
      <c r="J155" s="104">
        <f t="shared" ref="J155:W155" si="76">+SUM(J150:J154)</f>
        <v>0</v>
      </c>
      <c r="K155" s="30">
        <f t="shared" si="76"/>
        <v>3176751.5495865867</v>
      </c>
      <c r="L155" s="30">
        <f t="shared" si="76"/>
        <v>3176751.5495865867</v>
      </c>
      <c r="M155" s="104">
        <f t="shared" si="76"/>
        <v>3080401.4004134135</v>
      </c>
      <c r="N155" s="104">
        <f t="shared" si="76"/>
        <v>312857.64750000002</v>
      </c>
      <c r="O155" s="104">
        <f t="shared" si="76"/>
        <v>2767543.7529134131</v>
      </c>
      <c r="P155" s="104"/>
      <c r="Q155" s="30">
        <f>+SUM(Q150:Q154)</f>
        <v>326895.90921542299</v>
      </c>
      <c r="R155" s="104">
        <f t="shared" si="76"/>
        <v>3176751.5495865867</v>
      </c>
      <c r="S155" s="104">
        <f t="shared" si="76"/>
        <v>3503647.4588020095</v>
      </c>
      <c r="T155" s="104">
        <f t="shared" si="76"/>
        <v>2753505.4911979903</v>
      </c>
      <c r="U155" s="104">
        <f t="shared" si="76"/>
        <v>0.2112</v>
      </c>
      <c r="V155" s="104">
        <f t="shared" si="76"/>
        <v>245171.93191156723</v>
      </c>
      <c r="W155" s="104">
        <f t="shared" si="76"/>
        <v>340004.66215516243</v>
      </c>
      <c r="AA155" s="28"/>
    </row>
    <row r="156" spans="2:27" x14ac:dyDescent="0.2">
      <c r="B156" s="35"/>
      <c r="C156" s="77"/>
      <c r="F156" s="18"/>
      <c r="G156" s="18"/>
      <c r="H156" s="18"/>
      <c r="I156" s="19"/>
      <c r="J156" s="73"/>
      <c r="L156" s="19"/>
      <c r="M156" s="78"/>
      <c r="N156" s="36"/>
      <c r="O156" s="36"/>
      <c r="P156" s="36"/>
      <c r="Q156" s="17"/>
      <c r="R156" s="17"/>
      <c r="S156" s="17"/>
      <c r="T156" s="17"/>
      <c r="W156" s="17"/>
    </row>
    <row r="157" spans="2:27" ht="15" thickBot="1" x14ac:dyDescent="0.25">
      <c r="B157" s="35"/>
      <c r="C157" s="72"/>
      <c r="F157" s="18"/>
      <c r="G157" s="18"/>
      <c r="H157" s="18"/>
      <c r="I157" s="19"/>
      <c r="J157" s="73"/>
      <c r="L157" s="19"/>
      <c r="M157" s="78"/>
      <c r="N157" s="36"/>
      <c r="O157" s="36"/>
      <c r="P157" s="36"/>
      <c r="Q157" s="17"/>
      <c r="R157" s="17"/>
      <c r="S157" s="17"/>
      <c r="T157" s="17"/>
      <c r="W157" s="17"/>
    </row>
    <row r="158" spans="2:27" ht="15" thickBot="1" x14ac:dyDescent="0.25">
      <c r="B158" s="105" t="s">
        <v>130</v>
      </c>
      <c r="C158" s="106" t="s">
        <v>131</v>
      </c>
      <c r="D158" s="107">
        <v>6.33</v>
      </c>
      <c r="F158" s="24"/>
      <c r="G158" s="24"/>
      <c r="H158" s="24"/>
      <c r="I158" s="62"/>
      <c r="J158" s="82"/>
      <c r="K158" s="62"/>
      <c r="L158" s="19"/>
      <c r="M158" s="78"/>
      <c r="N158" s="36"/>
      <c r="O158" s="36"/>
      <c r="P158" s="36"/>
      <c r="Q158" s="17"/>
      <c r="R158" s="17"/>
      <c r="S158" s="17"/>
      <c r="T158" s="17"/>
      <c r="W158" s="17"/>
    </row>
    <row r="159" spans="2:27" x14ac:dyDescent="0.2">
      <c r="B159" s="74"/>
      <c r="C159" s="36" t="s">
        <v>131</v>
      </c>
      <c r="D159" s="37" t="s">
        <v>17</v>
      </c>
      <c r="E159" s="85"/>
      <c r="F159" s="17">
        <v>52130</v>
      </c>
      <c r="G159" s="17"/>
      <c r="H159" s="17"/>
      <c r="I159" s="38">
        <f t="shared" ref="I159:I168" si="77">+F159+G159-H159</f>
        <v>52130</v>
      </c>
      <c r="J159" s="17"/>
      <c r="K159" s="16">
        <v>49523.5</v>
      </c>
      <c r="L159" s="16">
        <f t="shared" ref="L159:L168" si="78">J159+K159</f>
        <v>49523.5</v>
      </c>
      <c r="M159" s="17">
        <f t="shared" ref="M159:M168" si="79">+I159-L159</f>
        <v>2606.5</v>
      </c>
      <c r="N159" s="17">
        <f t="shared" ref="N159:N168" si="80">+F159*0.05</f>
        <v>2606.5</v>
      </c>
      <c r="O159" s="17">
        <f t="shared" ref="O159:O168" si="81">+I159-L159-N159</f>
        <v>0</v>
      </c>
      <c r="P159" s="36">
        <v>0</v>
      </c>
      <c r="Q159" s="17">
        <v>0</v>
      </c>
      <c r="R159" s="17">
        <f t="shared" ref="R159:R168" si="82">+K159</f>
        <v>49523.5</v>
      </c>
      <c r="S159" s="17">
        <f t="shared" ref="S159:S168" si="83">+Q159+R159</f>
        <v>49523.5</v>
      </c>
      <c r="T159" s="17">
        <f t="shared" ref="T159:T168" si="84">+F159-S159</f>
        <v>2606.5</v>
      </c>
      <c r="U159" s="2">
        <v>6.3299999999999995E-2</v>
      </c>
      <c r="V159" s="1">
        <f t="shared" ref="V159:V168" si="85">+Q159/4*3</f>
        <v>0</v>
      </c>
      <c r="W159" s="17">
        <v>39551.517980821918</v>
      </c>
      <c r="X159" s="40">
        <f t="shared" ref="X159:X168" si="86">+P159-1</f>
        <v>-1</v>
      </c>
      <c r="Y159" s="40">
        <f t="shared" ref="Y159:Y168" si="87">+Q159*X159</f>
        <v>0</v>
      </c>
      <c r="Z159" s="40">
        <f t="shared" ref="Z159:Z168" si="88">+T159-Y159</f>
        <v>2606.5</v>
      </c>
      <c r="AA159" s="25">
        <f t="shared" ref="AA159:AA168" si="89">+N159-Z159</f>
        <v>0</v>
      </c>
    </row>
    <row r="160" spans="2:27" x14ac:dyDescent="0.2">
      <c r="B160" s="108"/>
      <c r="C160" s="36" t="s">
        <v>131</v>
      </c>
      <c r="D160" s="37" t="s">
        <v>21</v>
      </c>
      <c r="E160" s="37"/>
      <c r="F160" s="17">
        <v>12304.07</v>
      </c>
      <c r="G160" s="17"/>
      <c r="H160" s="17"/>
      <c r="I160" s="38">
        <f t="shared" si="77"/>
        <v>12304.07</v>
      </c>
      <c r="J160" s="17"/>
      <c r="K160" s="16">
        <v>11688.87</v>
      </c>
      <c r="L160" s="16">
        <f t="shared" si="78"/>
        <v>11688.87</v>
      </c>
      <c r="M160" s="17">
        <f t="shared" si="79"/>
        <v>615.19999999999891</v>
      </c>
      <c r="N160" s="17">
        <f t="shared" si="80"/>
        <v>615.20350000000008</v>
      </c>
      <c r="O160" s="17">
        <f t="shared" si="81"/>
        <v>-3.5000000011677912E-3</v>
      </c>
      <c r="P160" s="36">
        <v>0</v>
      </c>
      <c r="Q160" s="17">
        <v>0</v>
      </c>
      <c r="R160" s="17">
        <f t="shared" si="82"/>
        <v>11688.87</v>
      </c>
      <c r="S160" s="17">
        <f t="shared" si="83"/>
        <v>11688.87</v>
      </c>
      <c r="T160" s="17">
        <f t="shared" si="84"/>
        <v>615.19999999999891</v>
      </c>
      <c r="U160" s="2">
        <v>6.3299999999999995E-2</v>
      </c>
      <c r="V160" s="1">
        <f t="shared" si="85"/>
        <v>0</v>
      </c>
      <c r="W160" s="17">
        <v>9798.171237999999</v>
      </c>
      <c r="X160" s="40">
        <f t="shared" si="86"/>
        <v>-1</v>
      </c>
      <c r="Y160" s="40">
        <f t="shared" si="87"/>
        <v>0</v>
      </c>
      <c r="Z160" s="40">
        <f t="shared" si="88"/>
        <v>615.19999999999891</v>
      </c>
      <c r="AA160" s="25">
        <f t="shared" si="89"/>
        <v>3.5000000011677912E-3</v>
      </c>
    </row>
    <row r="161" spans="2:27" x14ac:dyDescent="0.2">
      <c r="B161" s="108"/>
      <c r="C161" s="36" t="s">
        <v>131</v>
      </c>
      <c r="D161" s="37" t="s">
        <v>22</v>
      </c>
      <c r="E161" s="37"/>
      <c r="F161" s="17">
        <v>120370</v>
      </c>
      <c r="G161" s="17"/>
      <c r="H161" s="17"/>
      <c r="I161" s="38">
        <f t="shared" si="77"/>
        <v>120370</v>
      </c>
      <c r="J161" s="17">
        <v>0</v>
      </c>
      <c r="K161" s="16">
        <v>114351.5</v>
      </c>
      <c r="L161" s="16">
        <f t="shared" si="78"/>
        <v>114351.5</v>
      </c>
      <c r="M161" s="17">
        <f t="shared" si="79"/>
        <v>6018.5</v>
      </c>
      <c r="N161" s="17">
        <f t="shared" si="80"/>
        <v>6018.5</v>
      </c>
      <c r="O161" s="17">
        <f t="shared" si="81"/>
        <v>0</v>
      </c>
      <c r="P161" s="36">
        <v>0</v>
      </c>
      <c r="Q161" s="17">
        <v>0</v>
      </c>
      <c r="R161" s="17">
        <f t="shared" si="82"/>
        <v>114351.5</v>
      </c>
      <c r="S161" s="17">
        <f t="shared" si="83"/>
        <v>114351.5</v>
      </c>
      <c r="T161" s="17">
        <f t="shared" si="84"/>
        <v>6018.5</v>
      </c>
      <c r="U161" s="2">
        <v>6.3299999999999995E-2</v>
      </c>
      <c r="V161" s="1">
        <f t="shared" si="85"/>
        <v>0</v>
      </c>
      <c r="W161" s="17">
        <v>51484.539499999999</v>
      </c>
      <c r="X161" s="40">
        <f t="shared" si="86"/>
        <v>-1</v>
      </c>
      <c r="Y161" s="40">
        <f t="shared" si="87"/>
        <v>0</v>
      </c>
      <c r="Z161" s="40">
        <f t="shared" si="88"/>
        <v>6018.5</v>
      </c>
      <c r="AA161" s="25">
        <f t="shared" si="89"/>
        <v>0</v>
      </c>
    </row>
    <row r="162" spans="2:27" x14ac:dyDescent="0.2">
      <c r="B162" s="108"/>
      <c r="C162" s="36" t="s">
        <v>131</v>
      </c>
      <c r="D162" s="37" t="s">
        <v>23</v>
      </c>
      <c r="E162" s="37"/>
      <c r="F162" s="17">
        <v>165324</v>
      </c>
      <c r="G162" s="17"/>
      <c r="H162" s="17"/>
      <c r="I162" s="38">
        <f t="shared" si="77"/>
        <v>165324</v>
      </c>
      <c r="J162" s="17"/>
      <c r="K162" s="16">
        <v>157057.79999999999</v>
      </c>
      <c r="L162" s="16">
        <f t="shared" si="78"/>
        <v>157057.79999999999</v>
      </c>
      <c r="M162" s="17">
        <f t="shared" si="79"/>
        <v>8266.2000000000116</v>
      </c>
      <c r="N162" s="17">
        <f t="shared" si="80"/>
        <v>8266.2000000000007</v>
      </c>
      <c r="O162" s="17">
        <f t="shared" si="81"/>
        <v>0</v>
      </c>
      <c r="P162" s="36">
        <v>0</v>
      </c>
      <c r="Q162" s="17">
        <v>0</v>
      </c>
      <c r="R162" s="17">
        <f t="shared" si="82"/>
        <v>157057.79999999999</v>
      </c>
      <c r="S162" s="17">
        <f t="shared" si="83"/>
        <v>157057.79999999999</v>
      </c>
      <c r="T162" s="17">
        <f t="shared" si="84"/>
        <v>8266.2000000000116</v>
      </c>
      <c r="U162" s="2">
        <v>6.3299999999999995E-2</v>
      </c>
      <c r="V162" s="1">
        <f t="shared" si="85"/>
        <v>0</v>
      </c>
      <c r="W162" s="17">
        <v>50603.266666666663</v>
      </c>
      <c r="X162" s="40">
        <f t="shared" si="86"/>
        <v>-1</v>
      </c>
      <c r="Y162" s="40">
        <f t="shared" si="87"/>
        <v>0</v>
      </c>
      <c r="Z162" s="40">
        <f t="shared" si="88"/>
        <v>8266.2000000000116</v>
      </c>
      <c r="AA162" s="25">
        <f t="shared" si="89"/>
        <v>0</v>
      </c>
    </row>
    <row r="163" spans="2:27" x14ac:dyDescent="0.2">
      <c r="B163" s="108"/>
      <c r="C163" s="36" t="s">
        <v>131</v>
      </c>
      <c r="D163" s="37" t="s">
        <v>25</v>
      </c>
      <c r="E163" s="37"/>
      <c r="F163" s="17">
        <v>76213</v>
      </c>
      <c r="G163" s="17"/>
      <c r="H163" s="17"/>
      <c r="I163" s="38">
        <f t="shared" si="77"/>
        <v>76213</v>
      </c>
      <c r="J163" s="17"/>
      <c r="K163" s="16">
        <v>72402.350000000006</v>
      </c>
      <c r="L163" s="16">
        <f t="shared" si="78"/>
        <v>72402.350000000006</v>
      </c>
      <c r="M163" s="17">
        <f t="shared" si="79"/>
        <v>3810.6499999999942</v>
      </c>
      <c r="N163" s="17">
        <f t="shared" si="80"/>
        <v>3810.65</v>
      </c>
      <c r="O163" s="17">
        <f t="shared" si="81"/>
        <v>-5.9117155615240335E-12</v>
      </c>
      <c r="P163" s="36">
        <v>0</v>
      </c>
      <c r="Q163" s="17">
        <v>0</v>
      </c>
      <c r="R163" s="17">
        <f t="shared" si="82"/>
        <v>72402.350000000006</v>
      </c>
      <c r="S163" s="17">
        <f t="shared" si="83"/>
        <v>72402.350000000006</v>
      </c>
      <c r="T163" s="17">
        <f t="shared" si="84"/>
        <v>3810.6499999999942</v>
      </c>
      <c r="U163" s="2">
        <v>6.3299999999999995E-2</v>
      </c>
      <c r="V163" s="1">
        <f t="shared" si="85"/>
        <v>0</v>
      </c>
      <c r="W163" s="17">
        <v>18100.587500000001</v>
      </c>
      <c r="X163" s="40">
        <f t="shared" si="86"/>
        <v>-1</v>
      </c>
      <c r="Y163" s="40">
        <f t="shared" si="87"/>
        <v>0</v>
      </c>
      <c r="Z163" s="40">
        <f t="shared" si="88"/>
        <v>3810.6499999999942</v>
      </c>
      <c r="AA163" s="25">
        <f t="shared" si="89"/>
        <v>5.9117155615240335E-12</v>
      </c>
    </row>
    <row r="164" spans="2:27" x14ac:dyDescent="0.2">
      <c r="B164" s="108"/>
      <c r="C164" s="36" t="s">
        <v>131</v>
      </c>
      <c r="D164" s="37" t="s">
        <v>26</v>
      </c>
      <c r="E164" s="37"/>
      <c r="F164" s="17">
        <v>6800</v>
      </c>
      <c r="G164" s="17"/>
      <c r="H164" s="17"/>
      <c r="I164" s="38">
        <f t="shared" si="77"/>
        <v>6800</v>
      </c>
      <c r="J164" s="17"/>
      <c r="K164" s="16">
        <v>6460</v>
      </c>
      <c r="L164" s="16">
        <f t="shared" si="78"/>
        <v>6460</v>
      </c>
      <c r="M164" s="17">
        <f t="shared" si="79"/>
        <v>340</v>
      </c>
      <c r="N164" s="17">
        <f t="shared" si="80"/>
        <v>340</v>
      </c>
      <c r="O164" s="17">
        <f t="shared" si="81"/>
        <v>0</v>
      </c>
      <c r="P164" s="36">
        <v>0</v>
      </c>
      <c r="Q164" s="17">
        <v>0</v>
      </c>
      <c r="R164" s="17">
        <f t="shared" si="82"/>
        <v>6460</v>
      </c>
      <c r="S164" s="17">
        <f t="shared" si="83"/>
        <v>6460</v>
      </c>
      <c r="T164" s="17">
        <f t="shared" si="84"/>
        <v>340</v>
      </c>
      <c r="U164" s="2">
        <v>6.3299999999999995E-2</v>
      </c>
      <c r="V164" s="1">
        <f t="shared" si="85"/>
        <v>0</v>
      </c>
      <c r="W164" s="17">
        <v>1292</v>
      </c>
      <c r="X164" s="40">
        <f t="shared" si="86"/>
        <v>-1</v>
      </c>
      <c r="Y164" s="40">
        <f t="shared" si="87"/>
        <v>0</v>
      </c>
      <c r="Z164" s="40">
        <f t="shared" si="88"/>
        <v>340</v>
      </c>
      <c r="AA164" s="25">
        <f t="shared" si="89"/>
        <v>0</v>
      </c>
    </row>
    <row r="165" spans="2:27" x14ac:dyDescent="0.2">
      <c r="B165" s="108"/>
      <c r="C165" s="36" t="s">
        <v>131</v>
      </c>
      <c r="D165" s="37" t="s">
        <v>26</v>
      </c>
      <c r="E165" s="37"/>
      <c r="F165" s="17">
        <v>25550</v>
      </c>
      <c r="G165" s="17"/>
      <c r="H165" s="17"/>
      <c r="I165" s="38">
        <f t="shared" si="77"/>
        <v>25550</v>
      </c>
      <c r="J165" s="17"/>
      <c r="K165" s="16">
        <v>24272.5</v>
      </c>
      <c r="L165" s="16">
        <f t="shared" si="78"/>
        <v>24272.5</v>
      </c>
      <c r="M165" s="17">
        <f t="shared" si="79"/>
        <v>1277.5</v>
      </c>
      <c r="N165" s="17">
        <f t="shared" si="80"/>
        <v>1277.5</v>
      </c>
      <c r="O165" s="17">
        <f t="shared" si="81"/>
        <v>0</v>
      </c>
      <c r="P165" s="36">
        <v>0</v>
      </c>
      <c r="Q165" s="17">
        <v>0</v>
      </c>
      <c r="R165" s="17">
        <f t="shared" si="82"/>
        <v>24272.5</v>
      </c>
      <c r="S165" s="17">
        <f t="shared" si="83"/>
        <v>24272.5</v>
      </c>
      <c r="T165" s="17">
        <f t="shared" si="84"/>
        <v>1277.5</v>
      </c>
      <c r="U165" s="2">
        <v>6.3299999999999995E-2</v>
      </c>
      <c r="V165" s="1">
        <f t="shared" si="85"/>
        <v>0</v>
      </c>
      <c r="W165" s="17">
        <v>4854.5</v>
      </c>
      <c r="X165" s="40">
        <f t="shared" si="86"/>
        <v>-1</v>
      </c>
      <c r="Y165" s="40">
        <f t="shared" si="87"/>
        <v>0</v>
      </c>
      <c r="Z165" s="40">
        <f t="shared" si="88"/>
        <v>1277.5</v>
      </c>
      <c r="AA165" s="25">
        <f t="shared" si="89"/>
        <v>0</v>
      </c>
    </row>
    <row r="166" spans="2:27" x14ac:dyDescent="0.2">
      <c r="B166" s="108"/>
      <c r="C166" s="36" t="s">
        <v>131</v>
      </c>
      <c r="D166" s="37" t="s">
        <v>26</v>
      </c>
      <c r="E166" s="37"/>
      <c r="F166" s="17">
        <v>19834.13</v>
      </c>
      <c r="G166" s="17"/>
      <c r="H166" s="17"/>
      <c r="I166" s="38">
        <f t="shared" si="77"/>
        <v>19834.13</v>
      </c>
      <c r="J166" s="17"/>
      <c r="K166" s="16">
        <v>18842.423500000001</v>
      </c>
      <c r="L166" s="16">
        <f t="shared" si="78"/>
        <v>18842.423500000001</v>
      </c>
      <c r="M166" s="17">
        <f t="shared" si="79"/>
        <v>991.70650000000023</v>
      </c>
      <c r="N166" s="36">
        <f t="shared" si="80"/>
        <v>991.70650000000012</v>
      </c>
      <c r="O166" s="17">
        <f t="shared" si="81"/>
        <v>0</v>
      </c>
      <c r="P166" s="36">
        <v>0</v>
      </c>
      <c r="Q166" s="17">
        <v>0</v>
      </c>
      <c r="R166" s="17">
        <f t="shared" si="82"/>
        <v>18842.423500000001</v>
      </c>
      <c r="S166" s="17">
        <f t="shared" si="83"/>
        <v>18842.423500000001</v>
      </c>
      <c r="T166" s="17">
        <f t="shared" si="84"/>
        <v>991.70650000000023</v>
      </c>
      <c r="U166" s="2">
        <v>6.3299999999999995E-2</v>
      </c>
      <c r="V166" s="1">
        <f t="shared" si="85"/>
        <v>0</v>
      </c>
      <c r="W166" s="17">
        <v>3768.4847</v>
      </c>
      <c r="X166" s="40">
        <f t="shared" si="86"/>
        <v>-1</v>
      </c>
      <c r="Y166" s="40">
        <f t="shared" si="87"/>
        <v>0</v>
      </c>
      <c r="Z166" s="40">
        <f t="shared" si="88"/>
        <v>991.70650000000023</v>
      </c>
      <c r="AA166" s="25">
        <f t="shared" si="89"/>
        <v>0</v>
      </c>
    </row>
    <row r="167" spans="2:27" x14ac:dyDescent="0.2">
      <c r="B167" s="108"/>
      <c r="C167" s="36" t="s">
        <v>132</v>
      </c>
      <c r="D167" s="37" t="s">
        <v>27</v>
      </c>
      <c r="E167" s="37"/>
      <c r="F167" s="17">
        <v>7380</v>
      </c>
      <c r="G167" s="17"/>
      <c r="H167" s="17"/>
      <c r="I167" s="38">
        <f t="shared" si="77"/>
        <v>7380</v>
      </c>
      <c r="J167" s="17"/>
      <c r="K167" s="16">
        <v>7011</v>
      </c>
      <c r="L167" s="16">
        <f t="shared" si="78"/>
        <v>7011</v>
      </c>
      <c r="M167" s="17">
        <f t="shared" si="79"/>
        <v>369</v>
      </c>
      <c r="N167" s="36">
        <f t="shared" si="80"/>
        <v>369</v>
      </c>
      <c r="O167" s="17">
        <f t="shared" si="81"/>
        <v>0</v>
      </c>
      <c r="P167" s="36">
        <v>0</v>
      </c>
      <c r="Q167" s="17">
        <v>0</v>
      </c>
      <c r="R167" s="17">
        <f t="shared" si="82"/>
        <v>7011</v>
      </c>
      <c r="S167" s="17">
        <f t="shared" si="83"/>
        <v>7011</v>
      </c>
      <c r="T167" s="17">
        <f t="shared" si="84"/>
        <v>369</v>
      </c>
      <c r="U167" s="3"/>
      <c r="V167" s="1">
        <f t="shared" si="85"/>
        <v>0</v>
      </c>
      <c r="W167" s="17"/>
      <c r="X167" s="40">
        <f t="shared" si="86"/>
        <v>-1</v>
      </c>
      <c r="Y167" s="40">
        <f t="shared" si="87"/>
        <v>0</v>
      </c>
      <c r="Z167" s="40">
        <f t="shared" si="88"/>
        <v>369</v>
      </c>
      <c r="AA167" s="25">
        <f t="shared" si="89"/>
        <v>0</v>
      </c>
    </row>
    <row r="168" spans="2:27" x14ac:dyDescent="0.2">
      <c r="B168" s="108"/>
      <c r="C168" s="36" t="s">
        <v>133</v>
      </c>
      <c r="D168" s="37" t="s">
        <v>27</v>
      </c>
      <c r="E168" s="37"/>
      <c r="F168" s="17">
        <v>8310</v>
      </c>
      <c r="G168" s="17"/>
      <c r="H168" s="17"/>
      <c r="I168" s="38">
        <f t="shared" si="77"/>
        <v>8310</v>
      </c>
      <c r="J168" s="17"/>
      <c r="K168" s="16">
        <v>7894.5</v>
      </c>
      <c r="L168" s="16">
        <f t="shared" si="78"/>
        <v>7894.5</v>
      </c>
      <c r="M168" s="17">
        <f t="shared" si="79"/>
        <v>415.5</v>
      </c>
      <c r="N168" s="36">
        <f t="shared" si="80"/>
        <v>415.5</v>
      </c>
      <c r="O168" s="17">
        <f t="shared" si="81"/>
        <v>0</v>
      </c>
      <c r="P168" s="36">
        <v>0</v>
      </c>
      <c r="Q168" s="17">
        <v>0</v>
      </c>
      <c r="R168" s="17">
        <f t="shared" si="82"/>
        <v>7894.5</v>
      </c>
      <c r="S168" s="17">
        <f t="shared" si="83"/>
        <v>7894.5</v>
      </c>
      <c r="T168" s="17">
        <f t="shared" si="84"/>
        <v>415.5</v>
      </c>
      <c r="U168" s="3"/>
      <c r="V168" s="1">
        <f t="shared" si="85"/>
        <v>0</v>
      </c>
      <c r="W168" s="17"/>
      <c r="X168" s="40">
        <f t="shared" si="86"/>
        <v>-1</v>
      </c>
      <c r="Y168" s="40">
        <f t="shared" si="87"/>
        <v>0</v>
      </c>
      <c r="Z168" s="40">
        <f t="shared" si="88"/>
        <v>415.5</v>
      </c>
      <c r="AA168" s="25">
        <f t="shared" si="89"/>
        <v>0</v>
      </c>
    </row>
    <row r="169" spans="2:27" s="77" customFormat="1" x14ac:dyDescent="0.2">
      <c r="B169" s="108"/>
      <c r="C169" s="95" t="s">
        <v>29</v>
      </c>
      <c r="D169" s="96"/>
      <c r="E169" s="109"/>
      <c r="F169" s="31">
        <f t="shared" ref="F169:O169" si="90">+SUM(F159:F168)</f>
        <v>494215.2</v>
      </c>
      <c r="G169" s="31">
        <f t="shared" si="90"/>
        <v>0</v>
      </c>
      <c r="H169" s="31">
        <f t="shared" si="90"/>
        <v>0</v>
      </c>
      <c r="I169" s="31">
        <f t="shared" si="90"/>
        <v>494215.2</v>
      </c>
      <c r="J169" s="31">
        <f t="shared" si="90"/>
        <v>0</v>
      </c>
      <c r="K169" s="30">
        <f t="shared" si="90"/>
        <v>469504.44349999999</v>
      </c>
      <c r="L169" s="31">
        <f t="shared" si="90"/>
        <v>469504.44349999999</v>
      </c>
      <c r="M169" s="31">
        <f t="shared" si="90"/>
        <v>24710.756500000003</v>
      </c>
      <c r="N169" s="31">
        <f t="shared" si="90"/>
        <v>24710.760000000002</v>
      </c>
      <c r="O169" s="31">
        <f t="shared" si="90"/>
        <v>-3.5000000070795068E-3</v>
      </c>
      <c r="P169" s="31"/>
      <c r="Q169" s="31">
        <f>+SUM(Q159:Q168)</f>
        <v>0</v>
      </c>
      <c r="R169" s="31">
        <f>+SUM(R159:R168)</f>
        <v>469504.44349999999</v>
      </c>
      <c r="S169" s="31">
        <f>+SUM(S159:S168)</f>
        <v>469504.44349999999</v>
      </c>
      <c r="T169" s="31">
        <f>+SUM(T159:T168)</f>
        <v>24710.756500000003</v>
      </c>
      <c r="V169" s="98">
        <f>SUM(V159:V168)</f>
        <v>0</v>
      </c>
      <c r="W169" s="27">
        <v>179453.06758548858</v>
      </c>
      <c r="AA169" s="28"/>
    </row>
    <row r="170" spans="2:27" ht="15" thickBot="1" x14ac:dyDescent="0.25">
      <c r="B170" s="74"/>
      <c r="C170" s="110"/>
      <c r="D170" s="111"/>
      <c r="E170" s="111"/>
      <c r="F170" s="24"/>
      <c r="G170" s="24"/>
      <c r="H170" s="24"/>
      <c r="I170" s="62"/>
      <c r="J170" s="82"/>
      <c r="K170" s="62"/>
      <c r="L170" s="62"/>
      <c r="M170" s="83"/>
      <c r="N170" s="79"/>
      <c r="O170" s="79"/>
      <c r="P170" s="79"/>
      <c r="Q170" s="26"/>
      <c r="R170" s="26"/>
      <c r="S170" s="26"/>
      <c r="T170" s="26"/>
      <c r="W170" s="17"/>
    </row>
    <row r="171" spans="2:27" ht="15" thickBot="1" x14ac:dyDescent="0.25">
      <c r="B171" s="105" t="s">
        <v>134</v>
      </c>
      <c r="C171" s="77" t="s">
        <v>135</v>
      </c>
      <c r="D171" s="112">
        <v>6.33</v>
      </c>
      <c r="F171" s="14"/>
      <c r="G171" s="18"/>
      <c r="H171" s="18"/>
      <c r="I171" s="19"/>
      <c r="J171" s="73"/>
      <c r="L171" s="19"/>
      <c r="M171" s="78"/>
      <c r="N171" s="84"/>
      <c r="O171" s="84"/>
      <c r="P171" s="84"/>
      <c r="Q171" s="13"/>
      <c r="R171" s="13"/>
      <c r="S171" s="13"/>
      <c r="T171" s="13"/>
      <c r="W171" s="17"/>
    </row>
    <row r="172" spans="2:27" x14ac:dyDescent="0.2">
      <c r="B172" s="74"/>
      <c r="C172" s="36" t="s">
        <v>135</v>
      </c>
      <c r="D172" s="37" t="s">
        <v>17</v>
      </c>
      <c r="E172" s="85"/>
      <c r="F172" s="17">
        <v>669116</v>
      </c>
      <c r="G172" s="17"/>
      <c r="H172" s="17"/>
      <c r="I172" s="38">
        <f t="shared" ref="I172:I176" si="91">+F172+G172-H172</f>
        <v>669116</v>
      </c>
      <c r="J172" s="17">
        <v>77551.956515799073</v>
      </c>
      <c r="K172" s="16">
        <v>829540.09128949768</v>
      </c>
      <c r="L172" s="16">
        <v>403004.33045260271</v>
      </c>
      <c r="M172" s="17">
        <f t="shared" ref="M172:M176" si="92">+I172-L172</f>
        <v>266111.66954739729</v>
      </c>
      <c r="N172" s="17">
        <f>+F172*0.05</f>
        <v>33455.800000000003</v>
      </c>
      <c r="O172" s="17">
        <f>+I172-L172-N172</f>
        <v>232655.86954739731</v>
      </c>
      <c r="P172" s="84">
        <v>0</v>
      </c>
      <c r="Q172" s="17">
        <v>0</v>
      </c>
      <c r="R172" s="17">
        <f>+K172</f>
        <v>829540.09128949768</v>
      </c>
      <c r="S172" s="17">
        <f>+Q172+R172</f>
        <v>829540.09128949768</v>
      </c>
      <c r="T172" s="17">
        <f>+F172-S172</f>
        <v>-160424.09128949768</v>
      </c>
      <c r="U172" s="4">
        <v>6.3299999999999995E-2</v>
      </c>
      <c r="V172" s="1">
        <f>+Q172/4*3</f>
        <v>0</v>
      </c>
      <c r="W172" s="17">
        <v>84611.130315799077</v>
      </c>
      <c r="X172" s="40">
        <f>+P172-1</f>
        <v>-1</v>
      </c>
      <c r="Y172" s="40">
        <f>+Q172*X172</f>
        <v>0</v>
      </c>
      <c r="Z172" s="40">
        <f>+T172-Y172</f>
        <v>-160424.09128949768</v>
      </c>
      <c r="AA172" s="25">
        <f>+N172-Z172</f>
        <v>193879.89128949767</v>
      </c>
    </row>
    <row r="173" spans="2:27" x14ac:dyDescent="0.2">
      <c r="B173" s="74"/>
      <c r="C173" s="36" t="s">
        <v>135</v>
      </c>
      <c r="D173" s="37" t="s">
        <v>21</v>
      </c>
      <c r="E173" s="37"/>
      <c r="F173" s="17">
        <v>685393</v>
      </c>
      <c r="G173" s="17"/>
      <c r="H173" s="17"/>
      <c r="I173" s="38">
        <f t="shared" si="91"/>
        <v>685393</v>
      </c>
      <c r="J173" s="17">
        <v>70696.031328571422</v>
      </c>
      <c r="K173" s="16">
        <v>674688.69377619051</v>
      </c>
      <c r="L173" s="16">
        <v>368339.22468571429</v>
      </c>
      <c r="M173" s="17">
        <f t="shared" si="92"/>
        <v>317053.77531428571</v>
      </c>
      <c r="N173" s="17">
        <f>+F173*0.05</f>
        <v>34269.65</v>
      </c>
      <c r="O173" s="17">
        <f>+I173-L173-N173</f>
        <v>282784.12531428569</v>
      </c>
      <c r="P173" s="84">
        <v>1</v>
      </c>
      <c r="Q173" s="17">
        <f>+O173/P173</f>
        <v>282784.12531428569</v>
      </c>
      <c r="R173" s="17">
        <f>+K173</f>
        <v>674688.69377619051</v>
      </c>
      <c r="S173" s="17">
        <f>+Q173+R173</f>
        <v>957472.81909047626</v>
      </c>
      <c r="T173" s="17">
        <f>+F173-S173</f>
        <v>-272079.81909047626</v>
      </c>
      <c r="U173" s="4">
        <v>6.3299999999999995E-2</v>
      </c>
      <c r="V173" s="1">
        <f>+Q173/4*3</f>
        <v>212088.09398571425</v>
      </c>
      <c r="W173" s="17">
        <v>76893.942314285712</v>
      </c>
      <c r="X173" s="40">
        <f>+P173-1</f>
        <v>0</v>
      </c>
      <c r="Y173" s="40">
        <f>+Q173*X173</f>
        <v>0</v>
      </c>
      <c r="Z173" s="40">
        <f>+T173-Y173</f>
        <v>-272079.81909047626</v>
      </c>
      <c r="AA173" s="25">
        <f>+N173-Z173</f>
        <v>306349.46909047628</v>
      </c>
    </row>
    <row r="174" spans="2:27" x14ac:dyDescent="0.2">
      <c r="B174" s="74"/>
      <c r="C174" s="36" t="s">
        <v>135</v>
      </c>
      <c r="D174" s="37" t="s">
        <v>22</v>
      </c>
      <c r="E174" s="37"/>
      <c r="F174" s="17">
        <v>4800</v>
      </c>
      <c r="G174" s="17"/>
      <c r="H174" s="17"/>
      <c r="I174" s="38">
        <f t="shared" si="91"/>
        <v>4800</v>
      </c>
      <c r="J174" s="17">
        <v>481.41499999999996</v>
      </c>
      <c r="K174" s="16">
        <v>4038.4670833333334</v>
      </c>
      <c r="L174" s="16">
        <v>2152.9250000000002</v>
      </c>
      <c r="M174" s="17">
        <f t="shared" si="92"/>
        <v>2647.0749999999998</v>
      </c>
      <c r="N174" s="17">
        <f>+F174*0.05</f>
        <v>240</v>
      </c>
      <c r="O174" s="17">
        <f>+I174-L174-N174</f>
        <v>2407.0749999999998</v>
      </c>
      <c r="P174" s="84">
        <v>2</v>
      </c>
      <c r="Q174" s="17">
        <f>+O174/P174</f>
        <v>1203.5374999999999</v>
      </c>
      <c r="R174" s="17">
        <f>+K174</f>
        <v>4038.4670833333334</v>
      </c>
      <c r="S174" s="17">
        <f>+Q174+R174</f>
        <v>5242.0045833333334</v>
      </c>
      <c r="T174" s="17">
        <f>+F174-S174</f>
        <v>-442.00458333333336</v>
      </c>
      <c r="U174" s="4">
        <v>6.3299999999999995E-2</v>
      </c>
      <c r="V174" s="1">
        <f>+Q174/4*3</f>
        <v>902.65312499999993</v>
      </c>
      <c r="W174" s="17">
        <v>519.39499999999998</v>
      </c>
      <c r="X174" s="40">
        <f>+P174-1</f>
        <v>1</v>
      </c>
      <c r="Y174" s="40">
        <f>+Q174*X174</f>
        <v>1203.5374999999999</v>
      </c>
      <c r="Z174" s="40">
        <f>+T174-Y174</f>
        <v>-1645.5420833333333</v>
      </c>
      <c r="AA174" s="25">
        <f>+N174-Z174</f>
        <v>1885.5420833333333</v>
      </c>
    </row>
    <row r="175" spans="2:27" x14ac:dyDescent="0.2">
      <c r="B175" s="74"/>
      <c r="C175" s="36" t="s">
        <v>135</v>
      </c>
      <c r="D175" s="37" t="s">
        <v>23</v>
      </c>
      <c r="E175" s="37"/>
      <c r="F175" s="17">
        <v>8777</v>
      </c>
      <c r="G175" s="17"/>
      <c r="H175" s="17"/>
      <c r="I175" s="38">
        <f t="shared" si="91"/>
        <v>8777</v>
      </c>
      <c r="J175" s="17">
        <v>827.39621111111114</v>
      </c>
      <c r="K175" s="16">
        <v>6435.1387144444443</v>
      </c>
      <c r="L175" s="16">
        <v>3373.7727333333332</v>
      </c>
      <c r="M175" s="17">
        <f t="shared" si="92"/>
        <v>5403.2272666666668</v>
      </c>
      <c r="N175" s="17">
        <f>+F175*0.05</f>
        <v>438.85</v>
      </c>
      <c r="O175" s="17">
        <f>+I175-L175-N175</f>
        <v>4964.3772666666664</v>
      </c>
      <c r="P175" s="84">
        <v>3</v>
      </c>
      <c r="Q175" s="17">
        <f>+O175/P175</f>
        <v>1654.7924222222221</v>
      </c>
      <c r="R175" s="17">
        <f>+K175</f>
        <v>6435.1387144444443</v>
      </c>
      <c r="S175" s="17">
        <f>+Q175+R175</f>
        <v>8089.9311366666661</v>
      </c>
      <c r="T175" s="17">
        <f>+F175-S175</f>
        <v>687.06886333333387</v>
      </c>
      <c r="U175" s="4">
        <v>6.3299999999999995E-2</v>
      </c>
      <c r="V175" s="1">
        <f>+Q175/4*3</f>
        <v>1241.0943166666666</v>
      </c>
      <c r="W175" s="17">
        <v>889.12777777777774</v>
      </c>
      <c r="X175" s="40">
        <f>+P175-1</f>
        <v>2</v>
      </c>
      <c r="Y175" s="40">
        <f>+Q175*X175</f>
        <v>3309.5848444444441</v>
      </c>
      <c r="Z175" s="40">
        <f>+T175-Y175</f>
        <v>-2622.5159811111102</v>
      </c>
      <c r="AA175" s="25">
        <f>+N175-Z175</f>
        <v>3061.3659811111102</v>
      </c>
    </row>
    <row r="176" spans="2:27" x14ac:dyDescent="0.2">
      <c r="B176" s="74"/>
      <c r="C176" s="36" t="s">
        <v>135</v>
      </c>
      <c r="D176" s="37" t="s">
        <v>25</v>
      </c>
      <c r="E176" s="37"/>
      <c r="F176" s="17">
        <v>32347.5</v>
      </c>
      <c r="G176" s="17"/>
      <c r="H176" s="17"/>
      <c r="I176" s="38">
        <f t="shared" si="91"/>
        <v>32347.5</v>
      </c>
      <c r="J176" s="17">
        <v>3021.8125</v>
      </c>
      <c r="K176" s="16">
        <v>20355.235416666666</v>
      </c>
      <c r="L176" s="16">
        <v>9577.4375</v>
      </c>
      <c r="M176" s="17">
        <f t="shared" si="92"/>
        <v>22770.0625</v>
      </c>
      <c r="N176" s="17">
        <f>+F176*0.05</f>
        <v>1617.375</v>
      </c>
      <c r="O176" s="17">
        <f>+I176-L176-N176</f>
        <v>21152.6875</v>
      </c>
      <c r="P176" s="84">
        <v>4</v>
      </c>
      <c r="Q176" s="17">
        <f>+O176/P176</f>
        <v>5288.171875</v>
      </c>
      <c r="R176" s="17">
        <f>+K176</f>
        <v>20355.235416666666</v>
      </c>
      <c r="S176" s="17">
        <f>+Q176+R176</f>
        <v>25643.407291666666</v>
      </c>
      <c r="T176" s="17">
        <f>+F176-S176</f>
        <v>6704.0927083333336</v>
      </c>
      <c r="U176" s="4">
        <v>6.3299999999999995E-2</v>
      </c>
      <c r="V176" s="1">
        <f>+Q176/4*3</f>
        <v>3966.12890625</v>
      </c>
      <c r="W176" s="17">
        <v>3073.0124999999998</v>
      </c>
      <c r="X176" s="40">
        <f>+P176-1</f>
        <v>3</v>
      </c>
      <c r="Y176" s="40">
        <f>+Q176*X176</f>
        <v>15864.515625</v>
      </c>
      <c r="Z176" s="40">
        <f>+T176-Y176</f>
        <v>-9160.4229166666664</v>
      </c>
      <c r="AA176" s="25">
        <f>+N176-Z176</f>
        <v>10777.797916666666</v>
      </c>
    </row>
    <row r="177" spans="2:27" s="77" customFormat="1" x14ac:dyDescent="0.2">
      <c r="B177" s="74"/>
      <c r="C177" s="95" t="s">
        <v>29</v>
      </c>
      <c r="D177" s="96"/>
      <c r="E177" s="96"/>
      <c r="F177" s="27">
        <f t="shared" ref="F177:O177" si="93">SUM(F172:F176)</f>
        <v>1400433.5</v>
      </c>
      <c r="G177" s="27">
        <f t="shared" si="93"/>
        <v>0</v>
      </c>
      <c r="H177" s="27">
        <f t="shared" si="93"/>
        <v>0</v>
      </c>
      <c r="I177" s="27">
        <f t="shared" si="93"/>
        <v>1400433.5</v>
      </c>
      <c r="J177" s="27">
        <f t="shared" si="93"/>
        <v>152578.61155548159</v>
      </c>
      <c r="K177" s="30">
        <f t="shared" si="93"/>
        <v>1535057.6262801324</v>
      </c>
      <c r="L177" s="30">
        <f t="shared" si="93"/>
        <v>786447.69037165027</v>
      </c>
      <c r="M177" s="27">
        <f t="shared" si="93"/>
        <v>613985.80962834973</v>
      </c>
      <c r="N177" s="27">
        <f t="shared" si="93"/>
        <v>70021.675000000017</v>
      </c>
      <c r="O177" s="27">
        <f t="shared" si="93"/>
        <v>543964.13462834968</v>
      </c>
      <c r="P177" s="95"/>
      <c r="Q177" s="27">
        <f>SUM(Q172:Q176)</f>
        <v>290930.62711150787</v>
      </c>
      <c r="R177" s="27">
        <f>SUM(R172:R176)</f>
        <v>1535057.6262801324</v>
      </c>
      <c r="S177" s="27">
        <f>SUM(S172:S176)</f>
        <v>1825988.2533916405</v>
      </c>
      <c r="T177" s="27">
        <f>SUM(T172:T176)</f>
        <v>-425554.75339164061</v>
      </c>
      <c r="V177" s="98">
        <f>SUM(V172:V176)</f>
        <v>218197.97033363092</v>
      </c>
      <c r="W177" s="27">
        <v>165986.60790786258</v>
      </c>
      <c r="AA177" s="28"/>
    </row>
    <row r="178" spans="2:27" ht="15" thickBot="1" x14ac:dyDescent="0.25">
      <c r="B178" s="74"/>
      <c r="F178" s="18"/>
      <c r="G178" s="18"/>
      <c r="H178" s="18"/>
      <c r="I178" s="19"/>
      <c r="J178" s="73"/>
      <c r="L178" s="19"/>
      <c r="M178" s="73"/>
      <c r="N178" s="79"/>
      <c r="O178" s="79"/>
      <c r="P178" s="79"/>
      <c r="Q178" s="26"/>
      <c r="R178" s="26"/>
      <c r="S178" s="26"/>
      <c r="T178" s="26"/>
      <c r="W178" s="17"/>
    </row>
    <row r="179" spans="2:27" x14ac:dyDescent="0.2">
      <c r="B179" s="106" t="s">
        <v>136</v>
      </c>
      <c r="C179" s="113" t="s">
        <v>137</v>
      </c>
      <c r="D179" s="114">
        <v>16.21</v>
      </c>
      <c r="F179" s="18"/>
      <c r="G179" s="18"/>
      <c r="H179" s="18"/>
      <c r="I179" s="19"/>
      <c r="J179" s="73"/>
      <c r="L179" s="19"/>
      <c r="M179" s="73"/>
      <c r="N179" s="84"/>
      <c r="O179" s="17">
        <f t="shared" ref="O179:O185" si="94">+I179-L179-N179</f>
        <v>0</v>
      </c>
      <c r="P179" s="84"/>
      <c r="Q179" s="13"/>
      <c r="R179" s="13"/>
      <c r="S179" s="13"/>
      <c r="T179" s="13"/>
      <c r="W179" s="17"/>
      <c r="X179" s="40"/>
    </row>
    <row r="180" spans="2:27" x14ac:dyDescent="0.2">
      <c r="B180" s="95"/>
      <c r="C180" s="36" t="s">
        <v>137</v>
      </c>
      <c r="D180" s="37" t="s">
        <v>17</v>
      </c>
      <c r="E180" s="85"/>
      <c r="F180" s="17">
        <v>260000</v>
      </c>
      <c r="G180" s="17"/>
      <c r="H180" s="17"/>
      <c r="I180" s="38">
        <f t="shared" ref="I180:I190" si="95">+F180+G180-H180</f>
        <v>260000</v>
      </c>
      <c r="J180" s="86"/>
      <c r="K180" s="16">
        <v>247000</v>
      </c>
      <c r="L180" s="16">
        <f t="shared" ref="L180:L190" si="96">J180+K180</f>
        <v>247000</v>
      </c>
      <c r="M180" s="17">
        <f t="shared" ref="M180:M190" si="97">+I180-L180</f>
        <v>13000</v>
      </c>
      <c r="N180" s="17">
        <f t="shared" ref="N180:N190" si="98">+F180*0.05</f>
        <v>13000</v>
      </c>
      <c r="O180" s="17">
        <f t="shared" si="94"/>
        <v>0</v>
      </c>
      <c r="P180" s="36">
        <v>0</v>
      </c>
      <c r="Q180" s="17">
        <v>0</v>
      </c>
      <c r="R180" s="17">
        <f t="shared" ref="R180:R185" si="99">+K180</f>
        <v>247000</v>
      </c>
      <c r="S180" s="17">
        <f t="shared" ref="S180:S189" si="100">+Q180+R180</f>
        <v>247000</v>
      </c>
      <c r="T180" s="17">
        <f t="shared" ref="T180:T185" si="101">+F180-S180</f>
        <v>13000</v>
      </c>
      <c r="U180" s="2">
        <v>0.16209999999999999</v>
      </c>
      <c r="V180" s="1">
        <f t="shared" ref="V180:V190" si="102">+Q180/4*3</f>
        <v>0</v>
      </c>
      <c r="W180" s="17">
        <v>120561.99999999997</v>
      </c>
      <c r="X180" s="40">
        <f t="shared" ref="X180:X190" si="103">+P180-1</f>
        <v>-1</v>
      </c>
      <c r="Y180" s="40">
        <f t="shared" ref="Y180:Y190" si="104">+Q180*X180</f>
        <v>0</v>
      </c>
      <c r="Z180" s="40">
        <f t="shared" ref="Z180:Z189" si="105">+T180-Y180</f>
        <v>13000</v>
      </c>
      <c r="AA180" s="25">
        <f t="shared" ref="AA180:AA185" si="106">+N180-Z180</f>
        <v>0</v>
      </c>
    </row>
    <row r="181" spans="2:27" x14ac:dyDescent="0.2">
      <c r="B181" s="95"/>
      <c r="C181" s="36" t="s">
        <v>137</v>
      </c>
      <c r="D181" s="37" t="s">
        <v>21</v>
      </c>
      <c r="E181" s="85"/>
      <c r="F181" s="17">
        <v>118110.5</v>
      </c>
      <c r="G181" s="17"/>
      <c r="H181" s="17"/>
      <c r="I181" s="38">
        <f t="shared" si="95"/>
        <v>118110.5</v>
      </c>
      <c r="J181" s="86"/>
      <c r="K181" s="16">
        <v>112204.97500000001</v>
      </c>
      <c r="L181" s="16">
        <f t="shared" si="96"/>
        <v>112204.97500000001</v>
      </c>
      <c r="M181" s="17">
        <f t="shared" si="97"/>
        <v>5905.5249999999942</v>
      </c>
      <c r="N181" s="17">
        <f t="shared" si="98"/>
        <v>5905.5250000000005</v>
      </c>
      <c r="O181" s="17">
        <f t="shared" si="94"/>
        <v>0</v>
      </c>
      <c r="P181" s="36">
        <v>0</v>
      </c>
      <c r="Q181" s="17">
        <v>0</v>
      </c>
      <c r="R181" s="17">
        <f t="shared" si="99"/>
        <v>112204.97500000001</v>
      </c>
      <c r="S181" s="17">
        <f t="shared" si="100"/>
        <v>112204.97500000001</v>
      </c>
      <c r="T181" s="17">
        <f t="shared" si="101"/>
        <v>5905.5249999999942</v>
      </c>
      <c r="U181" s="2">
        <v>0.16209999999999999</v>
      </c>
      <c r="V181" s="1">
        <f t="shared" si="102"/>
        <v>0</v>
      </c>
      <c r="W181" s="17">
        <v>66059.550900000002</v>
      </c>
      <c r="X181" s="40">
        <f t="shared" si="103"/>
        <v>-1</v>
      </c>
      <c r="Y181" s="40">
        <f t="shared" si="104"/>
        <v>0</v>
      </c>
      <c r="Z181" s="40">
        <f t="shared" si="105"/>
        <v>5905.5249999999942</v>
      </c>
      <c r="AA181" s="25">
        <f t="shared" si="106"/>
        <v>0</v>
      </c>
    </row>
    <row r="182" spans="2:27" x14ac:dyDescent="0.2">
      <c r="B182" s="95"/>
      <c r="C182" s="36" t="s">
        <v>137</v>
      </c>
      <c r="D182" s="37" t="s">
        <v>22</v>
      </c>
      <c r="E182" s="85"/>
      <c r="F182" s="17">
        <v>63974.01</v>
      </c>
      <c r="G182" s="17"/>
      <c r="H182" s="17"/>
      <c r="I182" s="38">
        <f t="shared" si="95"/>
        <v>63974.01</v>
      </c>
      <c r="J182" s="86"/>
      <c r="K182" s="16">
        <v>60775.309500000003</v>
      </c>
      <c r="L182" s="16">
        <f t="shared" si="96"/>
        <v>60775.309500000003</v>
      </c>
      <c r="M182" s="17">
        <f t="shared" si="97"/>
        <v>3198.700499999999</v>
      </c>
      <c r="N182" s="17">
        <f t="shared" si="98"/>
        <v>3198.7005000000004</v>
      </c>
      <c r="O182" s="17">
        <f t="shared" si="94"/>
        <v>0</v>
      </c>
      <c r="P182" s="36">
        <v>0</v>
      </c>
      <c r="Q182" s="17">
        <v>0</v>
      </c>
      <c r="R182" s="17">
        <f t="shared" si="99"/>
        <v>60775.309500000003</v>
      </c>
      <c r="S182" s="17">
        <f t="shared" si="100"/>
        <v>60775.309500000003</v>
      </c>
      <c r="T182" s="17">
        <f t="shared" si="101"/>
        <v>3198.700499999999</v>
      </c>
      <c r="U182" s="2">
        <v>0.16209999999999999</v>
      </c>
      <c r="V182" s="1">
        <f t="shared" si="102"/>
        <v>0</v>
      </c>
      <c r="W182" s="17">
        <v>45596.122479000005</v>
      </c>
      <c r="X182" s="40">
        <f t="shared" si="103"/>
        <v>-1</v>
      </c>
      <c r="Y182" s="40">
        <f t="shared" si="104"/>
        <v>0</v>
      </c>
      <c r="Z182" s="40">
        <f t="shared" si="105"/>
        <v>3198.700499999999</v>
      </c>
      <c r="AA182" s="25">
        <f t="shared" si="106"/>
        <v>0</v>
      </c>
    </row>
    <row r="183" spans="2:27" x14ac:dyDescent="0.2">
      <c r="B183" s="95"/>
      <c r="C183" s="36" t="s">
        <v>137</v>
      </c>
      <c r="D183" s="37" t="s">
        <v>23</v>
      </c>
      <c r="E183" s="85"/>
      <c r="F183" s="17">
        <v>20202</v>
      </c>
      <c r="G183" s="17"/>
      <c r="H183" s="17"/>
      <c r="I183" s="38">
        <f t="shared" si="95"/>
        <v>20202</v>
      </c>
      <c r="J183" s="86"/>
      <c r="K183" s="16">
        <v>19191.900000000001</v>
      </c>
      <c r="L183" s="16">
        <f t="shared" si="96"/>
        <v>19191.900000000001</v>
      </c>
      <c r="M183" s="17">
        <f t="shared" si="97"/>
        <v>1010.0999999999985</v>
      </c>
      <c r="N183" s="17">
        <f t="shared" si="98"/>
        <v>1010.1</v>
      </c>
      <c r="O183" s="17">
        <f t="shared" si="94"/>
        <v>-1.4779288903810084E-12</v>
      </c>
      <c r="P183" s="36">
        <v>0</v>
      </c>
      <c r="Q183" s="17">
        <v>0</v>
      </c>
      <c r="R183" s="17">
        <f t="shared" si="99"/>
        <v>19191.900000000001</v>
      </c>
      <c r="S183" s="17">
        <f t="shared" si="100"/>
        <v>19191.900000000001</v>
      </c>
      <c r="T183" s="17">
        <f t="shared" si="101"/>
        <v>1010.0999999999985</v>
      </c>
      <c r="U183" s="2">
        <v>0.16209999999999999</v>
      </c>
      <c r="V183" s="1">
        <f t="shared" si="102"/>
        <v>0</v>
      </c>
      <c r="W183" s="17">
        <v>16462.900000000001</v>
      </c>
      <c r="X183" s="40">
        <f t="shared" si="103"/>
        <v>-1</v>
      </c>
      <c r="Y183" s="40">
        <f t="shared" si="104"/>
        <v>0</v>
      </c>
      <c r="Z183" s="40">
        <f t="shared" si="105"/>
        <v>1010.0999999999985</v>
      </c>
      <c r="AA183" s="25">
        <f t="shared" si="106"/>
        <v>1.4779288903810084E-12</v>
      </c>
    </row>
    <row r="184" spans="2:27" x14ac:dyDescent="0.2">
      <c r="B184" s="95"/>
      <c r="C184" s="36" t="s">
        <v>137</v>
      </c>
      <c r="D184" s="37" t="s">
        <v>25</v>
      </c>
      <c r="E184" s="85"/>
      <c r="F184" s="17">
        <v>61422</v>
      </c>
      <c r="G184" s="17"/>
      <c r="H184" s="17"/>
      <c r="I184" s="38">
        <f t="shared" si="95"/>
        <v>61422</v>
      </c>
      <c r="J184" s="86"/>
      <c r="K184" s="16">
        <v>58350.9</v>
      </c>
      <c r="L184" s="16">
        <f t="shared" si="96"/>
        <v>58350.9</v>
      </c>
      <c r="M184" s="17">
        <f t="shared" si="97"/>
        <v>3071.0999999999985</v>
      </c>
      <c r="N184" s="17">
        <f t="shared" si="98"/>
        <v>3071.1000000000004</v>
      </c>
      <c r="O184" s="17">
        <f t="shared" si="94"/>
        <v>0</v>
      </c>
      <c r="P184" s="36">
        <v>0</v>
      </c>
      <c r="Q184" s="17">
        <v>0</v>
      </c>
      <c r="R184" s="17">
        <f t="shared" si="99"/>
        <v>58350.9</v>
      </c>
      <c r="S184" s="17">
        <f t="shared" si="100"/>
        <v>58350.9</v>
      </c>
      <c r="T184" s="17">
        <f t="shared" si="101"/>
        <v>3071.0999999999985</v>
      </c>
      <c r="U184" s="2">
        <v>0.16209999999999999</v>
      </c>
      <c r="V184" s="1">
        <f t="shared" si="102"/>
        <v>0</v>
      </c>
      <c r="W184" s="17">
        <v>29175.45</v>
      </c>
      <c r="X184" s="40">
        <f t="shared" si="103"/>
        <v>-1</v>
      </c>
      <c r="Y184" s="40">
        <f t="shared" si="104"/>
        <v>0</v>
      </c>
      <c r="Z184" s="40">
        <f t="shared" si="105"/>
        <v>3071.0999999999985</v>
      </c>
      <c r="AA184" s="25">
        <f t="shared" si="106"/>
        <v>0</v>
      </c>
    </row>
    <row r="185" spans="2:27" x14ac:dyDescent="0.2">
      <c r="B185" s="95"/>
      <c r="C185" s="36" t="s">
        <v>137</v>
      </c>
      <c r="D185" s="37" t="s">
        <v>26</v>
      </c>
      <c r="E185" s="85"/>
      <c r="F185" s="17">
        <v>22800</v>
      </c>
      <c r="G185" s="17"/>
      <c r="H185" s="17"/>
      <c r="I185" s="38">
        <f t="shared" si="95"/>
        <v>22800</v>
      </c>
      <c r="J185" s="86"/>
      <c r="K185" s="16">
        <v>21660</v>
      </c>
      <c r="L185" s="16">
        <f t="shared" si="96"/>
        <v>21660</v>
      </c>
      <c r="M185" s="17">
        <f t="shared" si="97"/>
        <v>1140</v>
      </c>
      <c r="N185" s="17">
        <f t="shared" si="98"/>
        <v>1140</v>
      </c>
      <c r="O185" s="17">
        <f t="shared" si="94"/>
        <v>0</v>
      </c>
      <c r="P185" s="36">
        <v>0</v>
      </c>
      <c r="Q185" s="17">
        <v>0</v>
      </c>
      <c r="R185" s="17">
        <f t="shared" si="99"/>
        <v>21660</v>
      </c>
      <c r="S185" s="17">
        <f t="shared" si="100"/>
        <v>21660</v>
      </c>
      <c r="T185" s="17">
        <f t="shared" si="101"/>
        <v>1140</v>
      </c>
      <c r="U185" s="2">
        <v>0.16209999999999999</v>
      </c>
      <c r="V185" s="1">
        <f t="shared" si="102"/>
        <v>0</v>
      </c>
      <c r="W185" s="17">
        <v>7220</v>
      </c>
      <c r="X185" s="40">
        <f t="shared" si="103"/>
        <v>-1</v>
      </c>
      <c r="Y185" s="40">
        <f t="shared" si="104"/>
        <v>0</v>
      </c>
      <c r="Z185" s="40">
        <f t="shared" si="105"/>
        <v>1140</v>
      </c>
      <c r="AA185" s="25">
        <f t="shared" si="106"/>
        <v>0</v>
      </c>
    </row>
    <row r="186" spans="2:27" x14ac:dyDescent="0.2">
      <c r="B186" s="95"/>
      <c r="C186" s="36" t="s">
        <v>137</v>
      </c>
      <c r="D186" s="37" t="s">
        <v>169</v>
      </c>
      <c r="E186" s="85"/>
      <c r="F186" s="17">
        <v>16950</v>
      </c>
      <c r="G186" s="17"/>
      <c r="H186" s="17"/>
      <c r="I186" s="38">
        <f t="shared" si="95"/>
        <v>16950</v>
      </c>
      <c r="J186" s="86"/>
      <c r="K186" s="16"/>
      <c r="L186" s="16"/>
      <c r="M186" s="17"/>
      <c r="N186" s="17">
        <f t="shared" si="98"/>
        <v>847.5</v>
      </c>
      <c r="O186" s="17"/>
      <c r="P186" s="36"/>
      <c r="Q186" s="17"/>
      <c r="R186" s="17"/>
      <c r="S186" s="17"/>
      <c r="T186" s="17"/>
      <c r="U186" s="3"/>
      <c r="V186" s="1"/>
      <c r="W186" s="17"/>
      <c r="X186" s="40"/>
      <c r="Y186" s="40"/>
      <c r="Z186" s="40"/>
    </row>
    <row r="187" spans="2:27" x14ac:dyDescent="0.2">
      <c r="B187" s="95"/>
      <c r="C187" s="36" t="s">
        <v>138</v>
      </c>
      <c r="D187" s="37" t="s">
        <v>27</v>
      </c>
      <c r="E187" s="85"/>
      <c r="F187" s="17">
        <v>7050</v>
      </c>
      <c r="G187" s="17"/>
      <c r="H187" s="17"/>
      <c r="I187" s="38">
        <f t="shared" si="95"/>
        <v>7050</v>
      </c>
      <c r="J187" s="86"/>
      <c r="K187" s="16">
        <v>6697.5</v>
      </c>
      <c r="L187" s="16">
        <f t="shared" si="96"/>
        <v>6697.5</v>
      </c>
      <c r="M187" s="17">
        <f t="shared" si="97"/>
        <v>352.5</v>
      </c>
      <c r="N187" s="17">
        <f t="shared" si="98"/>
        <v>352.5</v>
      </c>
      <c r="O187" s="17">
        <f>+I187-L187-N187</f>
        <v>0</v>
      </c>
      <c r="P187" s="36">
        <v>0</v>
      </c>
      <c r="Q187" s="17">
        <v>0</v>
      </c>
      <c r="R187" s="17">
        <f>+K187</f>
        <v>6697.5</v>
      </c>
      <c r="S187" s="17">
        <f t="shared" si="100"/>
        <v>6697.5</v>
      </c>
      <c r="T187" s="17">
        <f>+F187-S187</f>
        <v>352.5</v>
      </c>
      <c r="U187" s="3"/>
      <c r="V187" s="1">
        <f t="shared" si="102"/>
        <v>0</v>
      </c>
      <c r="W187" s="17">
        <v>7220</v>
      </c>
      <c r="X187" s="40">
        <f t="shared" si="103"/>
        <v>-1</v>
      </c>
      <c r="Y187" s="40">
        <f t="shared" si="104"/>
        <v>0</v>
      </c>
      <c r="Z187" s="40">
        <f t="shared" si="105"/>
        <v>352.5</v>
      </c>
      <c r="AA187" s="25">
        <f>+N187-Z187</f>
        <v>0</v>
      </c>
    </row>
    <row r="188" spans="2:27" x14ac:dyDescent="0.2">
      <c r="B188" s="95"/>
      <c r="C188" s="36" t="s">
        <v>138</v>
      </c>
      <c r="D188" s="37" t="s">
        <v>27</v>
      </c>
      <c r="E188" s="85"/>
      <c r="F188" s="17">
        <v>7200</v>
      </c>
      <c r="G188" s="17"/>
      <c r="H188" s="17"/>
      <c r="I188" s="38">
        <f t="shared" si="95"/>
        <v>7200</v>
      </c>
      <c r="J188" s="86"/>
      <c r="K188" s="16">
        <v>6840</v>
      </c>
      <c r="L188" s="16">
        <f t="shared" si="96"/>
        <v>6840</v>
      </c>
      <c r="M188" s="17">
        <f t="shared" si="97"/>
        <v>360</v>
      </c>
      <c r="N188" s="17">
        <f t="shared" si="98"/>
        <v>360</v>
      </c>
      <c r="O188" s="17">
        <f>+I188-L188-N188</f>
        <v>0</v>
      </c>
      <c r="P188" s="36">
        <v>0</v>
      </c>
      <c r="Q188" s="17">
        <v>0</v>
      </c>
      <c r="R188" s="17">
        <f>+K188</f>
        <v>6840</v>
      </c>
      <c r="S188" s="17">
        <f t="shared" si="100"/>
        <v>6840</v>
      </c>
      <c r="T188" s="17">
        <f>+F188-S188</f>
        <v>360</v>
      </c>
      <c r="U188" s="3"/>
      <c r="V188" s="1">
        <f t="shared" si="102"/>
        <v>0</v>
      </c>
      <c r="W188" s="17">
        <v>7220</v>
      </c>
      <c r="X188" s="40">
        <f t="shared" si="103"/>
        <v>-1</v>
      </c>
      <c r="Y188" s="40">
        <f t="shared" si="104"/>
        <v>0</v>
      </c>
      <c r="Z188" s="40">
        <f t="shared" si="105"/>
        <v>360</v>
      </c>
      <c r="AA188" s="25">
        <f>+N188-Z188</f>
        <v>0</v>
      </c>
    </row>
    <row r="189" spans="2:27" x14ac:dyDescent="0.2">
      <c r="B189" s="95"/>
      <c r="C189" s="36" t="s">
        <v>138</v>
      </c>
      <c r="D189" s="37" t="s">
        <v>28</v>
      </c>
      <c r="E189" s="85"/>
      <c r="F189" s="17">
        <v>7700</v>
      </c>
      <c r="G189" s="17"/>
      <c r="H189" s="17"/>
      <c r="I189" s="38">
        <f t="shared" si="95"/>
        <v>7700</v>
      </c>
      <c r="J189" s="86"/>
      <c r="K189" s="16">
        <v>7315</v>
      </c>
      <c r="L189" s="16">
        <f t="shared" si="96"/>
        <v>7315</v>
      </c>
      <c r="M189" s="17">
        <f t="shared" si="97"/>
        <v>385</v>
      </c>
      <c r="N189" s="17">
        <f t="shared" si="98"/>
        <v>385</v>
      </c>
      <c r="O189" s="17">
        <f>+I189-L189-N189</f>
        <v>0</v>
      </c>
      <c r="P189" s="36">
        <v>0</v>
      </c>
      <c r="Q189" s="17">
        <v>0</v>
      </c>
      <c r="R189" s="17">
        <f>+K189</f>
        <v>7315</v>
      </c>
      <c r="S189" s="17">
        <f t="shared" si="100"/>
        <v>7315</v>
      </c>
      <c r="T189" s="17">
        <f>+F189-S189</f>
        <v>385</v>
      </c>
      <c r="U189" s="3"/>
      <c r="V189" s="1">
        <f t="shared" si="102"/>
        <v>0</v>
      </c>
      <c r="W189" s="17">
        <v>7220</v>
      </c>
      <c r="X189" s="40">
        <f t="shared" si="103"/>
        <v>-1</v>
      </c>
      <c r="Y189" s="40">
        <f t="shared" si="104"/>
        <v>0</v>
      </c>
      <c r="Z189" s="40">
        <f t="shared" si="105"/>
        <v>385</v>
      </c>
      <c r="AA189" s="25">
        <f>+N189-Z189</f>
        <v>0</v>
      </c>
    </row>
    <row r="190" spans="2:27" ht="15" thickBot="1" x14ac:dyDescent="0.25">
      <c r="B190" s="108"/>
      <c r="C190" s="36" t="s">
        <v>139</v>
      </c>
      <c r="D190" s="37" t="s">
        <v>77</v>
      </c>
      <c r="E190" s="37"/>
      <c r="F190" s="1">
        <v>13000</v>
      </c>
      <c r="G190" s="17"/>
      <c r="H190" s="17"/>
      <c r="I190" s="38">
        <f t="shared" si="95"/>
        <v>13000</v>
      </c>
      <c r="J190" s="17"/>
      <c r="K190" s="16">
        <v>7930</v>
      </c>
      <c r="L190" s="16">
        <f t="shared" si="96"/>
        <v>7930</v>
      </c>
      <c r="M190" s="17">
        <f t="shared" si="97"/>
        <v>5070</v>
      </c>
      <c r="N190" s="17">
        <f t="shared" si="98"/>
        <v>650</v>
      </c>
      <c r="O190" s="17">
        <f>+I190-L190-N190</f>
        <v>4420</v>
      </c>
      <c r="P190" s="36">
        <v>2</v>
      </c>
      <c r="Q190" s="17">
        <f>+O190/P190</f>
        <v>2210</v>
      </c>
      <c r="R190" s="17">
        <f>+K190</f>
        <v>7930</v>
      </c>
      <c r="S190" s="17">
        <f>+Q190+R190</f>
        <v>10140</v>
      </c>
      <c r="T190" s="17">
        <f>+G190-S190</f>
        <v>-10140</v>
      </c>
      <c r="U190" s="3"/>
      <c r="V190" s="1">
        <f t="shared" si="102"/>
        <v>1657.5</v>
      </c>
      <c r="W190" s="17"/>
      <c r="X190" s="40">
        <f t="shared" si="103"/>
        <v>1</v>
      </c>
      <c r="Y190" s="40">
        <f t="shared" si="104"/>
        <v>2210</v>
      </c>
      <c r="Z190" s="40"/>
    </row>
    <row r="191" spans="2:27" s="77" customFormat="1" ht="15" thickBot="1" x14ac:dyDescent="0.25">
      <c r="B191" s="74"/>
      <c r="C191" s="115" t="s">
        <v>29</v>
      </c>
      <c r="D191" s="103"/>
      <c r="E191" s="116"/>
      <c r="F191" s="32">
        <f>+SUM(F180:F190)</f>
        <v>598408.51</v>
      </c>
      <c r="G191" s="32">
        <f>+SUM(G180:G190)</f>
        <v>0</v>
      </c>
      <c r="H191" s="29">
        <f>+SUM(H176:H190)</f>
        <v>0</v>
      </c>
      <c r="I191" s="32">
        <f>+SUM(I180:I190)</f>
        <v>598408.51</v>
      </c>
      <c r="J191" s="32">
        <f>+SUM(J180:J190)</f>
        <v>0</v>
      </c>
      <c r="K191" s="117">
        <f>+SUM(K180:K190)</f>
        <v>547965.5845</v>
      </c>
      <c r="L191" s="32">
        <f t="shared" ref="L191:T191" si="107">+SUM(L180:L190)</f>
        <v>547965.5845</v>
      </c>
      <c r="M191" s="32">
        <f t="shared" si="107"/>
        <v>33492.92549999999</v>
      </c>
      <c r="N191" s="32">
        <f t="shared" si="107"/>
        <v>29920.425499999998</v>
      </c>
      <c r="O191" s="32">
        <f t="shared" si="107"/>
        <v>4419.9999999999982</v>
      </c>
      <c r="P191" s="32">
        <f t="shared" si="107"/>
        <v>2</v>
      </c>
      <c r="Q191" s="32">
        <f t="shared" si="107"/>
        <v>2210</v>
      </c>
      <c r="R191" s="32">
        <f t="shared" si="107"/>
        <v>547965.5845</v>
      </c>
      <c r="S191" s="32">
        <f t="shared" si="107"/>
        <v>550175.5845</v>
      </c>
      <c r="T191" s="32">
        <f t="shared" si="107"/>
        <v>18282.92549999999</v>
      </c>
      <c r="U191" s="31">
        <f>+SUM(U180:U189)</f>
        <v>0.97260000000000002</v>
      </c>
      <c r="V191" s="31">
        <f>+SUM(V180:V190)</f>
        <v>1657.5</v>
      </c>
      <c r="W191" s="31">
        <f>+SUM(W180:W189)</f>
        <v>306736.02337899996</v>
      </c>
      <c r="AA191" s="28"/>
    </row>
    <row r="192" spans="2:27" ht="15" thickBot="1" x14ac:dyDescent="0.25">
      <c r="B192" s="108"/>
      <c r="F192" s="18"/>
      <c r="G192" s="18"/>
      <c r="H192" s="18"/>
      <c r="I192" s="19"/>
      <c r="J192" s="73"/>
      <c r="L192" s="19"/>
      <c r="M192" s="78"/>
      <c r="N192" s="36"/>
      <c r="O192" s="36"/>
      <c r="P192" s="36"/>
      <c r="Q192" s="17"/>
      <c r="R192" s="17"/>
      <c r="S192" s="17"/>
      <c r="T192" s="17"/>
      <c r="W192" s="17"/>
    </row>
    <row r="193" spans="2:27" ht="15" thickBot="1" x14ac:dyDescent="0.25">
      <c r="B193" s="105" t="s">
        <v>140</v>
      </c>
      <c r="C193" s="118" t="s">
        <v>141</v>
      </c>
      <c r="D193" s="112">
        <v>6.33</v>
      </c>
      <c r="F193" s="18"/>
      <c r="G193" s="18"/>
      <c r="H193" s="18"/>
      <c r="I193" s="19"/>
      <c r="J193" s="73"/>
      <c r="L193" s="19"/>
      <c r="M193" s="78"/>
      <c r="N193" s="84"/>
      <c r="O193" s="84"/>
      <c r="P193" s="84"/>
      <c r="Q193" s="13"/>
      <c r="R193" s="13">
        <f>+K193</f>
        <v>0</v>
      </c>
      <c r="S193" s="13"/>
      <c r="T193" s="13"/>
      <c r="W193" s="17"/>
    </row>
    <row r="194" spans="2:27" x14ac:dyDescent="0.2">
      <c r="B194" s="74"/>
      <c r="C194" s="36" t="s">
        <v>142</v>
      </c>
      <c r="D194" s="37" t="s">
        <v>17</v>
      </c>
      <c r="E194" s="37"/>
      <c r="F194" s="17">
        <v>26987</v>
      </c>
      <c r="G194" s="17"/>
      <c r="H194" s="17"/>
      <c r="I194" s="38">
        <f t="shared" ref="I194:I197" si="108">+F194+G194-H194</f>
        <v>26987</v>
      </c>
      <c r="J194" s="17"/>
      <c r="K194" s="16">
        <v>25637.65</v>
      </c>
      <c r="L194" s="16">
        <f>K194+J194</f>
        <v>25637.65</v>
      </c>
      <c r="M194" s="17">
        <f t="shared" ref="M194:M197" si="109">+I194-L194</f>
        <v>1349.3499999999985</v>
      </c>
      <c r="N194" s="17">
        <f>+F194*0.05</f>
        <v>1349.3500000000001</v>
      </c>
      <c r="O194" s="17">
        <f>+I194-L194-N194</f>
        <v>0</v>
      </c>
      <c r="P194" s="36">
        <v>0</v>
      </c>
      <c r="Q194" s="17">
        <v>0</v>
      </c>
      <c r="R194" s="13">
        <f>+K194</f>
        <v>25637.65</v>
      </c>
      <c r="S194" s="17">
        <f>+Q194+R194</f>
        <v>25637.65</v>
      </c>
      <c r="T194" s="17">
        <f>+F194-S194</f>
        <v>1349.3499999999985</v>
      </c>
      <c r="U194" s="2">
        <v>6.3299999999999995E-2</v>
      </c>
      <c r="V194" s="1">
        <f>+Q194/4*3</f>
        <v>0</v>
      </c>
      <c r="W194" s="17">
        <v>20076.268700000001</v>
      </c>
      <c r="X194" s="40">
        <f>+P194-1</f>
        <v>-1</v>
      </c>
      <c r="Y194" s="40">
        <f>+Q194*X194</f>
        <v>0</v>
      </c>
      <c r="Z194" s="40">
        <f>+T194-Y194</f>
        <v>1349.3499999999985</v>
      </c>
      <c r="AA194" s="25">
        <f>+N194-Z194</f>
        <v>0</v>
      </c>
    </row>
    <row r="195" spans="2:27" x14ac:dyDescent="0.2">
      <c r="B195" s="74"/>
      <c r="C195" s="36" t="s">
        <v>142</v>
      </c>
      <c r="D195" s="37" t="s">
        <v>21</v>
      </c>
      <c r="E195" s="37"/>
      <c r="F195" s="17">
        <v>14856</v>
      </c>
      <c r="G195" s="17"/>
      <c r="H195" s="17"/>
      <c r="I195" s="38">
        <f t="shared" si="108"/>
        <v>14856</v>
      </c>
      <c r="J195" s="17"/>
      <c r="K195" s="16">
        <v>14113.2</v>
      </c>
      <c r="L195" s="16">
        <f>K195+J195</f>
        <v>14113.2</v>
      </c>
      <c r="M195" s="17">
        <f t="shared" si="109"/>
        <v>742.79999999999927</v>
      </c>
      <c r="N195" s="17">
        <f>+F195*0.05</f>
        <v>742.80000000000007</v>
      </c>
      <c r="O195" s="17">
        <f>+I195-L195-N195</f>
        <v>0</v>
      </c>
      <c r="P195" s="36">
        <v>0</v>
      </c>
      <c r="Q195" s="17">
        <v>0</v>
      </c>
      <c r="R195" s="13">
        <f>+K195</f>
        <v>14113.2</v>
      </c>
      <c r="S195" s="17">
        <f>+Q195+R195</f>
        <v>14113.2</v>
      </c>
      <c r="T195" s="17">
        <f>+F195-S195</f>
        <v>742.79999999999927</v>
      </c>
      <c r="U195" s="2">
        <v>6.3299999999999995E-2</v>
      </c>
      <c r="V195" s="1">
        <f>+Q195/4*3</f>
        <v>0</v>
      </c>
      <c r="W195" s="17">
        <v>11620.430400000001</v>
      </c>
      <c r="X195" s="40">
        <f>+P195-1</f>
        <v>-1</v>
      </c>
      <c r="Y195" s="40">
        <f>+Q195*X195</f>
        <v>0</v>
      </c>
      <c r="Z195" s="40">
        <f>+T195-Y195</f>
        <v>742.79999999999927</v>
      </c>
      <c r="AA195" s="25">
        <f>+N195-Z195</f>
        <v>0</v>
      </c>
    </row>
    <row r="196" spans="2:27" x14ac:dyDescent="0.2">
      <c r="B196" s="74"/>
      <c r="C196" s="36" t="s">
        <v>142</v>
      </c>
      <c r="D196" s="37" t="s">
        <v>23</v>
      </c>
      <c r="E196" s="37"/>
      <c r="F196" s="17">
        <v>15500</v>
      </c>
      <c r="G196" s="17"/>
      <c r="H196" s="17"/>
      <c r="I196" s="38">
        <f t="shared" si="108"/>
        <v>15500</v>
      </c>
      <c r="J196" s="17"/>
      <c r="K196" s="16">
        <v>14725</v>
      </c>
      <c r="L196" s="16">
        <f>K196+J196</f>
        <v>14725</v>
      </c>
      <c r="M196" s="17">
        <f t="shared" si="109"/>
        <v>775</v>
      </c>
      <c r="N196" s="17">
        <f>+F196*0.05</f>
        <v>775</v>
      </c>
      <c r="O196" s="17">
        <f>+I196-L196-N196</f>
        <v>0</v>
      </c>
      <c r="P196" s="36">
        <v>0</v>
      </c>
      <c r="Q196" s="17">
        <v>0</v>
      </c>
      <c r="R196" s="13">
        <f>+K196</f>
        <v>14725</v>
      </c>
      <c r="S196" s="17">
        <f>+Q196+R196</f>
        <v>14725</v>
      </c>
      <c r="T196" s="17">
        <f>+F196-S196</f>
        <v>775</v>
      </c>
      <c r="U196" s="2">
        <v>6.3299999999999995E-2</v>
      </c>
      <c r="V196" s="1">
        <f>+Q196/4*3</f>
        <v>0</v>
      </c>
      <c r="W196" s="17">
        <v>13989</v>
      </c>
      <c r="X196" s="40">
        <f>+P196-1</f>
        <v>-1</v>
      </c>
      <c r="Y196" s="40">
        <f>+Q196*X196</f>
        <v>0</v>
      </c>
      <c r="Z196" s="40">
        <f>+T196-Y196</f>
        <v>775</v>
      </c>
      <c r="AA196" s="25">
        <f>+N196-Z196</f>
        <v>0</v>
      </c>
    </row>
    <row r="197" spans="2:27" x14ac:dyDescent="0.2">
      <c r="B197" s="74"/>
      <c r="C197" s="36" t="s">
        <v>142</v>
      </c>
      <c r="D197" s="37" t="s">
        <v>25</v>
      </c>
      <c r="E197" s="37"/>
      <c r="F197" s="17">
        <v>15511</v>
      </c>
      <c r="G197" s="17"/>
      <c r="H197" s="17"/>
      <c r="I197" s="38">
        <f t="shared" si="108"/>
        <v>15511</v>
      </c>
      <c r="J197" s="17"/>
      <c r="K197" s="16">
        <v>14735.45</v>
      </c>
      <c r="L197" s="16">
        <f>K197+J197</f>
        <v>14735.45</v>
      </c>
      <c r="M197" s="17">
        <f t="shared" si="109"/>
        <v>775.54999999999927</v>
      </c>
      <c r="N197" s="17">
        <f>+F197*0.05</f>
        <v>775.55000000000007</v>
      </c>
      <c r="O197" s="17">
        <f>+I197-L197-N197</f>
        <v>0</v>
      </c>
      <c r="P197" s="36">
        <v>0</v>
      </c>
      <c r="Q197" s="17">
        <v>0</v>
      </c>
      <c r="R197" s="13">
        <f>+K197</f>
        <v>14735.45</v>
      </c>
      <c r="S197" s="17">
        <f>+Q197+R197</f>
        <v>14735.45</v>
      </c>
      <c r="T197" s="17">
        <f>+F197-S197</f>
        <v>775.54999999999927</v>
      </c>
      <c r="U197" s="2">
        <v>6.3299999999999995E-2</v>
      </c>
      <c r="V197" s="1">
        <f>+Q197/4*3</f>
        <v>0</v>
      </c>
      <c r="W197" s="17">
        <v>7367.7250000000004</v>
      </c>
      <c r="X197" s="40">
        <f>+P197-1</f>
        <v>-1</v>
      </c>
      <c r="Y197" s="40">
        <f>+Q197*X197</f>
        <v>0</v>
      </c>
      <c r="Z197" s="40">
        <f>+T197-Y197</f>
        <v>775.54999999999927</v>
      </c>
      <c r="AA197" s="25">
        <f>+N197-Z197</f>
        <v>0</v>
      </c>
    </row>
    <row r="198" spans="2:27" x14ac:dyDescent="0.2">
      <c r="B198" s="74"/>
      <c r="C198" s="36"/>
      <c r="D198" s="37"/>
      <c r="E198" s="37"/>
      <c r="F198" s="17"/>
      <c r="G198" s="17"/>
      <c r="H198" s="17"/>
      <c r="I198" s="89"/>
      <c r="J198" s="17"/>
      <c r="K198" s="16"/>
      <c r="L198" s="16"/>
      <c r="M198" s="86"/>
      <c r="N198" s="17"/>
      <c r="O198" s="17"/>
      <c r="P198" s="36"/>
      <c r="Q198" s="17"/>
      <c r="R198" s="17"/>
      <c r="S198" s="17"/>
      <c r="T198" s="17"/>
      <c r="U198" s="3"/>
      <c r="V198" s="1">
        <f>+Q198/4*3</f>
        <v>0</v>
      </c>
      <c r="W198" s="17"/>
      <c r="X198" s="40"/>
      <c r="Y198" s="40"/>
      <c r="Z198" s="40"/>
    </row>
    <row r="199" spans="2:27" s="77" customFormat="1" x14ac:dyDescent="0.2">
      <c r="B199" s="74"/>
      <c r="C199" s="115" t="s">
        <v>143</v>
      </c>
      <c r="D199" s="103"/>
      <c r="E199" s="103"/>
      <c r="F199" s="23">
        <f>SUM(F194:F198)</f>
        <v>72854</v>
      </c>
      <c r="G199" s="23">
        <f>SUM(G194:G198)</f>
        <v>0</v>
      </c>
      <c r="H199" s="23">
        <f>SUM(H194:H198)</f>
        <v>0</v>
      </c>
      <c r="I199" s="23">
        <f>SUM(I194:I198)</f>
        <v>72854</v>
      </c>
      <c r="J199" s="23">
        <f>SUM(J194:J197)</f>
        <v>0</v>
      </c>
      <c r="K199" s="119">
        <f>SUM(K194:K198)</f>
        <v>69211.3</v>
      </c>
      <c r="L199" s="119">
        <f>SUM(L194:L197)</f>
        <v>69211.3</v>
      </c>
      <c r="M199" s="23">
        <f>SUM(M194:M197)</f>
        <v>3642.6999999999971</v>
      </c>
      <c r="N199" s="120">
        <f>+SUM(N194:N197)</f>
        <v>3642.7000000000003</v>
      </c>
      <c r="O199" s="120">
        <f>+SUM(O194:O197)</f>
        <v>0</v>
      </c>
      <c r="P199" s="121"/>
      <c r="Q199" s="122">
        <f>+SUM(Q194:Q197)</f>
        <v>0</v>
      </c>
      <c r="R199" s="122">
        <f>+SUM(R193:R197)</f>
        <v>69211.3</v>
      </c>
      <c r="S199" s="122">
        <f>+SUM(S193:S197)</f>
        <v>69211.3</v>
      </c>
      <c r="T199" s="122">
        <f>+SUM(T194:T197)</f>
        <v>3642.6999999999971</v>
      </c>
      <c r="V199" s="98">
        <f>SUM(V194:V197)</f>
        <v>0</v>
      </c>
      <c r="W199" s="123">
        <v>53053.424099999997</v>
      </c>
      <c r="AA199" s="28"/>
    </row>
    <row r="200" spans="2:27" x14ac:dyDescent="0.2">
      <c r="B200" s="77"/>
      <c r="F200" s="18"/>
      <c r="G200" s="18"/>
      <c r="H200" s="18"/>
      <c r="I200" s="19"/>
      <c r="J200" s="73"/>
      <c r="L200" s="19"/>
      <c r="M200" s="73"/>
      <c r="Q200" s="18"/>
      <c r="R200" s="18"/>
      <c r="S200" s="18"/>
      <c r="T200" s="18"/>
      <c r="W200" s="18"/>
      <c r="AA200" s="19"/>
    </row>
    <row r="201" spans="2:27" x14ac:dyDescent="0.2">
      <c r="B201" s="77"/>
      <c r="F201" s="18"/>
      <c r="G201" s="18"/>
      <c r="H201" s="18"/>
      <c r="I201" s="19"/>
      <c r="J201" s="73"/>
      <c r="L201" s="19"/>
      <c r="M201" s="73"/>
      <c r="Q201" s="18"/>
      <c r="R201" s="18"/>
      <c r="S201" s="18"/>
      <c r="T201" s="18"/>
      <c r="W201" s="18"/>
      <c r="AA201" s="19"/>
    </row>
    <row r="202" spans="2:27" x14ac:dyDescent="0.2">
      <c r="B202" s="77" t="s">
        <v>144</v>
      </c>
      <c r="C202" s="77" t="s">
        <v>145</v>
      </c>
      <c r="D202" s="124">
        <v>9.5000000000000001E-2</v>
      </c>
      <c r="F202" s="18"/>
      <c r="G202" s="18"/>
      <c r="H202" s="18"/>
      <c r="I202" s="19"/>
      <c r="J202" s="73"/>
      <c r="L202" s="19"/>
      <c r="M202" s="73"/>
      <c r="Q202" s="18"/>
      <c r="R202" s="18"/>
      <c r="S202" s="18"/>
      <c r="T202" s="18"/>
      <c r="W202" s="18"/>
      <c r="X202" s="40"/>
      <c r="AA202" s="19"/>
    </row>
    <row r="203" spans="2:27" x14ac:dyDescent="0.2">
      <c r="B203" s="74"/>
      <c r="C203" s="36" t="s">
        <v>146</v>
      </c>
      <c r="D203" s="37" t="s">
        <v>23</v>
      </c>
      <c r="E203" s="37"/>
      <c r="F203" s="17">
        <v>552114</v>
      </c>
      <c r="G203" s="17"/>
      <c r="H203" s="17"/>
      <c r="I203" s="38">
        <f t="shared" ref="I203:I206" si="110">+F203+G203-H203</f>
        <v>552114</v>
      </c>
      <c r="J203" s="17"/>
      <c r="K203" s="16">
        <v>524508.30000000005</v>
      </c>
      <c r="L203" s="16">
        <f>+J203+K203</f>
        <v>524508.30000000005</v>
      </c>
      <c r="M203" s="17">
        <f t="shared" ref="M203:M206" si="111">+I203-L203</f>
        <v>27605.699999999953</v>
      </c>
      <c r="N203" s="17">
        <f>+F203*0.05</f>
        <v>27605.7</v>
      </c>
      <c r="O203" s="17">
        <f>+I203-L203-N203</f>
        <v>-4.7293724492192268E-11</v>
      </c>
      <c r="P203" s="36">
        <f>1-1</f>
        <v>0</v>
      </c>
      <c r="Q203" s="17">
        <v>0</v>
      </c>
      <c r="R203" s="17">
        <f>+K203</f>
        <v>524508.30000000005</v>
      </c>
      <c r="S203" s="17">
        <f>+Q203+R203</f>
        <v>524508.30000000005</v>
      </c>
      <c r="T203" s="17">
        <f>+F203-S203</f>
        <v>27605.699999999953</v>
      </c>
      <c r="U203" s="4">
        <v>9.5000000000000001E-2</v>
      </c>
      <c r="V203" s="1">
        <f>+Q203/4*3</f>
        <v>0</v>
      </c>
      <c r="W203" s="17">
        <v>78676.216666666674</v>
      </c>
      <c r="X203" s="40">
        <f>+P203-1</f>
        <v>-1</v>
      </c>
      <c r="Y203" s="40">
        <f>+Q203*X203</f>
        <v>0</v>
      </c>
      <c r="Z203" s="40">
        <f>+T203-Y203</f>
        <v>27605.699999999953</v>
      </c>
      <c r="AA203" s="25">
        <f>+N203-Z203</f>
        <v>4.7293724492192268E-11</v>
      </c>
    </row>
    <row r="204" spans="2:27" x14ac:dyDescent="0.2">
      <c r="B204" s="74"/>
      <c r="C204" s="36" t="s">
        <v>147</v>
      </c>
      <c r="D204" s="37" t="s">
        <v>28</v>
      </c>
      <c r="E204" s="37"/>
      <c r="F204" s="17">
        <v>524293</v>
      </c>
      <c r="G204" s="17"/>
      <c r="H204" s="17"/>
      <c r="I204" s="38">
        <f t="shared" si="110"/>
        <v>524293</v>
      </c>
      <c r="J204" s="17"/>
      <c r="K204" s="16">
        <v>221368.15555555554</v>
      </c>
      <c r="L204" s="16">
        <f>+J204+K204</f>
        <v>221368.15555555554</v>
      </c>
      <c r="M204" s="17">
        <f t="shared" si="111"/>
        <v>302924.84444444446</v>
      </c>
      <c r="N204" s="17">
        <f>+F204*0.05</f>
        <v>26214.65</v>
      </c>
      <c r="O204" s="17">
        <f>+I204-L204-N204</f>
        <v>276710.19444444444</v>
      </c>
      <c r="P204" s="36">
        <f>6-1</f>
        <v>5</v>
      </c>
      <c r="Q204" s="17">
        <f>+O204/P204</f>
        <v>55342.038888888885</v>
      </c>
      <c r="R204" s="17">
        <f>+K204</f>
        <v>221368.15555555554</v>
      </c>
      <c r="S204" s="17">
        <f>+Q204+R204</f>
        <v>276710.19444444444</v>
      </c>
      <c r="T204" s="17">
        <f>+F204-S204</f>
        <v>247582.80555555556</v>
      </c>
      <c r="U204" s="4">
        <v>9.5000000000000001E-2</v>
      </c>
      <c r="V204" s="1">
        <f>+Q204/4*3</f>
        <v>41506.52916666666</v>
      </c>
      <c r="W204" s="17">
        <v>78676.216666666674</v>
      </c>
      <c r="X204" s="40">
        <f>+P204-1</f>
        <v>4</v>
      </c>
      <c r="Y204" s="40">
        <f>+Q204*X204</f>
        <v>221368.15555555554</v>
      </c>
      <c r="Z204" s="40">
        <f>+T204-Y204</f>
        <v>26214.650000000023</v>
      </c>
      <c r="AA204" s="25">
        <f>+N204-Z204</f>
        <v>0</v>
      </c>
    </row>
    <row r="205" spans="2:27" x14ac:dyDescent="0.2">
      <c r="B205" s="74"/>
      <c r="C205" s="36" t="s">
        <v>148</v>
      </c>
      <c r="D205" s="37" t="s">
        <v>28</v>
      </c>
      <c r="E205" s="37"/>
      <c r="F205" s="17">
        <v>805645</v>
      </c>
      <c r="G205" s="17"/>
      <c r="H205" s="17"/>
      <c r="I205" s="38">
        <f t="shared" si="110"/>
        <v>805645</v>
      </c>
      <c r="J205" s="17"/>
      <c r="K205" s="16">
        <v>331518.99305555556</v>
      </c>
      <c r="L205" s="16">
        <f>+J205+K205</f>
        <v>331518.99305555556</v>
      </c>
      <c r="M205" s="17">
        <f>+I205-L205</f>
        <v>474126.00694444444</v>
      </c>
      <c r="N205" s="17">
        <f>+I205*0.05</f>
        <v>40282.25</v>
      </c>
      <c r="O205" s="17">
        <f>+I205-L205-N205</f>
        <v>433843.75694444444</v>
      </c>
      <c r="P205" s="36">
        <f t="shared" ref="P205:P206" si="112">6-1</f>
        <v>5</v>
      </c>
      <c r="Q205" s="17">
        <f>+O205/P205</f>
        <v>86768.751388888893</v>
      </c>
      <c r="R205" s="17">
        <f>+K205</f>
        <v>331518.99305555556</v>
      </c>
      <c r="S205" s="17">
        <f>+Q205+R205</f>
        <v>418287.74444444443</v>
      </c>
      <c r="T205" s="17">
        <f>+I205-S205</f>
        <v>387357.25555555557</v>
      </c>
      <c r="U205" s="3"/>
      <c r="V205" s="1">
        <f>+Q205/4*3</f>
        <v>65076.56354166667</v>
      </c>
      <c r="W205" s="17">
        <v>78676.216666666674</v>
      </c>
      <c r="X205" s="40">
        <f>+P205-1</f>
        <v>4</v>
      </c>
      <c r="Y205" s="40">
        <f>+Q205*X205</f>
        <v>347075.00555555557</v>
      </c>
      <c r="Z205" s="40">
        <f>+T205-Y205</f>
        <v>40282.25</v>
      </c>
      <c r="AA205" s="25">
        <f>+N205-Z205</f>
        <v>0</v>
      </c>
    </row>
    <row r="206" spans="2:27" x14ac:dyDescent="0.2">
      <c r="B206" s="74"/>
      <c r="C206" s="36" t="s">
        <v>149</v>
      </c>
      <c r="D206" s="37" t="s">
        <v>28</v>
      </c>
      <c r="E206" s="37"/>
      <c r="F206" s="17">
        <v>950124</v>
      </c>
      <c r="G206" s="17"/>
      <c r="H206" s="17"/>
      <c r="I206" s="38">
        <f t="shared" si="110"/>
        <v>950124</v>
      </c>
      <c r="J206" s="17"/>
      <c r="K206" s="16">
        <v>394961.9458333333</v>
      </c>
      <c r="L206" s="16">
        <f>+J206+K206</f>
        <v>394961.9458333333</v>
      </c>
      <c r="M206" s="17">
        <f t="shared" si="111"/>
        <v>555162.0541666667</v>
      </c>
      <c r="N206" s="17">
        <f>+I206*0.05</f>
        <v>47506.200000000004</v>
      </c>
      <c r="O206" s="17">
        <f>+I206-L206-N206</f>
        <v>507655.85416666669</v>
      </c>
      <c r="P206" s="36">
        <f t="shared" si="112"/>
        <v>5</v>
      </c>
      <c r="Q206" s="17">
        <f>+O206/P206</f>
        <v>101531.17083333334</v>
      </c>
      <c r="R206" s="17">
        <f>+K206</f>
        <v>394961.9458333333</v>
      </c>
      <c r="S206" s="17">
        <f>+Q206+R206</f>
        <v>496493.11666666664</v>
      </c>
      <c r="T206" s="17">
        <f>+I206-S206</f>
        <v>453630.88333333336</v>
      </c>
      <c r="U206" s="3"/>
      <c r="V206" s="1">
        <f>+Q206/4*3</f>
        <v>76148.378125000003</v>
      </c>
      <c r="W206" s="13"/>
      <c r="X206" s="40">
        <f>+P206-1</f>
        <v>4</v>
      </c>
      <c r="Y206" s="40">
        <f>+Q206*X206</f>
        <v>406124.68333333335</v>
      </c>
      <c r="Z206" s="40">
        <f>+T206-Y206</f>
        <v>47506.200000000012</v>
      </c>
      <c r="AA206" s="25">
        <f>+N206-Z206</f>
        <v>0</v>
      </c>
    </row>
    <row r="207" spans="2:27" s="77" customFormat="1" ht="15" thickBot="1" x14ac:dyDescent="0.25">
      <c r="B207" s="74"/>
      <c r="C207" s="125"/>
      <c r="D207" s="126"/>
      <c r="E207" s="126"/>
      <c r="F207" s="33">
        <f>+SUM(F203:F206)</f>
        <v>2832176</v>
      </c>
      <c r="G207" s="33">
        <f>+SUM(G203:G206)</f>
        <v>0</v>
      </c>
      <c r="H207" s="33">
        <f>+SUM(H203:H206)</f>
        <v>0</v>
      </c>
      <c r="I207" s="33">
        <f>+SUM(I203:I206)</f>
        <v>2832176</v>
      </c>
      <c r="J207" s="33">
        <f>+SUM(J203:J203)</f>
        <v>0</v>
      </c>
      <c r="K207" s="127">
        <f>+SUM(K203:K206)</f>
        <v>1472357.3944444444</v>
      </c>
      <c r="L207" s="127">
        <f>+SUM(L203:L206)</f>
        <v>1472357.3944444444</v>
      </c>
      <c r="M207" s="33">
        <f>+SUM(M203:M206)</f>
        <v>1359818.6055555556</v>
      </c>
      <c r="N207" s="33">
        <f>+SUM(N203:N206)</f>
        <v>141608.80000000002</v>
      </c>
      <c r="O207" s="33">
        <f>+SUM(O203:O206)</f>
        <v>1218209.8055555555</v>
      </c>
      <c r="P207" s="128"/>
      <c r="Q207" s="33">
        <f>+SUM(Q203:Q206)</f>
        <v>243641.9611111111</v>
      </c>
      <c r="R207" s="33">
        <f>+SUM(R203:R206)</f>
        <v>1472357.3944444444</v>
      </c>
      <c r="S207" s="33">
        <f>+SUM(S203:S206)</f>
        <v>1715999.3555555558</v>
      </c>
      <c r="T207" s="33">
        <f>+SUM(T203:T206)</f>
        <v>1116176.6444444444</v>
      </c>
      <c r="V207" s="129">
        <f>+SUM(V203:V206)</f>
        <v>182731.47083333333</v>
      </c>
      <c r="W207" s="129">
        <v>400691.54</v>
      </c>
      <c r="AA207" s="28"/>
    </row>
    <row r="208" spans="2:27" ht="15" thickTop="1" x14ac:dyDescent="0.2">
      <c r="B208" s="74"/>
      <c r="F208" s="18"/>
      <c r="G208" s="18"/>
      <c r="H208" s="18"/>
      <c r="I208" s="19"/>
      <c r="J208" s="18"/>
      <c r="K208" s="19"/>
      <c r="L208" s="19"/>
      <c r="M208" s="99"/>
    </row>
    <row r="209" spans="2:30" ht="15" thickBot="1" x14ac:dyDescent="0.25">
      <c r="B209" s="77"/>
      <c r="F209" s="18"/>
      <c r="G209" s="18"/>
      <c r="H209" s="18"/>
      <c r="I209" s="19"/>
      <c r="J209" s="73"/>
      <c r="L209" s="19"/>
      <c r="M209" s="73"/>
      <c r="O209" s="40"/>
      <c r="AD209" s="41">
        <v>690543</v>
      </c>
    </row>
    <row r="210" spans="2:30" ht="15" thickBot="1" x14ac:dyDescent="0.25">
      <c r="B210" s="77"/>
      <c r="C210" s="130" t="s">
        <v>29</v>
      </c>
      <c r="D210" s="131"/>
      <c r="E210" s="76"/>
      <c r="F210" s="34">
        <f t="shared" ref="F210:O210" si="113">+F207+F199+F191+F177+F169+F155+F147+F129+F19+F4</f>
        <v>350192159.17999995</v>
      </c>
      <c r="G210" s="34">
        <f t="shared" si="113"/>
        <v>0</v>
      </c>
      <c r="H210" s="34">
        <f t="shared" si="113"/>
        <v>0</v>
      </c>
      <c r="I210" s="34">
        <f t="shared" si="113"/>
        <v>350192159.17999995</v>
      </c>
      <c r="J210" s="34">
        <f t="shared" si="113"/>
        <v>152578.61155548159</v>
      </c>
      <c r="K210" s="132">
        <f t="shared" si="113"/>
        <v>197286390.8539356</v>
      </c>
      <c r="L210" s="34">
        <f t="shared" si="113"/>
        <v>141459395.58598024</v>
      </c>
      <c r="M210" s="34">
        <f t="shared" si="113"/>
        <v>137831817.06315294</v>
      </c>
      <c r="N210" s="34">
        <f t="shared" si="113"/>
        <v>29191345.809</v>
      </c>
      <c r="O210" s="34">
        <f t="shared" si="113"/>
        <v>179525315.28501976</v>
      </c>
      <c r="Q210" s="34">
        <f>+Q207+Q199+Q191+Q177+Q169+Q155+Q147+Q129+Q19+Q4</f>
        <v>14289764.340850877</v>
      </c>
      <c r="R210" s="34">
        <f>+R207+R199+R191+R177+R169+R155+R147+R129+R19+R4</f>
        <v>185043701.8539356</v>
      </c>
      <c r="S210" s="34">
        <f>+S207+S199+S191+S177+S169+S155+S147+S129+S19+S4</f>
        <v>211576155.19478649</v>
      </c>
      <c r="T210" s="34">
        <f>+T207+T199+T191+T177+T169+T155+T147+T129+T19+T4</f>
        <v>127320611.97545409</v>
      </c>
      <c r="V210" s="34">
        <f>+V207+V199+V191+V177+V169+V155+V147+V129+V19+V4</f>
        <v>10016675.795458745</v>
      </c>
      <c r="W210" s="34">
        <v>16020345.58894892</v>
      </c>
      <c r="AA210" s="25">
        <f>+SUM(AA3:AA207)</f>
        <v>727723.91747880005</v>
      </c>
      <c r="AD210" s="41">
        <f>20733+45471+9171+5080</f>
        <v>80455</v>
      </c>
    </row>
    <row r="211" spans="2:30" x14ac:dyDescent="0.2">
      <c r="F211" s="1">
        <f>+F210+G210</f>
        <v>350192159.17999995</v>
      </c>
      <c r="L211" s="40">
        <v>91984049.739999995</v>
      </c>
      <c r="M211" s="40">
        <f>+L210-L211</f>
        <v>49475345.845980242</v>
      </c>
      <c r="Q211" s="1">
        <v>-14146790</v>
      </c>
      <c r="S211" s="1">
        <v>-211576155</v>
      </c>
      <c r="T211" s="1">
        <v>350175210.60000002</v>
      </c>
      <c r="AD211" s="41">
        <f>+AD209+AD210</f>
        <v>770998</v>
      </c>
    </row>
    <row r="212" spans="2:30" x14ac:dyDescent="0.2">
      <c r="V212" s="40"/>
      <c r="AD212" s="41">
        <v>770998</v>
      </c>
    </row>
    <row r="213" spans="2:30" x14ac:dyDescent="0.2">
      <c r="C213" s="41" t="s">
        <v>19</v>
      </c>
      <c r="I213" s="17">
        <f>+I19</f>
        <v>29230997.530000001</v>
      </c>
      <c r="L213" s="16">
        <f>+L19</f>
        <v>9033878.9733336102</v>
      </c>
      <c r="O213" s="36" t="s">
        <v>19</v>
      </c>
      <c r="P213" s="36"/>
      <c r="Q213" s="17">
        <f>+Q19</f>
        <v>894728.94753402111</v>
      </c>
      <c r="R213" s="17">
        <f>+Q213*0.5</f>
        <v>447364.47376701055</v>
      </c>
      <c r="S213" s="17">
        <f>+R213-Q213</f>
        <v>-447364.47376701055</v>
      </c>
      <c r="V213" s="40">
        <f>+V19</f>
        <v>671046.71065051574</v>
      </c>
      <c r="W213" s="1">
        <v>901304.70236226264</v>
      </c>
      <c r="AD213" s="41">
        <f>+AD212-AD211</f>
        <v>0</v>
      </c>
    </row>
    <row r="214" spans="2:30" x14ac:dyDescent="0.2">
      <c r="C214" s="41" t="s">
        <v>150</v>
      </c>
      <c r="I214" s="17">
        <f>+I129</f>
        <v>283728254.90999997</v>
      </c>
      <c r="L214" s="16">
        <f>+L129</f>
        <v>120115316.12937032</v>
      </c>
      <c r="O214" s="36" t="s">
        <v>150</v>
      </c>
      <c r="P214" s="36"/>
      <c r="Q214" s="17">
        <f>+Q129</f>
        <v>11728416.124877939</v>
      </c>
      <c r="R214" s="17">
        <f t="shared" ref="R214:R221" si="114">+Q214*0.5</f>
        <v>5864208.0624389695</v>
      </c>
      <c r="S214" s="17">
        <f t="shared" ref="S214:S222" si="115">+R214-Q214</f>
        <v>-5864208.0624389695</v>
      </c>
      <c r="V214" s="40">
        <f>+V129</f>
        <v>8149854.216812375</v>
      </c>
      <c r="W214" s="1">
        <v>12967400.920358922</v>
      </c>
      <c r="AD214" s="41">
        <v>640000</v>
      </c>
    </row>
    <row r="215" spans="2:30" x14ac:dyDescent="0.2">
      <c r="C215" s="41" t="s">
        <v>117</v>
      </c>
      <c r="I215" s="17">
        <f>+I147</f>
        <v>13321566.58</v>
      </c>
      <c r="L215" s="16">
        <f>+L147</f>
        <v>5787962.5208736407</v>
      </c>
      <c r="O215" s="36" t="s">
        <v>117</v>
      </c>
      <c r="P215" s="36"/>
      <c r="Q215" s="17">
        <f>+Q147</f>
        <v>802940.77100087493</v>
      </c>
      <c r="R215" s="17">
        <f t="shared" si="114"/>
        <v>401470.38550043746</v>
      </c>
      <c r="S215" s="17">
        <f t="shared" si="115"/>
        <v>-401470.38550043746</v>
      </c>
      <c r="V215" s="40">
        <f>+V147</f>
        <v>548015.99491732288</v>
      </c>
      <c r="W215" s="1">
        <v>727374.64110022027</v>
      </c>
      <c r="AD215" s="41">
        <f>+AD214-AD212</f>
        <v>-130998</v>
      </c>
    </row>
    <row r="216" spans="2:30" x14ac:dyDescent="0.2">
      <c r="C216" s="41" t="s">
        <v>129</v>
      </c>
      <c r="I216" s="17">
        <f>+I155</f>
        <v>6257152.9500000002</v>
      </c>
      <c r="L216" s="16">
        <f>+L155</f>
        <v>3176751.5495865867</v>
      </c>
      <c r="O216" s="36" t="s">
        <v>129</v>
      </c>
      <c r="P216" s="36"/>
      <c r="Q216" s="17">
        <f>+Q155</f>
        <v>326895.90921542299</v>
      </c>
      <c r="R216" s="17">
        <f t="shared" si="114"/>
        <v>163447.95460771149</v>
      </c>
      <c r="S216" s="17">
        <f t="shared" si="115"/>
        <v>-163447.95460771149</v>
      </c>
      <c r="V216" s="40">
        <f>+V155</f>
        <v>245171.93191156723</v>
      </c>
      <c r="W216" s="1">
        <v>340004.66215516243</v>
      </c>
      <c r="AD216" s="41">
        <v>225000</v>
      </c>
    </row>
    <row r="217" spans="2:30" x14ac:dyDescent="0.2">
      <c r="C217" s="41" t="s">
        <v>131</v>
      </c>
      <c r="I217" s="17">
        <f>+I169</f>
        <v>494215.2</v>
      </c>
      <c r="L217" s="16">
        <f>+L169</f>
        <v>469504.44349999999</v>
      </c>
      <c r="O217" s="36" t="s">
        <v>131</v>
      </c>
      <c r="P217" s="36"/>
      <c r="Q217" s="17">
        <f>+Q169</f>
        <v>0</v>
      </c>
      <c r="R217" s="17">
        <f t="shared" si="114"/>
        <v>0</v>
      </c>
      <c r="S217" s="17">
        <f t="shared" si="115"/>
        <v>0</v>
      </c>
      <c r="V217" s="40">
        <f>+V169</f>
        <v>0</v>
      </c>
      <c r="W217" s="1">
        <v>179453.06758548858</v>
      </c>
      <c r="AD217" s="41">
        <f>+AD216+AD215</f>
        <v>94002</v>
      </c>
    </row>
    <row r="218" spans="2:30" x14ac:dyDescent="0.2">
      <c r="C218" s="41" t="s">
        <v>151</v>
      </c>
      <c r="I218" s="17">
        <f>+I177</f>
        <v>1400433.5</v>
      </c>
      <c r="L218" s="16">
        <f>+L177</f>
        <v>786447.69037165027</v>
      </c>
      <c r="O218" s="36" t="s">
        <v>151</v>
      </c>
      <c r="P218" s="36"/>
      <c r="Q218" s="17">
        <f>+Q177</f>
        <v>290930.62711150787</v>
      </c>
      <c r="R218" s="17">
        <f t="shared" si="114"/>
        <v>145465.31355575394</v>
      </c>
      <c r="S218" s="17">
        <f t="shared" si="115"/>
        <v>-145465.31355575394</v>
      </c>
      <c r="V218" s="40">
        <f>+V177</f>
        <v>218197.97033363092</v>
      </c>
      <c r="W218" s="1">
        <v>165986.60790786258</v>
      </c>
    </row>
    <row r="219" spans="2:30" s="1" customFormat="1" x14ac:dyDescent="0.2">
      <c r="B219" s="41"/>
      <c r="C219" s="41" t="s">
        <v>137</v>
      </c>
      <c r="D219" s="46"/>
      <c r="E219" s="46"/>
      <c r="I219" s="17">
        <f>+I191</f>
        <v>598408.51</v>
      </c>
      <c r="J219" s="41"/>
      <c r="K219" s="25"/>
      <c r="L219" s="16">
        <f>+L191</f>
        <v>547965.5845</v>
      </c>
      <c r="M219" s="41"/>
      <c r="N219" s="41"/>
      <c r="O219" s="36" t="s">
        <v>137</v>
      </c>
      <c r="P219" s="36"/>
      <c r="Q219" s="17">
        <f>+Q191</f>
        <v>2210</v>
      </c>
      <c r="R219" s="17">
        <f t="shared" si="114"/>
        <v>1105</v>
      </c>
      <c r="S219" s="17">
        <f t="shared" si="115"/>
        <v>-1105</v>
      </c>
      <c r="U219" s="41"/>
      <c r="V219" s="40">
        <f>+V191</f>
        <v>1657.5</v>
      </c>
      <c r="W219" s="1">
        <v>285076.02337899996</v>
      </c>
      <c r="X219" s="41"/>
      <c r="Y219" s="41"/>
      <c r="Z219" s="41"/>
      <c r="AA219" s="25"/>
    </row>
    <row r="220" spans="2:30" s="1" customFormat="1" x14ac:dyDescent="0.2">
      <c r="B220" s="41"/>
      <c r="C220" s="41" t="s">
        <v>141</v>
      </c>
      <c r="D220" s="46"/>
      <c r="E220" s="46"/>
      <c r="I220" s="17">
        <f>+I199</f>
        <v>72854</v>
      </c>
      <c r="J220" s="41"/>
      <c r="K220" s="25"/>
      <c r="L220" s="16">
        <f>+L199</f>
        <v>69211.3</v>
      </c>
      <c r="M220" s="41"/>
      <c r="N220" s="41"/>
      <c r="O220" s="36" t="s">
        <v>141</v>
      </c>
      <c r="P220" s="36"/>
      <c r="Q220" s="17">
        <f>+Q199</f>
        <v>0</v>
      </c>
      <c r="R220" s="17">
        <f t="shared" si="114"/>
        <v>0</v>
      </c>
      <c r="S220" s="17">
        <f t="shared" si="115"/>
        <v>0</v>
      </c>
      <c r="U220" s="41"/>
      <c r="V220" s="40">
        <f>+V199</f>
        <v>0</v>
      </c>
      <c r="W220" s="1">
        <v>53053.424099999997</v>
      </c>
      <c r="X220" s="41"/>
      <c r="Y220" s="41"/>
      <c r="Z220" s="41"/>
      <c r="AA220" s="25"/>
    </row>
    <row r="221" spans="2:30" s="1" customFormat="1" x14ac:dyDescent="0.2">
      <c r="B221" s="41"/>
      <c r="C221" s="41" t="s">
        <v>152</v>
      </c>
      <c r="D221" s="46"/>
      <c r="E221" s="46"/>
      <c r="I221" s="17">
        <f>+I207</f>
        <v>2832176</v>
      </c>
      <c r="J221" s="41"/>
      <c r="K221" s="25"/>
      <c r="L221" s="16">
        <f>+L207</f>
        <v>1472357.3944444444</v>
      </c>
      <c r="M221" s="41"/>
      <c r="N221" s="41"/>
      <c r="O221" s="36" t="s">
        <v>152</v>
      </c>
      <c r="P221" s="36"/>
      <c r="Q221" s="17">
        <f>+Q207</f>
        <v>243641.9611111111</v>
      </c>
      <c r="R221" s="17">
        <f t="shared" si="114"/>
        <v>121820.98055555555</v>
      </c>
      <c r="S221" s="17">
        <f t="shared" si="115"/>
        <v>-121820.98055555555</v>
      </c>
      <c r="U221" s="41"/>
      <c r="V221" s="40">
        <f>+V207</f>
        <v>182731.47083333333</v>
      </c>
      <c r="W221" s="1">
        <v>400691.54</v>
      </c>
      <c r="X221" s="41"/>
      <c r="Y221" s="41"/>
      <c r="Z221" s="41"/>
      <c r="AA221" s="25"/>
    </row>
    <row r="222" spans="2:30" s="1" customFormat="1" x14ac:dyDescent="0.2">
      <c r="B222" s="41"/>
      <c r="C222" s="41"/>
      <c r="D222" s="46"/>
      <c r="E222" s="46"/>
      <c r="G222" s="1">
        <f>+G206/9</f>
        <v>0</v>
      </c>
      <c r="I222" s="25"/>
      <c r="J222" s="41"/>
      <c r="K222" s="25"/>
      <c r="L222" s="25">
        <f>SUM(L213:L221)</f>
        <v>141459395.5859803</v>
      </c>
      <c r="M222" s="41"/>
      <c r="N222" s="41"/>
      <c r="O222" s="36"/>
      <c r="P222" s="36"/>
      <c r="Q222" s="17">
        <f>SUM(Q213:Q221)</f>
        <v>14289764.340850877</v>
      </c>
      <c r="R222" s="17">
        <f>SUM(R213:R221)</f>
        <v>7144882.1704254383</v>
      </c>
      <c r="S222" s="17">
        <f t="shared" si="115"/>
        <v>-7144882.1704254383</v>
      </c>
      <c r="U222" s="41"/>
      <c r="V222" s="1">
        <f>SUM(V213:V221)</f>
        <v>10016675.795458743</v>
      </c>
      <c r="W222" s="1">
        <v>16020345.588948919</v>
      </c>
      <c r="X222" s="41"/>
      <c r="Y222" s="41"/>
      <c r="Z222" s="41"/>
      <c r="AA222" s="25"/>
    </row>
    <row r="223" spans="2:30" s="1" customFormat="1" ht="22.5" customHeight="1" x14ac:dyDescent="0.2">
      <c r="B223" s="41"/>
      <c r="C223" s="41" t="s">
        <v>153</v>
      </c>
      <c r="D223" s="46"/>
      <c r="E223" s="46"/>
      <c r="I223" s="25"/>
      <c r="J223" s="41"/>
      <c r="K223" s="25"/>
      <c r="L223" s="25">
        <v>91984049.739999995</v>
      </c>
      <c r="M223" s="41"/>
      <c r="N223" s="41"/>
      <c r="O223" s="41" t="s">
        <v>153</v>
      </c>
      <c r="P223" s="41"/>
      <c r="Q223" s="1">
        <v>14110760.34</v>
      </c>
      <c r="R223" s="1">
        <f>+R222/2</f>
        <v>3572441.0852127192</v>
      </c>
      <c r="U223" s="41"/>
      <c r="V223" s="40"/>
      <c r="X223" s="41"/>
      <c r="Y223" s="41"/>
      <c r="Z223" s="41"/>
      <c r="AA223" s="25"/>
    </row>
    <row r="224" spans="2:30" s="1" customFormat="1" x14ac:dyDescent="0.2">
      <c r="B224" s="41"/>
      <c r="C224" s="41"/>
      <c r="D224" s="46"/>
      <c r="E224" s="46"/>
      <c r="F224" s="1">
        <f>'[2]BS 15-16 APT'!G89+'[2]BS 15-16 APT'!G96+'[2]BS 15-16 APT'!G103+'[2]BS 15-16 APT'!G110+'[2]BS 15-16 APT'!G123+'[2]BS 15-16 APT'!G130+'[2]BS 15-16 APT'!G137+'[2]BS 15-16 APT'!G144</f>
        <v>269478840.26999998</v>
      </c>
      <c r="I224" s="25"/>
      <c r="J224" s="41"/>
      <c r="K224" s="25"/>
      <c r="L224" s="25">
        <f>+L222-L223</f>
        <v>49475345.845980301</v>
      </c>
      <c r="M224" s="41"/>
      <c r="N224" s="41"/>
      <c r="O224" s="41"/>
      <c r="P224" s="41"/>
      <c r="U224" s="41"/>
      <c r="V224" s="41"/>
      <c r="X224" s="41"/>
      <c r="Y224" s="41"/>
      <c r="Z224" s="41"/>
      <c r="AA224" s="25"/>
    </row>
    <row r="228" spans="3:15" x14ac:dyDescent="0.2">
      <c r="F228" s="25" t="s">
        <v>154</v>
      </c>
      <c r="G228" s="25" t="s">
        <v>2</v>
      </c>
      <c r="H228" s="25" t="s">
        <v>3</v>
      </c>
      <c r="I228" s="25" t="s">
        <v>155</v>
      </c>
      <c r="J228" s="25"/>
      <c r="K228" s="25" t="s">
        <v>156</v>
      </c>
      <c r="L228" s="25" t="s">
        <v>2</v>
      </c>
      <c r="M228" s="25" t="s">
        <v>3</v>
      </c>
      <c r="N228" s="25"/>
    </row>
    <row r="229" spans="3:15" x14ac:dyDescent="0.2">
      <c r="C229" s="41" t="s">
        <v>15</v>
      </c>
      <c r="F229" s="25">
        <f>+F4</f>
        <v>12256100</v>
      </c>
      <c r="G229" s="25">
        <f>+G4</f>
        <v>0</v>
      </c>
      <c r="H229" s="25">
        <f>+H4</f>
        <v>0</v>
      </c>
      <c r="I229" s="25">
        <f>+I4</f>
        <v>12256100</v>
      </c>
      <c r="J229" s="25"/>
      <c r="K229" s="25">
        <f>+K4</f>
        <v>0</v>
      </c>
      <c r="M229" s="25"/>
      <c r="N229" s="25"/>
    </row>
    <row r="230" spans="3:15" x14ac:dyDescent="0.2">
      <c r="C230" s="41" t="s">
        <v>19</v>
      </c>
      <c r="F230" s="25">
        <f>+F19</f>
        <v>29230997.530000001</v>
      </c>
      <c r="G230" s="25">
        <f>+G19</f>
        <v>0</v>
      </c>
      <c r="H230" s="25">
        <f>+H19</f>
        <v>0</v>
      </c>
      <c r="I230" s="25">
        <f>+I19</f>
        <v>29230997.530000001</v>
      </c>
      <c r="J230" s="25"/>
      <c r="K230" s="25">
        <f>+K19</f>
        <v>9033878.9733336102</v>
      </c>
      <c r="L230" s="25">
        <f>+Q19</f>
        <v>894728.94753402111</v>
      </c>
      <c r="M230" s="25">
        <f>+K230+L230-N230</f>
        <v>0</v>
      </c>
      <c r="N230" s="25">
        <f>+S19</f>
        <v>9928607.9208676293</v>
      </c>
      <c r="O230" s="133"/>
    </row>
    <row r="231" spans="3:15" x14ac:dyDescent="0.2">
      <c r="C231" s="41" t="s">
        <v>150</v>
      </c>
      <c r="F231" s="25">
        <f>+F129</f>
        <v>283728254.90999997</v>
      </c>
      <c r="G231" s="25">
        <f>+G129</f>
        <v>0</v>
      </c>
      <c r="H231" s="25">
        <f>+H129</f>
        <v>0</v>
      </c>
      <c r="I231" s="25">
        <f>+I129</f>
        <v>283728254.90999997</v>
      </c>
      <c r="J231" s="25"/>
      <c r="K231" s="25">
        <f>+K129</f>
        <v>175051554.00220972</v>
      </c>
      <c r="L231" s="25">
        <f>+Q129</f>
        <v>11728416.124877939</v>
      </c>
      <c r="M231" s="25">
        <f t="shared" ref="M231:M236" si="116">+K231+L231-N231</f>
        <v>0</v>
      </c>
      <c r="N231" s="25">
        <f>+S129</f>
        <v>186779970.12708768</v>
      </c>
    </row>
    <row r="232" spans="3:15" x14ac:dyDescent="0.2">
      <c r="C232" s="41" t="s">
        <v>117</v>
      </c>
      <c r="F232" s="25">
        <f>+F147</f>
        <v>13321566.58</v>
      </c>
      <c r="G232" s="25">
        <f>+G147</f>
        <v>0</v>
      </c>
      <c r="H232" s="25">
        <f>+H147</f>
        <v>0</v>
      </c>
      <c r="I232" s="25">
        <f>+I147</f>
        <v>13321566.58</v>
      </c>
      <c r="J232" s="25"/>
      <c r="K232" s="25">
        <f>+K147</f>
        <v>5930109.9800811</v>
      </c>
      <c r="L232" s="25">
        <f>+Q147</f>
        <v>802940.77100087493</v>
      </c>
      <c r="M232" s="25">
        <f t="shared" si="116"/>
        <v>0</v>
      </c>
      <c r="N232" s="25">
        <f>+S147</f>
        <v>6733050.7510819752</v>
      </c>
    </row>
    <row r="233" spans="3:15" x14ac:dyDescent="0.2">
      <c r="C233" s="41" t="s">
        <v>129</v>
      </c>
      <c r="F233" s="25">
        <f>+F155</f>
        <v>6257152.9500000002</v>
      </c>
      <c r="G233" s="25">
        <f>+G155</f>
        <v>0</v>
      </c>
      <c r="H233" s="25">
        <f>+H155</f>
        <v>0</v>
      </c>
      <c r="I233" s="25">
        <f>+I155</f>
        <v>6257152.9500000002</v>
      </c>
      <c r="J233" s="25"/>
      <c r="K233" s="25">
        <f>+K155</f>
        <v>3176751.5495865867</v>
      </c>
      <c r="L233" s="25">
        <f>+Q155</f>
        <v>326895.90921542299</v>
      </c>
      <c r="M233" s="25">
        <f t="shared" si="116"/>
        <v>0</v>
      </c>
      <c r="N233" s="25">
        <f>+S155</f>
        <v>3503647.4588020095</v>
      </c>
    </row>
    <row r="234" spans="3:15" x14ac:dyDescent="0.2">
      <c r="C234" s="41" t="s">
        <v>131</v>
      </c>
      <c r="F234" s="25">
        <f>+F169</f>
        <v>494215.2</v>
      </c>
      <c r="G234" s="25">
        <f>+G169</f>
        <v>0</v>
      </c>
      <c r="H234" s="25">
        <f>+H169</f>
        <v>0</v>
      </c>
      <c r="I234" s="25">
        <f>+I169</f>
        <v>494215.2</v>
      </c>
      <c r="J234" s="25"/>
      <c r="K234" s="25">
        <f>+K169</f>
        <v>469504.44349999999</v>
      </c>
      <c r="L234" s="25">
        <f>+Q169</f>
        <v>0</v>
      </c>
      <c r="M234" s="25">
        <f t="shared" si="116"/>
        <v>0</v>
      </c>
      <c r="N234" s="25">
        <f>+S169</f>
        <v>469504.44349999999</v>
      </c>
    </row>
    <row r="235" spans="3:15" x14ac:dyDescent="0.2">
      <c r="C235" s="41" t="s">
        <v>151</v>
      </c>
      <c r="F235" s="25">
        <f>+F177</f>
        <v>1400433.5</v>
      </c>
      <c r="G235" s="25">
        <f>+G177</f>
        <v>0</v>
      </c>
      <c r="H235" s="25">
        <f>+H177</f>
        <v>0</v>
      </c>
      <c r="I235" s="25">
        <f>+I177</f>
        <v>1400433.5</v>
      </c>
      <c r="J235" s="25"/>
      <c r="K235" s="25">
        <f>+K177</f>
        <v>1535057.6262801324</v>
      </c>
      <c r="L235" s="25">
        <f>+Q177</f>
        <v>290930.62711150787</v>
      </c>
      <c r="M235" s="25">
        <f t="shared" si="116"/>
        <v>0</v>
      </c>
      <c r="N235" s="25">
        <f>+S177</f>
        <v>1825988.2533916405</v>
      </c>
    </row>
    <row r="236" spans="3:15" x14ac:dyDescent="0.2">
      <c r="C236" s="41" t="s">
        <v>137</v>
      </c>
      <c r="F236" s="25">
        <f>+F191</f>
        <v>598408.51</v>
      </c>
      <c r="G236" s="25">
        <f>+G191</f>
        <v>0</v>
      </c>
      <c r="H236" s="25">
        <f>+H191</f>
        <v>0</v>
      </c>
      <c r="I236" s="25">
        <f>+I191</f>
        <v>598408.51</v>
      </c>
      <c r="J236" s="25"/>
      <c r="K236" s="25">
        <f>+K191</f>
        <v>547965.5845</v>
      </c>
      <c r="L236" s="25">
        <f>+Q191</f>
        <v>2210</v>
      </c>
      <c r="M236" s="25">
        <f t="shared" si="116"/>
        <v>0</v>
      </c>
      <c r="N236" s="25">
        <f>+S191</f>
        <v>550175.5845</v>
      </c>
    </row>
    <row r="237" spans="3:15" x14ac:dyDescent="0.2">
      <c r="C237" s="41" t="s">
        <v>141</v>
      </c>
      <c r="F237" s="25">
        <f>+F199</f>
        <v>72854</v>
      </c>
      <c r="G237" s="25">
        <f>+G199</f>
        <v>0</v>
      </c>
      <c r="H237" s="25">
        <f>+H199</f>
        <v>0</v>
      </c>
      <c r="I237" s="25">
        <f>+I199</f>
        <v>72854</v>
      </c>
      <c r="J237" s="25"/>
      <c r="K237" s="25">
        <f>+K199</f>
        <v>69211.3</v>
      </c>
      <c r="L237" s="25">
        <f>+Q199</f>
        <v>0</v>
      </c>
      <c r="M237" s="25"/>
      <c r="N237" s="25">
        <f>+S199</f>
        <v>69211.3</v>
      </c>
    </row>
    <row r="238" spans="3:15" x14ac:dyDescent="0.2">
      <c r="C238" s="41" t="s">
        <v>152</v>
      </c>
      <c r="F238" s="25">
        <f>+F207</f>
        <v>2832176</v>
      </c>
      <c r="G238" s="25">
        <f>+G207</f>
        <v>0</v>
      </c>
      <c r="H238" s="25">
        <f>+H207</f>
        <v>0</v>
      </c>
      <c r="I238" s="25">
        <f>+I207</f>
        <v>2832176</v>
      </c>
      <c r="J238" s="25"/>
      <c r="K238" s="25">
        <f>+K207</f>
        <v>1472357.3944444444</v>
      </c>
      <c r="L238" s="25">
        <f>+Q207</f>
        <v>243641.9611111111</v>
      </c>
      <c r="M238" s="25">
        <v>0</v>
      </c>
      <c r="N238" s="25">
        <f>+S207</f>
        <v>1715999.3555555558</v>
      </c>
    </row>
    <row r="239" spans="3:15" x14ac:dyDescent="0.2">
      <c r="F239" s="25">
        <f>+SUM(F229:F238)</f>
        <v>350192159.17999989</v>
      </c>
      <c r="G239" s="25">
        <f>+SUM(G229:G238)</f>
        <v>0</v>
      </c>
      <c r="H239" s="25">
        <f>+SUM(H229:H238)</f>
        <v>0</v>
      </c>
      <c r="I239" s="25">
        <f>+SUM(I229:I238)</f>
        <v>350192159.17999989</v>
      </c>
      <c r="J239" s="25"/>
      <c r="K239" s="25">
        <f>SUM(K229:K238)</f>
        <v>197286390.85393563</v>
      </c>
      <c r="M239" s="25"/>
      <c r="N239" s="25">
        <f>+SUM(N230:N238)</f>
        <v>211576155.19478655</v>
      </c>
    </row>
    <row r="240" spans="3:15" x14ac:dyDescent="0.2">
      <c r="F240" s="25"/>
      <c r="G240" s="25"/>
      <c r="H240" s="25"/>
      <c r="J240" s="25"/>
      <c r="M240" s="25"/>
      <c r="N240" s="25">
        <v>111654317.97</v>
      </c>
    </row>
    <row r="241" spans="3:14" x14ac:dyDescent="0.2">
      <c r="F241" s="25"/>
      <c r="G241" s="25"/>
      <c r="H241" s="25"/>
      <c r="J241" s="25" t="s">
        <v>157</v>
      </c>
      <c r="K241" s="25">
        <v>-1308828</v>
      </c>
      <c r="M241" s="25"/>
      <c r="N241" s="25"/>
    </row>
    <row r="242" spans="3:14" x14ac:dyDescent="0.2">
      <c r="F242" s="25"/>
      <c r="G242" s="25"/>
      <c r="H242" s="25"/>
      <c r="J242" s="25"/>
      <c r="K242" s="25">
        <v>-3994620</v>
      </c>
      <c r="M242" s="25"/>
      <c r="N242" s="25"/>
    </row>
    <row r="243" spans="3:14" x14ac:dyDescent="0.2">
      <c r="F243" s="25"/>
      <c r="G243" s="25"/>
      <c r="H243" s="25"/>
      <c r="J243" s="25"/>
      <c r="K243" s="25">
        <f>+K239+K241+K242</f>
        <v>191982942.85393563</v>
      </c>
      <c r="M243" s="25"/>
      <c r="N243" s="25"/>
    </row>
    <row r="244" spans="3:14" x14ac:dyDescent="0.2">
      <c r="C244" s="41" t="s">
        <v>158</v>
      </c>
      <c r="F244" s="25">
        <v>271419232.94</v>
      </c>
      <c r="G244" s="25"/>
      <c r="H244" s="25"/>
      <c r="I244" s="25">
        <v>283193171.38</v>
      </c>
      <c r="J244" s="25"/>
      <c r="K244" s="25">
        <v>91984049.739999995</v>
      </c>
      <c r="M244" s="25"/>
      <c r="N244" s="25">
        <v>111654317.97</v>
      </c>
    </row>
    <row r="245" spans="3:14" x14ac:dyDescent="0.2">
      <c r="F245" s="25">
        <f>+F239-F244</f>
        <v>78772926.23999989</v>
      </c>
      <c r="G245" s="25"/>
      <c r="H245" s="25"/>
      <c r="I245" s="25">
        <f>+I239-I244</f>
        <v>66998987.799999893</v>
      </c>
      <c r="J245" s="25"/>
      <c r="K245" s="25">
        <f>+K243-K244</f>
        <v>99998893.113935634</v>
      </c>
      <c r="M245" s="25"/>
      <c r="N245" s="25">
        <f>+N240-N244</f>
        <v>0</v>
      </c>
    </row>
  </sheetData>
  <autoFilter ref="C2:T211"/>
  <mergeCells count="1">
    <mergeCell ref="C5:M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4"/>
  <sheetViews>
    <sheetView workbookViewId="0">
      <selection activeCell="E5" sqref="E5"/>
    </sheetView>
  </sheetViews>
  <sheetFormatPr defaultRowHeight="15" x14ac:dyDescent="0.25"/>
  <cols>
    <col min="6" max="6" width="18.85546875" bestFit="1" customWidth="1"/>
    <col min="7" max="7" width="11" bestFit="1" customWidth="1"/>
    <col min="8" max="8" width="17.85546875" bestFit="1" customWidth="1"/>
  </cols>
  <sheetData>
    <row r="4" spans="5:8" ht="23.25" customHeight="1" x14ac:dyDescent="0.25">
      <c r="E4" t="s">
        <v>170</v>
      </c>
      <c r="F4" s="142" t="s">
        <v>171</v>
      </c>
      <c r="G4" t="s">
        <v>172</v>
      </c>
      <c r="H4" s="142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7"/>
  <sheetViews>
    <sheetView tabSelected="1" topLeftCell="A13" workbookViewId="0">
      <selection activeCell="T27" sqref="T27"/>
    </sheetView>
  </sheetViews>
  <sheetFormatPr defaultRowHeight="15" x14ac:dyDescent="0.25"/>
  <cols>
    <col min="2" max="2" width="16.7109375" bestFit="1" customWidth="1"/>
    <col min="7" max="7" width="5" customWidth="1"/>
    <col min="8" max="8" width="17.85546875" bestFit="1" customWidth="1"/>
    <col min="9" max="9" width="11.5703125" bestFit="1" customWidth="1"/>
    <col min="10" max="10" width="9.7109375" customWidth="1"/>
    <col min="11" max="11" width="10.85546875" customWidth="1"/>
    <col min="12" max="12" width="12.42578125" bestFit="1" customWidth="1"/>
    <col min="13" max="13" width="9.140625" customWidth="1"/>
    <col min="14" max="14" width="10.28515625" style="144" customWidth="1"/>
    <col min="15" max="15" width="10.28515625" style="145" hidden="1" customWidth="1"/>
    <col min="16" max="16" width="12.5703125" style="144" hidden="1" customWidth="1"/>
    <col min="17" max="17" width="15.85546875" style="148" bestFit="1" customWidth="1"/>
    <col min="18" max="18" width="14.28515625" style="149" hidden="1" customWidth="1"/>
    <col min="19" max="19" width="14.28515625" style="148" hidden="1" customWidth="1"/>
    <col min="20" max="20" width="12" bestFit="1" customWidth="1"/>
  </cols>
  <sheetData>
    <row r="4" spans="2:22" ht="15" customHeight="1" x14ac:dyDescent="0.25">
      <c r="B4" t="s">
        <v>206</v>
      </c>
      <c r="G4" s="186" t="s">
        <v>218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</row>
    <row r="5" spans="2:22" x14ac:dyDescent="0.25">
      <c r="B5" t="s">
        <v>208</v>
      </c>
      <c r="G5" s="175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7"/>
    </row>
    <row r="6" spans="2:22" ht="27.75" customHeight="1" x14ac:dyDescent="0.25">
      <c r="B6" t="s">
        <v>209</v>
      </c>
      <c r="G6" s="161" t="s">
        <v>188</v>
      </c>
      <c r="H6" s="162" t="s">
        <v>173</v>
      </c>
      <c r="I6" s="161" t="s">
        <v>174</v>
      </c>
      <c r="J6" s="161" t="s">
        <v>175</v>
      </c>
      <c r="K6" s="162" t="s">
        <v>187</v>
      </c>
      <c r="L6" s="161" t="s">
        <v>189</v>
      </c>
      <c r="M6" s="162" t="s">
        <v>190</v>
      </c>
      <c r="N6" s="163" t="s">
        <v>191</v>
      </c>
      <c r="O6" s="164" t="s">
        <v>198</v>
      </c>
      <c r="P6" s="163" t="s">
        <v>193</v>
      </c>
      <c r="Q6" s="165" t="s">
        <v>192</v>
      </c>
      <c r="R6" s="166" t="s">
        <v>194</v>
      </c>
      <c r="S6" s="165" t="s">
        <v>195</v>
      </c>
      <c r="T6" s="165" t="s">
        <v>195</v>
      </c>
      <c r="U6" s="150"/>
      <c r="V6" s="143"/>
    </row>
    <row r="7" spans="2:22" ht="33" customHeight="1" x14ac:dyDescent="0.25">
      <c r="B7" t="s">
        <v>212</v>
      </c>
      <c r="G7" s="151">
        <v>1</v>
      </c>
      <c r="H7" s="152" t="s">
        <v>176</v>
      </c>
      <c r="I7" s="151">
        <v>1</v>
      </c>
      <c r="J7" s="151" t="s">
        <v>177</v>
      </c>
      <c r="K7" s="153">
        <v>45114</v>
      </c>
      <c r="L7" s="153">
        <v>42233</v>
      </c>
      <c r="M7" s="151">
        <v>15</v>
      </c>
      <c r="N7" s="154">
        <f>YEARFRAC(K7,L7)</f>
        <v>7.8888888888888893</v>
      </c>
      <c r="O7" s="155">
        <v>0.1</v>
      </c>
      <c r="P7" s="154">
        <f>(1-O7)/M7</f>
        <v>6.0000000000000005E-2</v>
      </c>
      <c r="Q7" s="156">
        <v>12000000</v>
      </c>
      <c r="R7" s="157">
        <f>Q7*N7*P7</f>
        <v>5680000.0000000009</v>
      </c>
      <c r="S7" s="156">
        <f>IF(Q7-R7&gt;O7*Q7,Q7-R7,O7*Q7)</f>
        <v>6319999.9999999991</v>
      </c>
      <c r="T7" s="156">
        <f>S7*0.95</f>
        <v>6003999.9999999991</v>
      </c>
    </row>
    <row r="8" spans="2:22" x14ac:dyDescent="0.25">
      <c r="B8" t="s">
        <v>214</v>
      </c>
      <c r="G8" s="151">
        <v>2</v>
      </c>
      <c r="H8" s="151" t="s">
        <v>178</v>
      </c>
      <c r="I8" s="151">
        <v>1</v>
      </c>
      <c r="J8" s="151" t="s">
        <v>196</v>
      </c>
      <c r="K8" s="153">
        <v>45114</v>
      </c>
      <c r="L8" s="167">
        <v>42223</v>
      </c>
      <c r="M8" s="151">
        <v>8</v>
      </c>
      <c r="N8" s="154">
        <f t="shared" ref="N8:N16" si="0">YEARFRAC(K8,L8)</f>
        <v>7.916666666666667</v>
      </c>
      <c r="O8" s="155">
        <v>0.1</v>
      </c>
      <c r="P8" s="154">
        <f t="shared" ref="P8:P16" si="1">(1-O8)/M8</f>
        <v>0.1125</v>
      </c>
      <c r="Q8" s="156">
        <v>2000</v>
      </c>
      <c r="R8" s="157">
        <f t="shared" ref="R8:R16" si="2">Q8*N8*P8</f>
        <v>1781.25</v>
      </c>
      <c r="S8" s="156">
        <f t="shared" ref="S8:S16" si="3">IF(Q8-R8&gt;O8*Q8,Q8-R8,O8*Q8)</f>
        <v>218.75</v>
      </c>
      <c r="T8" s="185">
        <f>S8</f>
        <v>218.75</v>
      </c>
    </row>
    <row r="9" spans="2:22" ht="30" x14ac:dyDescent="0.25">
      <c r="B9" t="s">
        <v>216</v>
      </c>
      <c r="G9" s="151">
        <v>3</v>
      </c>
      <c r="H9" s="152" t="s">
        <v>179</v>
      </c>
      <c r="I9" s="151">
        <v>1</v>
      </c>
      <c r="J9" s="151" t="s">
        <v>196</v>
      </c>
      <c r="K9" s="153">
        <v>45114</v>
      </c>
      <c r="L9" s="153">
        <v>42223</v>
      </c>
      <c r="M9" s="151">
        <v>12</v>
      </c>
      <c r="N9" s="154">
        <f t="shared" si="0"/>
        <v>7.916666666666667</v>
      </c>
      <c r="O9" s="155">
        <v>0.1</v>
      </c>
      <c r="P9" s="154">
        <f t="shared" si="1"/>
        <v>7.4999999999999997E-2</v>
      </c>
      <c r="Q9" s="156">
        <v>330000</v>
      </c>
      <c r="R9" s="157">
        <f t="shared" si="2"/>
        <v>195937.5</v>
      </c>
      <c r="S9" s="156">
        <f t="shared" si="3"/>
        <v>134062.5</v>
      </c>
      <c r="T9" s="185">
        <f t="shared" ref="T9:T16" si="4">S9</f>
        <v>134062.5</v>
      </c>
    </row>
    <row r="10" spans="2:22" x14ac:dyDescent="0.25">
      <c r="G10" s="151">
        <v>4</v>
      </c>
      <c r="H10" s="151" t="s">
        <v>217</v>
      </c>
      <c r="I10" s="151">
        <v>4</v>
      </c>
      <c r="J10" s="151" t="s">
        <v>180</v>
      </c>
      <c r="K10" s="153">
        <v>45114</v>
      </c>
      <c r="L10" s="167">
        <v>42223</v>
      </c>
      <c r="M10" s="151">
        <v>12</v>
      </c>
      <c r="N10" s="154">
        <f t="shared" si="0"/>
        <v>7.916666666666667</v>
      </c>
      <c r="O10" s="155">
        <v>0.1</v>
      </c>
      <c r="P10" s="154">
        <f t="shared" si="1"/>
        <v>7.4999999999999997E-2</v>
      </c>
      <c r="Q10" s="156">
        <f>4*50000</f>
        <v>200000</v>
      </c>
      <c r="R10" s="157">
        <f t="shared" si="2"/>
        <v>118750</v>
      </c>
      <c r="S10" s="156">
        <f t="shared" si="3"/>
        <v>81250</v>
      </c>
      <c r="T10" s="185">
        <f t="shared" si="4"/>
        <v>81250</v>
      </c>
    </row>
    <row r="11" spans="2:22" x14ac:dyDescent="0.25">
      <c r="G11" s="151">
        <v>5</v>
      </c>
      <c r="H11" s="151" t="s">
        <v>197</v>
      </c>
      <c r="I11" s="151">
        <v>1</v>
      </c>
      <c r="J11" s="151" t="s">
        <v>196</v>
      </c>
      <c r="K11" s="153">
        <v>45114</v>
      </c>
      <c r="L11" s="167">
        <v>42223</v>
      </c>
      <c r="M11" s="151">
        <v>6</v>
      </c>
      <c r="N11" s="154">
        <f t="shared" si="0"/>
        <v>7.916666666666667</v>
      </c>
      <c r="O11" s="155">
        <v>0.1</v>
      </c>
      <c r="P11" s="154">
        <f t="shared" si="1"/>
        <v>0.15</v>
      </c>
      <c r="Q11" s="156">
        <v>4400</v>
      </c>
      <c r="R11" s="157">
        <f t="shared" si="2"/>
        <v>5225</v>
      </c>
      <c r="S11" s="156">
        <f t="shared" si="3"/>
        <v>440</v>
      </c>
      <c r="T11" s="185">
        <f t="shared" si="4"/>
        <v>440</v>
      </c>
    </row>
    <row r="12" spans="2:22" x14ac:dyDescent="0.25">
      <c r="G12" s="151">
        <v>6</v>
      </c>
      <c r="H12" s="151" t="s">
        <v>181</v>
      </c>
      <c r="I12" s="151">
        <v>100</v>
      </c>
      <c r="J12" s="151" t="s">
        <v>177</v>
      </c>
      <c r="K12" s="153">
        <v>45114</v>
      </c>
      <c r="L12" s="167">
        <v>42223</v>
      </c>
      <c r="M12" s="151">
        <v>5</v>
      </c>
      <c r="N12" s="154">
        <f t="shared" si="0"/>
        <v>7.916666666666667</v>
      </c>
      <c r="O12" s="155">
        <v>0.1</v>
      </c>
      <c r="P12" s="154">
        <f t="shared" si="1"/>
        <v>0.18</v>
      </c>
      <c r="Q12" s="156">
        <f>I12*200</f>
        <v>20000</v>
      </c>
      <c r="R12" s="157">
        <f t="shared" si="2"/>
        <v>28500</v>
      </c>
      <c r="S12" s="156">
        <f t="shared" si="3"/>
        <v>2000</v>
      </c>
      <c r="T12" s="185">
        <f t="shared" si="4"/>
        <v>2000</v>
      </c>
    </row>
    <row r="13" spans="2:22" ht="30" x14ac:dyDescent="0.25">
      <c r="G13" s="151">
        <v>7</v>
      </c>
      <c r="H13" s="151" t="s">
        <v>184</v>
      </c>
      <c r="I13" s="151">
        <v>1</v>
      </c>
      <c r="J13" s="152" t="s">
        <v>185</v>
      </c>
      <c r="K13" s="153">
        <v>45114</v>
      </c>
      <c r="L13" s="153">
        <v>42249</v>
      </c>
      <c r="M13" s="151">
        <v>8</v>
      </c>
      <c r="N13" s="154">
        <f t="shared" si="0"/>
        <v>7.8472222222222223</v>
      </c>
      <c r="O13" s="155">
        <v>0.1</v>
      </c>
      <c r="P13" s="154">
        <f t="shared" si="1"/>
        <v>0.1125</v>
      </c>
      <c r="Q13" s="156">
        <v>94500</v>
      </c>
      <c r="R13" s="157">
        <f t="shared" si="2"/>
        <v>83425.78125</v>
      </c>
      <c r="S13" s="156">
        <f t="shared" si="3"/>
        <v>11074.21875</v>
      </c>
      <c r="T13" s="185">
        <f t="shared" si="4"/>
        <v>11074.21875</v>
      </c>
    </row>
    <row r="14" spans="2:22" x14ac:dyDescent="0.25">
      <c r="G14" s="151">
        <v>8</v>
      </c>
      <c r="H14" s="151" t="s">
        <v>182</v>
      </c>
      <c r="I14" s="151">
        <v>1</v>
      </c>
      <c r="J14" s="151" t="s">
        <v>177</v>
      </c>
      <c r="K14" s="153">
        <v>45114</v>
      </c>
      <c r="L14" s="167">
        <v>42223</v>
      </c>
      <c r="M14" s="151">
        <v>5</v>
      </c>
      <c r="N14" s="154">
        <f t="shared" si="0"/>
        <v>7.916666666666667</v>
      </c>
      <c r="O14" s="155">
        <v>0.1</v>
      </c>
      <c r="P14" s="154">
        <f t="shared" si="1"/>
        <v>0.18</v>
      </c>
      <c r="Q14" s="156">
        <v>6300</v>
      </c>
      <c r="R14" s="157">
        <f t="shared" si="2"/>
        <v>8977.5</v>
      </c>
      <c r="S14" s="156">
        <f t="shared" si="3"/>
        <v>630</v>
      </c>
      <c r="T14" s="185">
        <f t="shared" si="4"/>
        <v>630</v>
      </c>
    </row>
    <row r="15" spans="2:22" x14ac:dyDescent="0.25">
      <c r="G15" s="151">
        <v>9</v>
      </c>
      <c r="H15" s="151" t="s">
        <v>183</v>
      </c>
      <c r="I15" s="151">
        <v>9</v>
      </c>
      <c r="J15" s="151" t="s">
        <v>196</v>
      </c>
      <c r="K15" s="153">
        <v>45114</v>
      </c>
      <c r="L15" s="167">
        <v>42223</v>
      </c>
      <c r="M15" s="151">
        <v>3</v>
      </c>
      <c r="N15" s="154">
        <f t="shared" si="0"/>
        <v>7.916666666666667</v>
      </c>
      <c r="O15" s="155">
        <v>0.1</v>
      </c>
      <c r="P15" s="154">
        <f t="shared" si="1"/>
        <v>0.3</v>
      </c>
      <c r="Q15" s="156">
        <f>9*1100</f>
        <v>9900</v>
      </c>
      <c r="R15" s="157">
        <f t="shared" si="2"/>
        <v>23512.5</v>
      </c>
      <c r="S15" s="156">
        <f t="shared" si="3"/>
        <v>990</v>
      </c>
      <c r="T15" s="185">
        <f t="shared" si="4"/>
        <v>990</v>
      </c>
    </row>
    <row r="16" spans="2:22" x14ac:dyDescent="0.25">
      <c r="G16" s="151">
        <v>10</v>
      </c>
      <c r="H16" s="151" t="s">
        <v>186</v>
      </c>
      <c r="I16" s="151">
        <v>1</v>
      </c>
      <c r="J16" s="151" t="s">
        <v>177</v>
      </c>
      <c r="K16" s="153">
        <v>45114</v>
      </c>
      <c r="L16" s="153">
        <v>42074</v>
      </c>
      <c r="M16" s="151">
        <v>15</v>
      </c>
      <c r="N16" s="154">
        <f t="shared" si="0"/>
        <v>8.3222222222222229</v>
      </c>
      <c r="O16" s="155">
        <v>0.1</v>
      </c>
      <c r="P16" s="154">
        <f t="shared" si="1"/>
        <v>6.0000000000000005E-2</v>
      </c>
      <c r="Q16" s="156">
        <v>60000</v>
      </c>
      <c r="R16" s="157">
        <f t="shared" si="2"/>
        <v>29960.000000000004</v>
      </c>
      <c r="S16" s="156">
        <f t="shared" si="3"/>
        <v>30039.999999999996</v>
      </c>
      <c r="T16" s="185">
        <f t="shared" si="4"/>
        <v>30039.999999999996</v>
      </c>
    </row>
    <row r="17" spans="7:20" x14ac:dyDescent="0.25">
      <c r="G17" s="160"/>
      <c r="H17" s="172" t="s">
        <v>29</v>
      </c>
      <c r="I17" s="173"/>
      <c r="J17" s="173"/>
      <c r="K17" s="173"/>
      <c r="L17" s="173"/>
      <c r="M17" s="173"/>
      <c r="N17" s="173"/>
      <c r="O17" s="173"/>
      <c r="P17" s="174"/>
      <c r="Q17" s="158">
        <f>SUM(Q7:Q16)</f>
        <v>12727100</v>
      </c>
      <c r="R17" s="159">
        <f>SUM(R7:R16)</f>
        <v>6176069.5312500009</v>
      </c>
      <c r="S17" s="158">
        <f>SUM(S7:S16)</f>
        <v>6580705.4687499991</v>
      </c>
      <c r="T17" s="158">
        <f>SUM(T7:T16)</f>
        <v>6264705.4687499991</v>
      </c>
    </row>
    <row r="18" spans="7:20" x14ac:dyDescent="0.25">
      <c r="G18" s="179" t="s">
        <v>219</v>
      </c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</row>
    <row r="19" spans="7:20" ht="30" customHeight="1" x14ac:dyDescent="0.25">
      <c r="G19" s="180" t="s">
        <v>220</v>
      </c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</row>
    <row r="20" spans="7:20" x14ac:dyDescent="0.25">
      <c r="G20" s="182" t="s">
        <v>226</v>
      </c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4"/>
    </row>
    <row r="21" spans="7:20" x14ac:dyDescent="0.25">
      <c r="G21" s="179" t="s">
        <v>221</v>
      </c>
      <c r="H21" s="179"/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</row>
    <row r="22" spans="7:20" ht="44.25" customHeight="1" x14ac:dyDescent="0.25">
      <c r="G22" s="181" t="s">
        <v>222</v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</row>
    <row r="25" spans="7:20" x14ac:dyDescent="0.25">
      <c r="H25" t="s">
        <v>223</v>
      </c>
      <c r="I25" s="188">
        <v>6260000</v>
      </c>
    </row>
    <row r="26" spans="7:20" x14ac:dyDescent="0.25">
      <c r="H26" t="s">
        <v>224</v>
      </c>
      <c r="I26">
        <f>0.85*I25</f>
        <v>5321000</v>
      </c>
    </row>
    <row r="27" spans="7:20" x14ac:dyDescent="0.25">
      <c r="H27" t="s">
        <v>225</v>
      </c>
      <c r="I27">
        <f>0.75*I25</f>
        <v>4695000</v>
      </c>
      <c r="T27">
        <v>50100472509436</v>
      </c>
    </row>
  </sheetData>
  <mergeCells count="6">
    <mergeCell ref="H17:P17"/>
    <mergeCell ref="G5:S5"/>
    <mergeCell ref="G19:T19"/>
    <mergeCell ref="G22:T22"/>
    <mergeCell ref="G20:T20"/>
    <mergeCell ref="G4:T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"/>
  <sheetViews>
    <sheetView workbookViewId="0">
      <selection activeCell="H28" sqref="H28"/>
    </sheetView>
  </sheetViews>
  <sheetFormatPr defaultRowHeight="15" x14ac:dyDescent="0.25"/>
  <cols>
    <col min="2" max="2" width="16.7109375" bestFit="1" customWidth="1"/>
    <col min="18" max="18" width="11.85546875" style="146" customWidth="1"/>
    <col min="19" max="19" width="10.5703125" bestFit="1" customWidth="1"/>
  </cols>
  <sheetData>
    <row r="1" spans="2:19" x14ac:dyDescent="0.25">
      <c r="B1" t="s">
        <v>201</v>
      </c>
      <c r="D1" s="178" t="s">
        <v>199</v>
      </c>
      <c r="E1" s="178"/>
      <c r="F1" s="178"/>
      <c r="G1" s="178"/>
      <c r="H1" s="178"/>
      <c r="I1" s="178"/>
      <c r="J1" s="178"/>
      <c r="K1" s="178"/>
      <c r="L1" s="178"/>
      <c r="M1" s="178"/>
    </row>
    <row r="2" spans="2:19" x14ac:dyDescent="0.25">
      <c r="B2" t="s">
        <v>202</v>
      </c>
      <c r="D2" t="s">
        <v>200</v>
      </c>
    </row>
    <row r="3" spans="2:19" x14ac:dyDescent="0.25">
      <c r="B3" t="s">
        <v>204</v>
      </c>
      <c r="D3" t="s">
        <v>203</v>
      </c>
    </row>
    <row r="4" spans="2:19" x14ac:dyDescent="0.25">
      <c r="B4" t="s">
        <v>206</v>
      </c>
      <c r="D4" t="s">
        <v>205</v>
      </c>
    </row>
    <row r="5" spans="2:19" x14ac:dyDescent="0.25">
      <c r="B5" t="s">
        <v>208</v>
      </c>
      <c r="D5" t="s">
        <v>207</v>
      </c>
    </row>
    <row r="6" spans="2:19" x14ac:dyDescent="0.25">
      <c r="B6" t="s">
        <v>209</v>
      </c>
      <c r="D6" s="178" t="s">
        <v>210</v>
      </c>
      <c r="E6" s="178"/>
      <c r="F6" s="178"/>
      <c r="G6" s="178"/>
      <c r="H6" s="178"/>
      <c r="I6" s="178"/>
      <c r="J6" s="178"/>
      <c r="K6" s="178"/>
      <c r="L6" s="178"/>
    </row>
    <row r="7" spans="2:19" x14ac:dyDescent="0.25">
      <c r="B7" t="s">
        <v>212</v>
      </c>
      <c r="D7" t="s">
        <v>211</v>
      </c>
      <c r="S7" s="147"/>
    </row>
    <row r="8" spans="2:19" x14ac:dyDescent="0.25">
      <c r="B8" t="s">
        <v>214</v>
      </c>
      <c r="D8" t="s">
        <v>213</v>
      </c>
      <c r="S8" s="147"/>
    </row>
    <row r="9" spans="2:19" x14ac:dyDescent="0.25">
      <c r="B9" t="s">
        <v>216</v>
      </c>
      <c r="D9" t="s">
        <v>215</v>
      </c>
      <c r="S9" s="147"/>
    </row>
    <row r="10" spans="2:19" x14ac:dyDescent="0.25">
      <c r="S10" s="147"/>
    </row>
    <row r="11" spans="2:19" x14ac:dyDescent="0.25">
      <c r="S11" s="147"/>
    </row>
    <row r="12" spans="2:19" x14ac:dyDescent="0.25">
      <c r="S12" s="147"/>
    </row>
    <row r="13" spans="2:19" x14ac:dyDescent="0.25">
      <c r="S13" s="147"/>
    </row>
    <row r="14" spans="2:19" x14ac:dyDescent="0.25">
      <c r="S14" s="147"/>
    </row>
    <row r="15" spans="2:19" x14ac:dyDescent="0.25">
      <c r="S15" s="147"/>
    </row>
    <row r="16" spans="2:19" x14ac:dyDescent="0.25">
      <c r="S16" s="147"/>
    </row>
  </sheetData>
  <mergeCells count="2">
    <mergeCell ref="D1:M1"/>
    <mergeCell ref="D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As per invoice</vt:lpstr>
      <vt:lpstr>as per site</vt:lpstr>
      <vt:lpstr>link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Anirban Roy</cp:lastModifiedBy>
  <cp:lastPrinted>2023-03-17T07:55:20Z</cp:lastPrinted>
  <dcterms:created xsi:type="dcterms:W3CDTF">2021-06-16T06:45:59Z</dcterms:created>
  <dcterms:modified xsi:type="dcterms:W3CDTF">2023-07-11T12:44:26Z</dcterms:modified>
</cp:coreProperties>
</file>