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2023-2024\VIS(2023-24)-PL097-084-129\Building Sheet\"/>
    </mc:Choice>
  </mc:AlternateContent>
  <bookViews>
    <workbookView xWindow="0" yWindow="0" windowWidth="20490" windowHeight="7755"/>
  </bookViews>
  <sheets>
    <sheet name="working" sheetId="2" r:id="rId1"/>
    <sheet name="Sheet2" sheetId="3" r:id="rId2"/>
    <sheet name="Sheet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2" l="1"/>
  <c r="I8" i="4"/>
  <c r="F10" i="2"/>
  <c r="O8" i="2"/>
  <c r="P8" i="2" s="1"/>
  <c r="Q8" i="2" s="1"/>
  <c r="S8" i="2" s="1"/>
  <c r="M8" i="2"/>
  <c r="J8" i="2"/>
  <c r="G8" i="2"/>
  <c r="H7" i="4"/>
  <c r="A3" i="3" l="1"/>
  <c r="G20" i="2"/>
  <c r="J5" i="2"/>
  <c r="M5" i="2"/>
  <c r="J6" i="2"/>
  <c r="M6" i="2"/>
  <c r="J7" i="2"/>
  <c r="M7" i="2"/>
  <c r="G4" i="2"/>
  <c r="O4" i="2" s="1"/>
  <c r="G5" i="2"/>
  <c r="O5" i="2" s="1"/>
  <c r="G6" i="2"/>
  <c r="O6" i="2" s="1"/>
  <c r="G7" i="2"/>
  <c r="O7" i="2" s="1"/>
  <c r="G9" i="2"/>
  <c r="G3" i="2"/>
  <c r="C19" i="2"/>
  <c r="E8" i="4"/>
  <c r="E7" i="4"/>
  <c r="E9" i="4" s="1"/>
  <c r="E6" i="4"/>
  <c r="P6" i="2" l="1"/>
  <c r="Q6" i="2" s="1"/>
  <c r="S6" i="2" s="1"/>
  <c r="P5" i="2"/>
  <c r="Q5" i="2" s="1"/>
  <c r="S5" i="2" s="1"/>
  <c r="P7" i="2"/>
  <c r="Q7" i="2" s="1"/>
  <c r="S7" i="2" s="1"/>
  <c r="D11" i="3"/>
  <c r="D12" i="3" s="1"/>
  <c r="D9" i="3"/>
  <c r="M9" i="2"/>
  <c r="J9" i="2"/>
  <c r="O3" i="2"/>
  <c r="O9" i="2" l="1"/>
  <c r="P9" i="2" s="1"/>
  <c r="O10" i="2" l="1"/>
  <c r="Q9" i="2"/>
  <c r="S9" i="2" s="1"/>
  <c r="M4" i="2" l="1"/>
  <c r="M3" i="2"/>
  <c r="J4" i="2"/>
  <c r="J3" i="2"/>
  <c r="P4" i="2" l="1"/>
  <c r="Q4" i="2"/>
  <c r="S4" i="2" s="1"/>
  <c r="I3" i="3" l="1"/>
  <c r="G3" i="3"/>
  <c r="D3" i="3"/>
  <c r="P3" i="2" l="1"/>
  <c r="J3" i="3"/>
  <c r="K3" i="3" s="1"/>
  <c r="M3" i="3" s="1"/>
  <c r="M4" i="3" s="1"/>
  <c r="Q3" i="2" l="1"/>
  <c r="Q10" i="2" s="1"/>
  <c r="P10" i="2"/>
  <c r="S3" i="2"/>
  <c r="S10" i="2" s="1"/>
  <c r="L20" i="2" s="1"/>
  <c r="L22" i="2" s="1"/>
  <c r="L23" i="2" s="1"/>
  <c r="L25" i="2" l="1"/>
  <c r="L24" i="2"/>
  <c r="U11" i="2"/>
</calcChain>
</file>

<file path=xl/sharedStrings.xml><?xml version="1.0" encoding="utf-8"?>
<sst xmlns="http://schemas.openxmlformats.org/spreadsheetml/2006/main" count="64" uniqueCount="47">
  <si>
    <t>SR. No.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</si>
  <si>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</si>
  <si>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</si>
  <si>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</si>
  <si>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</si>
  <si>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</si>
  <si>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</si>
  <si>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</si>
  <si>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</si>
  <si>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</si>
  <si>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</si>
  <si>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</si>
  <si>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</si>
  <si>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</si>
  <si>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</si>
  <si>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</si>
  <si>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</si>
  <si>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Floor</t>
  </si>
  <si>
    <t>Ground Floor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</si>
  <si>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</si>
  <si>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</si>
  <si>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</si>
  <si>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</si>
  <si>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</si>
  <si>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</si>
  <si>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>Height in Feet</t>
  </si>
  <si>
    <t>RCC framed pillar beam column on RCC slab</t>
  </si>
  <si>
    <t>First Floor</t>
  </si>
  <si>
    <t>Type of Roof</t>
  </si>
  <si>
    <t>Covered Area (in sq.ft)</t>
  </si>
  <si>
    <t>Covered Area 
(in sq mtr)</t>
  </si>
  <si>
    <t xml:space="preserve">Land Developments </t>
  </si>
  <si>
    <t xml:space="preserve">Heliport </t>
  </si>
  <si>
    <t>RCC</t>
  </si>
  <si>
    <t>Ground</t>
  </si>
  <si>
    <t>1. All the details pertaing to the building area statement such as area, floor, etc has been taken from the measurement done at site only.</t>
  </si>
  <si>
    <t xml:space="preserve">5.As per our site survey we have observed the maintenance of the building and Heliport is good . </t>
  </si>
  <si>
    <t>6.We have not provided the sanctioned bulding map of the plant.Therfore, As per site measurement  of the building and Heliport we have done the valuation accordingly.</t>
  </si>
  <si>
    <t>-</t>
  </si>
  <si>
    <t>Boundary wall and Road valuation</t>
  </si>
  <si>
    <t xml:space="preserve">BUILDING VALUATION OF PROPERTY AND HELIPORT OF TOURISM FACILITATION CENTRE | SITUATED AT AYODHYA, UTTAR PRADESH   
</t>
  </si>
  <si>
    <t>Shelter Home</t>
  </si>
  <si>
    <t>Second Floor</t>
  </si>
  <si>
    <t>Toilet Block</t>
  </si>
  <si>
    <t>Shilp Gram</t>
  </si>
  <si>
    <t>Stone wall</t>
  </si>
  <si>
    <t xml:space="preserve"> Hatt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</si>
</sst>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9" fontId="0" fillId="5" borderId="1" xfId="2" applyFont="1" applyFill="1" applyBorder="1" applyAlignment="1">
      <alignment horizontal="center" vertical="center" wrapText="1"/>
    </xf>
    <xf numFmtId="165" fontId="0" fillId="5" borderId="1" xfId="1" applyNumberFormat="1" applyFont="1" applyFill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167" fontId="0" fillId="0" borderId="0" xfId="2" applyNumberFormat="1" applyFont="1"/>
    <xf numFmtId="43" fontId="2" fillId="0" borderId="1" xfId="6" applyFont="1" applyBorder="1" applyAlignment="1">
      <alignment horizontal="right" vertical="center" wrapText="1"/>
    </xf>
    <xf numFmtId="43" fontId="0" fillId="0" borderId="1" xfId="0" applyNumberFormat="1" applyBorder="1" applyAlignment="1">
      <alignment horizontal="center" vertical="top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8" fillId="0" borderId="0" xfId="0" applyFont="1"/>
    <xf numFmtId="3" fontId="9" fillId="0" borderId="0" xfId="0" applyNumberFormat="1" applyFo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3">
    <cellStyle name="40% - Accent1" xfId="3" builtinId="31"/>
    <cellStyle name="Comma" xfId="6" builtinId="3"/>
    <cellStyle name="Comma 2" xfId="4"/>
    <cellStyle name="Comma 2 2" xfId="10"/>
    <cellStyle name="Comma 3" xfId="12"/>
    <cellStyle name="Comma 4" xfId="8"/>
    <cellStyle name="Currency" xfId="1" builtinId="4"/>
    <cellStyle name="Currency 2" xfId="5"/>
    <cellStyle name="Currency 2 2" xfId="9"/>
    <cellStyle name="Currency 3" xfId="11"/>
    <cellStyle name="Currency 4" xfId="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topLeftCell="A7" zoomScaleNormal="100" workbookViewId="0">
      <selection activeCell="B6" sqref="B6"/>
    </sheetView>
  </sheetViews>
  <sheetFormatPr defaultRowHeight="15" x14ac:dyDescent="0.25"/>
  <cols>
    <col min="1" max="1" width="7.28515625" customWidth="1"/>
    <col min="2" max="2" width="13.28515625" customWidth="1"/>
    <col min="3" max="3" width="12.5703125" bestFit="1" customWidth="1"/>
    <col min="4" max="4" width="9" customWidth="1"/>
    <col min="5" max="5" width="40.28515625" bestFit="1" customWidth="1"/>
    <col min="6" max="6" width="10.140625" customWidth="1"/>
    <col min="7" max="7" width="13.140625" bestFit="1" customWidth="1"/>
    <col min="8" max="8" width="12.28515625" bestFit="1" customWidth="1"/>
    <col min="9" max="9" width="9.5703125" customWidth="1"/>
    <col min="10" max="10" width="13.5703125" customWidth="1"/>
    <col min="11" max="11" width="13.42578125" customWidth="1"/>
    <col min="12" max="12" width="15.28515625" customWidth="1"/>
    <col min="13" max="13" width="9" customWidth="1"/>
    <col min="14" max="14" width="15.85546875" bestFit="1" customWidth="1"/>
    <col min="15" max="15" width="14.5703125" customWidth="1"/>
    <col min="16" max="16" width="13.28515625" customWidth="1"/>
    <col min="17" max="17" width="17.7109375" customWidth="1"/>
    <col min="18" max="18" width="8.28515625" customWidth="1"/>
    <col min="19" max="19" width="14" customWidth="1"/>
    <col min="21" max="21" width="11.5703125" bestFit="1" customWidth="1"/>
    <col min="22" max="22" width="15.7109375" bestFit="1" customWidth="1"/>
    <col min="24" max="24" width="3" bestFit="1" customWidth="1"/>
    <col min="25" max="25" width="9" bestFit="1" customWidth="1"/>
    <col min="26" max="26" width="8" bestFit="1" customWidth="1"/>
    <col min="27" max="27" width="11.5703125" bestFit="1" customWidth="1"/>
    <col min="29" max="29" width="9" bestFit="1" customWidth="1"/>
  </cols>
  <sheetData>
    <row r="1" spans="1:27" ht="15.75" x14ac:dyDescent="0.25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7" ht="45" x14ac:dyDescent="0.25">
      <c r="A2" s="1" t="s">
        <v>0</v>
      </c>
      <c r="B2" s="1" t="s">
        <v>15</v>
      </c>
      <c r="C2" s="1" t="s">
        <v>17</v>
      </c>
      <c r="D2" s="1" t="s">
        <v>25</v>
      </c>
      <c r="E2" s="1" t="s">
        <v>28</v>
      </c>
      <c r="F2" s="1" t="s">
        <v>30</v>
      </c>
      <c r="G2" s="1" t="s">
        <v>29</v>
      </c>
      <c r="H2" s="1" t="s">
        <v>20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2" t="s">
        <v>14</v>
      </c>
      <c r="S2" s="1" t="s">
        <v>10</v>
      </c>
    </row>
    <row r="3" spans="1:27" x14ac:dyDescent="0.25">
      <c r="A3" s="3">
        <v>1</v>
      </c>
      <c r="B3" s="30" t="s">
        <v>41</v>
      </c>
      <c r="C3" s="3" t="s">
        <v>18</v>
      </c>
      <c r="D3" s="3">
        <v>10</v>
      </c>
      <c r="E3" s="30" t="s">
        <v>26</v>
      </c>
      <c r="F3" s="16">
        <v>345.41</v>
      </c>
      <c r="G3" s="11">
        <f>F3*10.7639</f>
        <v>3717.9586990000003</v>
      </c>
      <c r="H3" s="3">
        <v>1999</v>
      </c>
      <c r="I3" s="3">
        <v>2023</v>
      </c>
      <c r="J3" s="3">
        <f t="shared" ref="J3:J9" si="0">I3-H3</f>
        <v>24</v>
      </c>
      <c r="K3" s="3">
        <v>65</v>
      </c>
      <c r="L3" s="4">
        <v>0.1</v>
      </c>
      <c r="M3" s="5">
        <f t="shared" ref="M3:M9" si="1">(1-L3)/K3</f>
        <v>1.3846153846153847E-2</v>
      </c>
      <c r="N3" s="6">
        <v>1400</v>
      </c>
      <c r="O3" s="6">
        <f>N3*G3</f>
        <v>5205142.1786000002</v>
      </c>
      <c r="P3" s="6">
        <f t="shared" ref="P3:P9" si="2">O3*M3*J3</f>
        <v>1729708.7855040003</v>
      </c>
      <c r="Q3" s="6">
        <f t="shared" ref="Q3:Q9" si="3">MAX(O3-P3,0)</f>
        <v>3475433.393096</v>
      </c>
      <c r="R3" s="14">
        <v>0.05</v>
      </c>
      <c r="S3" s="15">
        <f t="shared" ref="S3:S9" si="4">IF(Q3&gt;L3*O3,Q3*(1-R3),O3*L3)</f>
        <v>3301661.7234411999</v>
      </c>
    </row>
    <row r="4" spans="1:27" x14ac:dyDescent="0.25">
      <c r="A4" s="3">
        <v>2</v>
      </c>
      <c r="B4" s="30" t="s">
        <v>41</v>
      </c>
      <c r="C4" s="3" t="s">
        <v>27</v>
      </c>
      <c r="D4" s="3">
        <v>10</v>
      </c>
      <c r="E4" s="30" t="s">
        <v>26</v>
      </c>
      <c r="F4" s="16">
        <v>345.41</v>
      </c>
      <c r="G4" s="11">
        <f t="shared" ref="G4:G9" si="5">F4*10.7639</f>
        <v>3717.9586990000003</v>
      </c>
      <c r="H4" s="3">
        <v>1999</v>
      </c>
      <c r="I4" s="3">
        <v>2023</v>
      </c>
      <c r="J4" s="3">
        <f t="shared" si="0"/>
        <v>24</v>
      </c>
      <c r="K4" s="3">
        <v>65</v>
      </c>
      <c r="L4" s="4">
        <v>0.1</v>
      </c>
      <c r="M4" s="5">
        <f t="shared" si="1"/>
        <v>1.3846153846153847E-2</v>
      </c>
      <c r="N4" s="6">
        <v>1400</v>
      </c>
      <c r="O4" s="6">
        <f t="shared" ref="O4:O8" si="6">N4*G4</f>
        <v>5205142.1786000002</v>
      </c>
      <c r="P4" s="6">
        <f t="shared" si="2"/>
        <v>1729708.7855040003</v>
      </c>
      <c r="Q4" s="6">
        <f t="shared" si="3"/>
        <v>3475433.393096</v>
      </c>
      <c r="R4" s="14">
        <v>0.05</v>
      </c>
      <c r="S4" s="15">
        <f t="shared" si="4"/>
        <v>3301661.7234411999</v>
      </c>
    </row>
    <row r="5" spans="1:27" x14ac:dyDescent="0.25">
      <c r="A5" s="3">
        <v>3</v>
      </c>
      <c r="B5" s="30" t="s">
        <v>41</v>
      </c>
      <c r="C5" s="3" t="s">
        <v>42</v>
      </c>
      <c r="D5" s="3">
        <v>10</v>
      </c>
      <c r="E5" s="30" t="s">
        <v>26</v>
      </c>
      <c r="F5" s="16">
        <v>345.41</v>
      </c>
      <c r="G5" s="11">
        <f t="shared" si="5"/>
        <v>3717.9586990000003</v>
      </c>
      <c r="H5" s="3">
        <v>1999</v>
      </c>
      <c r="I5" s="3">
        <v>2023</v>
      </c>
      <c r="J5" s="3">
        <f t="shared" ref="J5:J8" si="7">I5-H5</f>
        <v>24</v>
      </c>
      <c r="K5" s="3">
        <v>65</v>
      </c>
      <c r="L5" s="4">
        <v>0.1</v>
      </c>
      <c r="M5" s="5">
        <f t="shared" ref="M5:M8" si="8">(1-L5)/K5</f>
        <v>1.3846153846153847E-2</v>
      </c>
      <c r="N5" s="6">
        <v>1400</v>
      </c>
      <c r="O5" s="6">
        <f t="shared" si="6"/>
        <v>5205142.1786000002</v>
      </c>
      <c r="P5" s="6">
        <f t="shared" si="2"/>
        <v>1729708.7855040003</v>
      </c>
      <c r="Q5" s="6">
        <f t="shared" ref="Q5:Q8" si="9">MAX(O5-P5,0)</f>
        <v>3475433.393096</v>
      </c>
      <c r="R5" s="14">
        <v>0.05</v>
      </c>
      <c r="S5" s="15">
        <f t="shared" ref="S5:S8" si="10">IF(Q5&gt;L5*O5,Q5*(1-R5),O5*L5)</f>
        <v>3301661.7234411999</v>
      </c>
    </row>
    <row r="6" spans="1:27" x14ac:dyDescent="0.25">
      <c r="A6" s="3">
        <v>4</v>
      </c>
      <c r="B6" s="30" t="s">
        <v>46</v>
      </c>
      <c r="C6" s="3" t="s">
        <v>18</v>
      </c>
      <c r="D6" s="3">
        <v>8</v>
      </c>
      <c r="E6" s="30" t="s">
        <v>26</v>
      </c>
      <c r="F6" s="16">
        <v>1089.02</v>
      </c>
      <c r="G6" s="11">
        <f t="shared" si="5"/>
        <v>11722.102378</v>
      </c>
      <c r="H6" s="3">
        <v>1999</v>
      </c>
      <c r="I6" s="3">
        <v>2023</v>
      </c>
      <c r="J6" s="3">
        <f t="shared" si="7"/>
        <v>24</v>
      </c>
      <c r="K6" s="3">
        <v>65</v>
      </c>
      <c r="L6" s="4">
        <v>0.1</v>
      </c>
      <c r="M6" s="5">
        <f t="shared" si="8"/>
        <v>1.3846153846153847E-2</v>
      </c>
      <c r="N6" s="6">
        <v>1300</v>
      </c>
      <c r="O6" s="6">
        <f t="shared" si="6"/>
        <v>15238733.091399999</v>
      </c>
      <c r="P6" s="6">
        <f t="shared" si="2"/>
        <v>5063948.2272959994</v>
      </c>
      <c r="Q6" s="6">
        <f t="shared" si="9"/>
        <v>10174784.864103999</v>
      </c>
      <c r="R6" s="14">
        <v>0.05</v>
      </c>
      <c r="S6" s="15">
        <f t="shared" si="10"/>
        <v>9666045.6208987981</v>
      </c>
    </row>
    <row r="7" spans="1:27" x14ac:dyDescent="0.25">
      <c r="A7" s="3">
        <v>5</v>
      </c>
      <c r="B7" s="30" t="s">
        <v>43</v>
      </c>
      <c r="C7" s="3" t="s">
        <v>18</v>
      </c>
      <c r="D7" s="3">
        <v>10</v>
      </c>
      <c r="E7" s="30" t="s">
        <v>26</v>
      </c>
      <c r="F7" s="16">
        <v>111.41</v>
      </c>
      <c r="G7" s="11">
        <f t="shared" si="5"/>
        <v>1199.206099</v>
      </c>
      <c r="H7" s="3">
        <v>1999</v>
      </c>
      <c r="I7" s="3">
        <v>2023</v>
      </c>
      <c r="J7" s="3">
        <f t="shared" si="7"/>
        <v>24</v>
      </c>
      <c r="K7" s="3">
        <v>65</v>
      </c>
      <c r="L7" s="4">
        <v>0.1</v>
      </c>
      <c r="M7" s="5">
        <f t="shared" si="8"/>
        <v>1.3846153846153847E-2</v>
      </c>
      <c r="N7" s="6">
        <v>1300</v>
      </c>
      <c r="O7" s="6">
        <f t="shared" si="6"/>
        <v>1558967.9287</v>
      </c>
      <c r="P7" s="6">
        <f t="shared" si="2"/>
        <v>518057.03476800001</v>
      </c>
      <c r="Q7" s="6">
        <f t="shared" si="9"/>
        <v>1040910.893932</v>
      </c>
      <c r="R7" s="14">
        <v>0.05</v>
      </c>
      <c r="S7" s="15">
        <f t="shared" si="10"/>
        <v>988865.34923539998</v>
      </c>
    </row>
    <row r="8" spans="1:27" x14ac:dyDescent="0.25">
      <c r="A8" s="3">
        <v>6</v>
      </c>
      <c r="B8" s="30" t="s">
        <v>44</v>
      </c>
      <c r="C8" s="3" t="s">
        <v>18</v>
      </c>
      <c r="D8" s="3">
        <v>10</v>
      </c>
      <c r="E8" s="30" t="s">
        <v>45</v>
      </c>
      <c r="F8" s="16">
        <v>739.34</v>
      </c>
      <c r="G8" s="11">
        <f t="shared" si="5"/>
        <v>7958.181826</v>
      </c>
      <c r="H8" s="3">
        <v>1999</v>
      </c>
      <c r="I8" s="3">
        <v>2023</v>
      </c>
      <c r="J8" s="3">
        <f t="shared" si="7"/>
        <v>24</v>
      </c>
      <c r="K8" s="3">
        <v>50</v>
      </c>
      <c r="L8" s="4">
        <v>0.1</v>
      </c>
      <c r="M8" s="5">
        <f t="shared" si="8"/>
        <v>1.8000000000000002E-2</v>
      </c>
      <c r="N8" s="6">
        <v>600</v>
      </c>
      <c r="O8" s="6">
        <f t="shared" si="6"/>
        <v>4774909.0955999997</v>
      </c>
      <c r="P8" s="6">
        <f t="shared" si="2"/>
        <v>2062760.7292992</v>
      </c>
      <c r="Q8" s="6">
        <f t="shared" si="9"/>
        <v>2712148.3663007999</v>
      </c>
      <c r="R8" s="14">
        <v>0.05</v>
      </c>
      <c r="S8" s="15">
        <f t="shared" si="10"/>
        <v>2576540.9479857599</v>
      </c>
    </row>
    <row r="9" spans="1:27" x14ac:dyDescent="0.25">
      <c r="A9" s="3">
        <v>7</v>
      </c>
      <c r="B9" s="3" t="s">
        <v>32</v>
      </c>
      <c r="C9" s="3" t="s">
        <v>34</v>
      </c>
      <c r="D9" s="21" t="s">
        <v>38</v>
      </c>
      <c r="E9" s="3" t="s">
        <v>33</v>
      </c>
      <c r="F9" s="16">
        <v>297</v>
      </c>
      <c r="G9" s="11">
        <f t="shared" si="5"/>
        <v>3196.8782999999999</v>
      </c>
      <c r="H9" s="3">
        <v>1999</v>
      </c>
      <c r="I9" s="3">
        <v>2023</v>
      </c>
      <c r="J9" s="3">
        <f t="shared" si="0"/>
        <v>24</v>
      </c>
      <c r="K9" s="3">
        <v>65</v>
      </c>
      <c r="L9" s="4">
        <v>0.1</v>
      </c>
      <c r="M9" s="5">
        <f t="shared" si="1"/>
        <v>1.3846153846153847E-2</v>
      </c>
      <c r="N9" s="6">
        <v>2000</v>
      </c>
      <c r="O9" s="6">
        <f t="shared" ref="O9" si="11">N9*G9</f>
        <v>6393756.5999999996</v>
      </c>
      <c r="P9" s="6">
        <f t="shared" si="2"/>
        <v>2124694.5009230771</v>
      </c>
      <c r="Q9" s="6">
        <f t="shared" si="3"/>
        <v>4269062.099076923</v>
      </c>
      <c r="R9" s="14">
        <v>0.05</v>
      </c>
      <c r="S9" s="15">
        <f t="shared" si="4"/>
        <v>4055608.9941230766</v>
      </c>
    </row>
    <row r="10" spans="1:27" x14ac:dyDescent="0.25">
      <c r="A10" s="41" t="s">
        <v>11</v>
      </c>
      <c r="B10" s="41"/>
      <c r="C10" s="41"/>
      <c r="D10" s="41"/>
      <c r="E10" s="41"/>
      <c r="F10" s="20">
        <f>SUM(F3:F9)</f>
        <v>3273</v>
      </c>
      <c r="G10" s="17"/>
      <c r="H10" s="41"/>
      <c r="I10" s="41"/>
      <c r="J10" s="41"/>
      <c r="K10" s="41"/>
      <c r="L10" s="41"/>
      <c r="M10" s="41"/>
      <c r="N10" s="41"/>
      <c r="O10" s="7">
        <f>SUM(O3:O9)</f>
        <v>43581793.251500003</v>
      </c>
      <c r="P10" s="7">
        <f>SUM(P3:P9)</f>
        <v>14958586.848798279</v>
      </c>
      <c r="Q10" s="7">
        <f>SUM(Q3:Q9)</f>
        <v>28623206.402701721</v>
      </c>
      <c r="R10" s="8"/>
      <c r="S10" s="7">
        <f>SUM(S3:S9)</f>
        <v>27192046.082566634</v>
      </c>
    </row>
    <row r="11" spans="1:27" x14ac:dyDescent="0.25">
      <c r="A11" s="42" t="s">
        <v>12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U11" s="9">
        <f>Q10-S10</f>
        <v>1431160.3201350868</v>
      </c>
    </row>
    <row r="12" spans="1:27" x14ac:dyDescent="0.25">
      <c r="A12" s="37" t="s">
        <v>35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27" x14ac:dyDescent="0.25">
      <c r="A13" s="37" t="s">
        <v>13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AA13" s="12"/>
    </row>
    <row r="14" spans="1:27" x14ac:dyDescent="0.25">
      <c r="A14" s="37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27" x14ac:dyDescent="0.25">
      <c r="A15" s="38" t="s">
        <v>36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6" spans="1:27" x14ac:dyDescent="0.25">
      <c r="A16" s="33" t="s">
        <v>37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V16" s="22"/>
    </row>
    <row r="18" spans="3:19" x14ac:dyDescent="0.25">
      <c r="S18" s="9"/>
    </row>
    <row r="19" spans="3:19" x14ac:dyDescent="0.25">
      <c r="C19">
        <f>15*15*3.14</f>
        <v>706.5</v>
      </c>
      <c r="L19" s="32">
        <v>935668800</v>
      </c>
      <c r="O19">
        <v>2160000</v>
      </c>
    </row>
    <row r="20" spans="3:19" x14ac:dyDescent="0.25">
      <c r="C20" s="10"/>
      <c r="G20" s="31">
        <f>191664*4500</f>
        <v>862488000</v>
      </c>
      <c r="H20" s="19"/>
      <c r="L20" s="9">
        <f>S10</f>
        <v>27192046.082566634</v>
      </c>
      <c r="O20">
        <f>O19/1200</f>
        <v>1800</v>
      </c>
    </row>
    <row r="21" spans="3:19" x14ac:dyDescent="0.25">
      <c r="H21" s="12"/>
      <c r="L21" s="9">
        <v>1700000</v>
      </c>
      <c r="S21" s="9"/>
    </row>
    <row r="22" spans="3:19" x14ac:dyDescent="0.25">
      <c r="G22" s="12"/>
      <c r="H22" s="18"/>
      <c r="L22" s="12">
        <f>SUM(L19:L21)</f>
        <v>964560846.08256662</v>
      </c>
      <c r="S22" s="9"/>
    </row>
    <row r="23" spans="3:19" x14ac:dyDescent="0.25">
      <c r="G23" s="10"/>
      <c r="H23" s="10"/>
      <c r="L23" s="18">
        <f>ROUND(L22,-5)</f>
        <v>964600000</v>
      </c>
      <c r="S23" s="22"/>
    </row>
    <row r="24" spans="3:19" x14ac:dyDescent="0.25">
      <c r="F24" s="12"/>
      <c r="G24" s="10"/>
      <c r="H24" s="10"/>
      <c r="L24">
        <f>L23*0.85</f>
        <v>819910000</v>
      </c>
      <c r="S24" s="22"/>
    </row>
    <row r="25" spans="3:19" x14ac:dyDescent="0.25">
      <c r="L25" s="10">
        <f>L23*0.75</f>
        <v>723450000</v>
      </c>
    </row>
  </sheetData>
  <mergeCells count="9">
    <mergeCell ref="A16:S16"/>
    <mergeCell ref="A1:S1"/>
    <mergeCell ref="A13:S13"/>
    <mergeCell ref="A14:S14"/>
    <mergeCell ref="A15:S15"/>
    <mergeCell ref="A10:E10"/>
    <mergeCell ref="H10:N10"/>
    <mergeCell ref="A11:S11"/>
    <mergeCell ref="A12:S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19.28515625" bestFit="1" customWidth="1"/>
    <col min="4" max="4" width="14.285156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3.28515625" bestFit="1" customWidth="1"/>
  </cols>
  <sheetData>
    <row r="1" spans="1:13" ht="15.75" x14ac:dyDescent="0.2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91.5" x14ac:dyDescent="0.25">
      <c r="A2" s="13" t="s">
        <v>19</v>
      </c>
      <c r="B2" s="13" t="s">
        <v>20</v>
      </c>
      <c r="C2" s="13" t="s">
        <v>1</v>
      </c>
      <c r="D2" s="13" t="s">
        <v>21</v>
      </c>
      <c r="E2" s="13" t="s">
        <v>22</v>
      </c>
      <c r="F2" s="13" t="s">
        <v>4</v>
      </c>
      <c r="G2" s="13" t="s">
        <v>5</v>
      </c>
      <c r="H2" s="13" t="s">
        <v>23</v>
      </c>
      <c r="I2" s="13" t="s">
        <v>7</v>
      </c>
      <c r="J2" s="13" t="s">
        <v>8</v>
      </c>
      <c r="K2" s="13" t="s">
        <v>9</v>
      </c>
      <c r="L2" s="13" t="s">
        <v>24</v>
      </c>
      <c r="M2" s="13" t="s">
        <v>10</v>
      </c>
    </row>
    <row r="3" spans="1:13" x14ac:dyDescent="0.25">
      <c r="A3" s="24">
        <f>536*3.28</f>
        <v>1758.08</v>
      </c>
      <c r="B3" s="25">
        <v>1999</v>
      </c>
      <c r="C3" s="25">
        <v>2023</v>
      </c>
      <c r="D3" s="25">
        <f>C3-B3</f>
        <v>24</v>
      </c>
      <c r="E3" s="25">
        <v>65</v>
      </c>
      <c r="F3" s="26">
        <v>0.05</v>
      </c>
      <c r="G3" s="27">
        <f>(1-F3)/E3</f>
        <v>1.4615384615384615E-2</v>
      </c>
      <c r="H3" s="28">
        <v>1500</v>
      </c>
      <c r="I3" s="28">
        <f>H3*A3</f>
        <v>2637120</v>
      </c>
      <c r="J3" s="28">
        <f>I3*G3*D3</f>
        <v>925020.5538461539</v>
      </c>
      <c r="K3" s="28">
        <f>MAX(I3-J3,0)</f>
        <v>1712099.4461538461</v>
      </c>
      <c r="L3" s="29">
        <v>0</v>
      </c>
      <c r="M3" s="28">
        <f>IF(K3&gt;F3*I3,K3*(1-L3),I3*F3)</f>
        <v>1712099.4461538461</v>
      </c>
    </row>
    <row r="4" spans="1:13" x14ac:dyDescent="0.25">
      <c r="D4" s="23"/>
      <c r="M4" s="9">
        <f>SUM(M3:M3)</f>
        <v>1712099.4461538461</v>
      </c>
    </row>
    <row r="8" spans="1:13" x14ac:dyDescent="0.25">
      <c r="C8" t="s">
        <v>31</v>
      </c>
      <c r="D8">
        <v>832</v>
      </c>
    </row>
    <row r="9" spans="1:13" x14ac:dyDescent="0.25">
      <c r="D9">
        <f>D8*3.28</f>
        <v>2728.96</v>
      </c>
    </row>
    <row r="11" spans="1:13" x14ac:dyDescent="0.25">
      <c r="C11">
        <v>100</v>
      </c>
      <c r="D11">
        <f>C11*3.28*30</f>
        <v>9840</v>
      </c>
    </row>
    <row r="12" spans="1:13" x14ac:dyDescent="0.25">
      <c r="D12" s="12">
        <f>D11*1200</f>
        <v>11808000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9"/>
  <sheetViews>
    <sheetView workbookViewId="0">
      <selection activeCell="I8" sqref="I8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4" spans="5:9" x14ac:dyDescent="0.25">
      <c r="E4">
        <v>171.02</v>
      </c>
    </row>
    <row r="5" spans="5:9" x14ac:dyDescent="0.25">
      <c r="E5">
        <v>146</v>
      </c>
      <c r="H5">
        <v>3897.55</v>
      </c>
    </row>
    <row r="6" spans="5:9" x14ac:dyDescent="0.25">
      <c r="E6">
        <f>143*2</f>
        <v>286</v>
      </c>
      <c r="H6">
        <v>17844.349999999999</v>
      </c>
    </row>
    <row r="7" spans="5:9" x14ac:dyDescent="0.25">
      <c r="E7">
        <f>120*2</f>
        <v>240</v>
      </c>
      <c r="H7">
        <f>SUM(H5:H6)</f>
        <v>21741.899999999998</v>
      </c>
      <c r="I7">
        <v>233917.2</v>
      </c>
    </row>
    <row r="8" spans="5:9" x14ac:dyDescent="0.25">
      <c r="E8">
        <f>123*2</f>
        <v>246</v>
      </c>
      <c r="I8">
        <f>I7*4000</f>
        <v>935668800</v>
      </c>
    </row>
    <row r="9" spans="5:9" x14ac:dyDescent="0.25">
      <c r="E9">
        <f>SUM(E4:E8)</f>
        <v>1089.02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2023-06-19T07:05:46Z</dcterms:modified>
</cp:coreProperties>
</file>