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 Progress Files\Rahul Gupta\In progress\2023-2024\VIS(2023-24)-PL097-084-132 Gopi Ganj\Gopiganj\Building Sheet\"/>
    </mc:Choice>
  </mc:AlternateContent>
  <bookViews>
    <workbookView xWindow="0" yWindow="0" windowWidth="20490" windowHeight="7755"/>
  </bookViews>
  <sheets>
    <sheet name="working" sheetId="2" r:id="rId1"/>
    <sheet name="Sheet2" sheetId="3" r:id="rId2"/>
    <sheet name="Sheet3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8" i="2" l="1"/>
  <c r="X7" i="2"/>
  <c r="X8" i="2"/>
  <c r="X6" i="2"/>
  <c r="V12" i="2"/>
  <c r="J25" i="2"/>
  <c r="H25" i="2"/>
  <c r="J17" i="2"/>
  <c r="G22" i="2"/>
  <c r="F21" i="2"/>
  <c r="N12" i="3"/>
  <c r="M11" i="3"/>
  <c r="M10" i="3"/>
  <c r="L10" i="3"/>
  <c r="G6" i="2"/>
  <c r="F6" i="2"/>
  <c r="D18" i="2"/>
  <c r="O20" i="2" l="1"/>
  <c r="H19" i="2"/>
  <c r="O16" i="2" l="1"/>
  <c r="I8" i="4"/>
  <c r="H7" i="4"/>
  <c r="G16" i="2" l="1"/>
  <c r="J5" i="2"/>
  <c r="M5" i="2"/>
  <c r="G4" i="2"/>
  <c r="O4" i="2" s="1"/>
  <c r="G5" i="2"/>
  <c r="O5" i="2" s="1"/>
  <c r="G3" i="2"/>
  <c r="C15" i="2"/>
  <c r="E8" i="4"/>
  <c r="E7" i="4"/>
  <c r="E9" i="4" s="1"/>
  <c r="E6" i="4"/>
  <c r="P5" i="2" l="1"/>
  <c r="Q5" i="2" s="1"/>
  <c r="S5" i="2" s="1"/>
  <c r="D11" i="3"/>
  <c r="D12" i="3" s="1"/>
  <c r="D9" i="3"/>
  <c r="O3" i="2"/>
  <c r="O6" i="2" l="1"/>
  <c r="M4" i="2" l="1"/>
  <c r="M3" i="2"/>
  <c r="J4" i="2"/>
  <c r="J3" i="2"/>
  <c r="P4" i="2" l="1"/>
  <c r="Q4" i="2"/>
  <c r="S4" i="2" s="1"/>
  <c r="I3" i="3" l="1"/>
  <c r="G3" i="3"/>
  <c r="D3" i="3"/>
  <c r="P3" i="2" l="1"/>
  <c r="J3" i="3"/>
  <c r="K3" i="3" s="1"/>
  <c r="M3" i="3" s="1"/>
  <c r="M4" i="3" s="1"/>
  <c r="Q3" i="2" l="1"/>
  <c r="Q6" i="2" s="1"/>
  <c r="P6" i="2"/>
  <c r="S3" i="2" l="1"/>
  <c r="S6" i="2" s="1"/>
  <c r="L16" i="2" l="1"/>
  <c r="L18" i="2" s="1"/>
  <c r="L19" i="2" s="1"/>
  <c r="L21" i="2" s="1"/>
  <c r="S14" i="2"/>
  <c r="S17" i="2" s="1"/>
  <c r="S18" i="2" s="1"/>
  <c r="U7" i="2"/>
  <c r="S20" i="2" l="1"/>
  <c r="S19" i="2"/>
  <c r="L20" i="2"/>
</calcChain>
</file>

<file path=xl/sharedStrings.xml><?xml version="1.0" encoding="utf-8"?>
<sst xmlns="http://schemas.openxmlformats.org/spreadsheetml/2006/main" count="51" uniqueCount="40">
  <si>
    <t>SR. No.</t>
  </si>
  <si>
    <t xml:space="preserve">Year of Valuation </t>
  </si>
  <si>
    <t>Total Life Consumed 
(In year)</t>
  </si>
  <si>
    <t>Total Economical Life
(In year)</t>
  </si>
  <si>
    <t>Salvage value</t>
  </si>
  <si>
    <t>Depreciation Rate</t>
  </si>
  <si>
    <t>Plinth Area  Rate 
(In per sq ft)</t>
  </si>
  <si>
    <t>Gross Replacement Value
(INR)</t>
  </si>
  <si>
    <t xml:space="preserve">Depreciation
(INR) </t>
  </si>
  <si>
    <t>Depreciated Value
(INR)</t>
  </si>
  <si>
    <t>Depreciated Replacement Market Value
(INR)</t>
  </si>
  <si>
    <t>TOTAL</t>
  </si>
  <si>
    <t>Remarks:</t>
  </si>
  <si>
    <t>3. The valuation is done by considering the depreciated replacement cost approach.</t>
  </si>
  <si>
    <t>Detoration</t>
  </si>
  <si>
    <t>Details of Building</t>
  </si>
  <si>
    <t>4.We have taken the year of construction from information provided to us during the survey.</t>
  </si>
  <si>
    <t>Floor</t>
  </si>
  <si>
    <t>Ground Floor</t>
  </si>
  <si>
    <r>
      <t xml:space="preserve">Wall
</t>
    </r>
    <r>
      <rPr>
        <b/>
        <i/>
        <sz val="10"/>
        <rFont val="Calibri"/>
        <family val="2"/>
        <scheme val="minor"/>
      </rPr>
      <t>(in Running ft.)As per approved plan approx.</t>
    </r>
  </si>
  <si>
    <t>Year of Construction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</si>
  <si>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</si>
  <si>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</si>
  <si>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r>
      <t xml:space="preserve">Plinth Area  Rate 
</t>
    </r>
    <r>
      <rPr>
        <b/>
        <i/>
        <sz val="10"/>
        <rFont val="Calibri"/>
        <family val="2"/>
        <scheme val="minor"/>
      </rPr>
      <t>(in per running ft.)</t>
    </r>
  </si>
  <si>
    <t>Discounting Factor</t>
  </si>
  <si>
    <t>Height in Feet</t>
  </si>
  <si>
    <t>RCC framed pillar beam column on RCC slab</t>
  </si>
  <si>
    <t>First Floor</t>
  </si>
  <si>
    <t>Type of Roof</t>
  </si>
  <si>
    <t>Covered Area (in sq.ft)</t>
  </si>
  <si>
    <t>Covered Area 
(in sq mtr)</t>
  </si>
  <si>
    <t xml:space="preserve">Land Developments </t>
  </si>
  <si>
    <t>1. All the details pertaing to the building area statement such as area, floor, etc has been taken from the measurement done at site only.</t>
  </si>
  <si>
    <t>Boundary wall and Road valuation</t>
  </si>
  <si>
    <t>Second Floor</t>
  </si>
  <si>
    <t>6.We have not provided the sanctioned bulding map .Therfore, As per site measurement  of the building we have done the valuation accordingly.</t>
  </si>
  <si>
    <t>Guest House</t>
  </si>
  <si>
    <t>Temporary Shed</t>
  </si>
  <si>
    <t xml:space="preserve">5.As per our site survey we have observed the maintenance of the building is average . </t>
  </si>
  <si>
    <t xml:space="preserve">BUILDING VALUATION OF PROPERTY OF GUEST HOUSE | SITUATED AT JOHARPUR, G.T ROAD, GOPIGANJ, DISTRICT BHADOHI, UTTAR PRADESH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</si>
</sst>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000"/>
    <numFmt numFmtId="165" formatCode="_ &quot;₹&quot;\ * #,##0_ ;_ &quot;₹&quot;\ * \-#,##0_ ;_ &quot;₹&quot;\ * &quot;-&quot;??_ ;_ @_ "/>
    <numFmt numFmtId="166" formatCode="_ * #,##0_ ;_ * \-#,##0_ ;_ * &quot;-&quot;??_ ;_ @_ 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3" applyFont="1" applyBorder="1" applyAlignment="1">
      <alignment horizontal="center" vertical="center" wrapText="1"/>
    </xf>
    <xf numFmtId="9" fontId="2" fillId="2" borderId="1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 vertical="center" wrapText="1"/>
    </xf>
    <xf numFmtId="165" fontId="0" fillId="0" borderId="0" xfId="0" applyNumberFormat="1"/>
    <xf numFmtId="43" fontId="0" fillId="0" borderId="0" xfId="0" applyNumberFormat="1"/>
    <xf numFmtId="43" fontId="0" fillId="0" borderId="1" xfId="6" applyFont="1" applyBorder="1" applyAlignment="1">
      <alignment horizontal="center" vertical="center" wrapText="1"/>
    </xf>
    <xf numFmtId="166" fontId="0" fillId="0" borderId="0" xfId="6" applyNumberFormat="1" applyFont="1"/>
    <xf numFmtId="0" fontId="6" fillId="4" borderId="1" xfId="0" applyFont="1" applyFill="1" applyBorder="1" applyAlignment="1">
      <alignment horizontal="center" vertical="center" wrapText="1"/>
    </xf>
    <xf numFmtId="9" fontId="0" fillId="5" borderId="1" xfId="2" applyFont="1" applyFill="1" applyBorder="1" applyAlignment="1">
      <alignment horizontal="center" vertical="center" wrapText="1"/>
    </xf>
    <xf numFmtId="165" fontId="0" fillId="5" borderId="1" xfId="1" applyNumberFormat="1" applyFont="1" applyFill="1" applyBorder="1" applyAlignment="1">
      <alignment horizontal="center" vertical="center" wrapText="1"/>
    </xf>
    <xf numFmtId="166" fontId="0" fillId="0" borderId="1" xfId="6" applyNumberFormat="1" applyFont="1" applyBorder="1" applyAlignment="1">
      <alignment horizontal="center" vertical="center" wrapText="1"/>
    </xf>
    <xf numFmtId="166" fontId="2" fillId="0" borderId="1" xfId="6" applyNumberFormat="1" applyFont="1" applyBorder="1" applyAlignment="1">
      <alignment horizontal="center" vertical="center" wrapText="1"/>
    </xf>
    <xf numFmtId="166" fontId="0" fillId="0" borderId="0" xfId="0" applyNumberFormat="1"/>
    <xf numFmtId="167" fontId="0" fillId="0" borderId="0" xfId="2" applyNumberFormat="1" applyFont="1"/>
    <xf numFmtId="43" fontId="2" fillId="0" borderId="1" xfId="6" applyFont="1" applyBorder="1" applyAlignment="1">
      <alignment horizontal="right" vertical="center" wrapText="1"/>
    </xf>
    <xf numFmtId="44" fontId="0" fillId="0" borderId="0" xfId="0" applyNumberFormat="1"/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1" applyNumberFormat="1" applyFont="1" applyBorder="1" applyAlignment="1">
      <alignment vertical="center"/>
    </xf>
    <xf numFmtId="9" fontId="0" fillId="0" borderId="1" xfId="2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8" fillId="0" borderId="0" xfId="0" applyFont="1"/>
    <xf numFmtId="3" fontId="9" fillId="0" borderId="0" xfId="0" applyNumberFormat="1" applyFont="1"/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</cellXfs>
  <cellStyles count="13">
    <cellStyle name="40% - Accent1" xfId="3" builtinId="31"/>
    <cellStyle name="Comma" xfId="6" builtinId="3"/>
    <cellStyle name="Comma 2" xfId="4"/>
    <cellStyle name="Comma 2 2" xfId="10"/>
    <cellStyle name="Comma 3" xfId="12"/>
    <cellStyle name="Comma 4" xfId="8"/>
    <cellStyle name="Currency" xfId="1" builtinId="4"/>
    <cellStyle name="Currency 2" xfId="5"/>
    <cellStyle name="Currency 2 2" xfId="9"/>
    <cellStyle name="Currency 3" xfId="11"/>
    <cellStyle name="Currency 4" xfId="7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topLeftCell="L1" zoomScaleNormal="100" workbookViewId="0">
      <selection activeCell="L21" sqref="L21"/>
    </sheetView>
  </sheetViews>
  <sheetFormatPr defaultRowHeight="15" x14ac:dyDescent="0.25"/>
  <cols>
    <col min="1" max="1" width="7.28515625" customWidth="1"/>
    <col min="2" max="2" width="13.28515625" customWidth="1"/>
    <col min="3" max="3" width="12.5703125" bestFit="1" customWidth="1"/>
    <col min="4" max="4" width="9" customWidth="1"/>
    <col min="5" max="5" width="40.28515625" bestFit="1" customWidth="1"/>
    <col min="6" max="6" width="10.140625" customWidth="1"/>
    <col min="7" max="7" width="13.140625" bestFit="1" customWidth="1"/>
    <col min="8" max="8" width="15.28515625" bestFit="1" customWidth="1"/>
    <col min="9" max="9" width="9.5703125" customWidth="1"/>
    <col min="10" max="10" width="13.5703125" customWidth="1"/>
    <col min="11" max="11" width="13.42578125" customWidth="1"/>
    <col min="12" max="12" width="15.28515625" customWidth="1"/>
    <col min="13" max="13" width="9" customWidth="1"/>
    <col min="14" max="14" width="15.85546875" bestFit="1" customWidth="1"/>
    <col min="15" max="15" width="14.5703125" customWidth="1"/>
    <col min="16" max="16" width="13.28515625" customWidth="1"/>
    <col min="17" max="17" width="17.7109375" customWidth="1"/>
    <col min="18" max="18" width="8.28515625" customWidth="1"/>
    <col min="19" max="19" width="15.85546875" customWidth="1"/>
    <col min="21" max="21" width="11.5703125" bestFit="1" customWidth="1"/>
    <col min="22" max="22" width="15.7109375" bestFit="1" customWidth="1"/>
    <col min="24" max="24" width="14" customWidth="1"/>
    <col min="25" max="25" width="9" bestFit="1" customWidth="1"/>
    <col min="26" max="26" width="8" bestFit="1" customWidth="1"/>
    <col min="27" max="27" width="11.5703125" bestFit="1" customWidth="1"/>
    <col min="29" max="29" width="9" bestFit="1" customWidth="1"/>
  </cols>
  <sheetData>
    <row r="1" spans="1:27" ht="15.75" x14ac:dyDescent="0.25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27" ht="45" x14ac:dyDescent="0.25">
      <c r="A2" s="1" t="s">
        <v>0</v>
      </c>
      <c r="B2" s="1" t="s">
        <v>15</v>
      </c>
      <c r="C2" s="1" t="s">
        <v>17</v>
      </c>
      <c r="D2" s="1" t="s">
        <v>25</v>
      </c>
      <c r="E2" s="1" t="s">
        <v>28</v>
      </c>
      <c r="F2" s="1" t="s">
        <v>30</v>
      </c>
      <c r="G2" s="1" t="s">
        <v>29</v>
      </c>
      <c r="H2" s="1" t="s">
        <v>20</v>
      </c>
      <c r="I2" s="1" t="s">
        <v>1</v>
      </c>
      <c r="J2" s="1" t="s">
        <v>2</v>
      </c>
      <c r="K2" s="1" t="s">
        <v>3</v>
      </c>
      <c r="L2" s="1" t="s">
        <v>4</v>
      </c>
      <c r="M2" s="1" t="s">
        <v>5</v>
      </c>
      <c r="N2" s="1" t="s">
        <v>6</v>
      </c>
      <c r="O2" s="1" t="s">
        <v>7</v>
      </c>
      <c r="P2" s="1" t="s">
        <v>8</v>
      </c>
      <c r="Q2" s="1" t="s">
        <v>9</v>
      </c>
      <c r="R2" s="2" t="s">
        <v>14</v>
      </c>
      <c r="S2" s="1" t="s">
        <v>10</v>
      </c>
    </row>
    <row r="3" spans="1:27" x14ac:dyDescent="0.25">
      <c r="A3" s="3">
        <v>1</v>
      </c>
      <c r="B3" s="29" t="s">
        <v>36</v>
      </c>
      <c r="C3" s="3" t="s">
        <v>18</v>
      </c>
      <c r="D3" s="3">
        <v>10</v>
      </c>
      <c r="E3" s="29" t="s">
        <v>26</v>
      </c>
      <c r="F3" s="16">
        <v>221.54</v>
      </c>
      <c r="G3" s="11">
        <f>F3*10.7639</f>
        <v>2384.6344059999997</v>
      </c>
      <c r="H3" s="3">
        <v>2011</v>
      </c>
      <c r="I3" s="3">
        <v>2023</v>
      </c>
      <c r="J3" s="3">
        <f t="shared" ref="J3:J4" si="0">I3-H3</f>
        <v>12</v>
      </c>
      <c r="K3" s="3">
        <v>65</v>
      </c>
      <c r="L3" s="4">
        <v>0.1</v>
      </c>
      <c r="M3" s="5">
        <f t="shared" ref="M3:M4" si="1">(1-L3)/K3</f>
        <v>1.3846153846153847E-2</v>
      </c>
      <c r="N3" s="6">
        <v>1400</v>
      </c>
      <c r="O3" s="6">
        <f>N3*G3</f>
        <v>3338488.1683999994</v>
      </c>
      <c r="P3" s="6">
        <f t="shared" ref="P3:P5" si="2">O3*M3*J3</f>
        <v>554702.64951876923</v>
      </c>
      <c r="Q3" s="6">
        <f t="shared" ref="Q3:Q4" si="3">MAX(O3-P3,0)</f>
        <v>2783785.5188812301</v>
      </c>
      <c r="R3" s="14">
        <v>0.05</v>
      </c>
      <c r="S3" s="15">
        <f t="shared" ref="S3:S4" si="4">IF(Q3&gt;L3*O3,Q3*(1-R3),O3*L3)</f>
        <v>2644596.2429371686</v>
      </c>
    </row>
    <row r="4" spans="1:27" x14ac:dyDescent="0.25">
      <c r="A4" s="3">
        <v>2</v>
      </c>
      <c r="B4" s="29" t="s">
        <v>36</v>
      </c>
      <c r="C4" s="3" t="s">
        <v>27</v>
      </c>
      <c r="D4" s="3">
        <v>10</v>
      </c>
      <c r="E4" s="29" t="s">
        <v>26</v>
      </c>
      <c r="F4" s="16">
        <v>289.35000000000002</v>
      </c>
      <c r="G4" s="11">
        <f t="shared" ref="G4:G5" si="5">F4*10.7639</f>
        <v>3114.5344650000002</v>
      </c>
      <c r="H4" s="3">
        <v>2011</v>
      </c>
      <c r="I4" s="3">
        <v>2023</v>
      </c>
      <c r="J4" s="3">
        <f t="shared" si="0"/>
        <v>12</v>
      </c>
      <c r="K4" s="3">
        <v>65</v>
      </c>
      <c r="L4" s="4">
        <v>0.1</v>
      </c>
      <c r="M4" s="5">
        <f t="shared" si="1"/>
        <v>1.3846153846153847E-2</v>
      </c>
      <c r="N4" s="6">
        <v>1400</v>
      </c>
      <c r="O4" s="6">
        <f t="shared" ref="O4:O5" si="6">N4*G4</f>
        <v>4360348.2510000002</v>
      </c>
      <c r="P4" s="6">
        <f t="shared" si="2"/>
        <v>724488.6324738462</v>
      </c>
      <c r="Q4" s="6">
        <f t="shared" si="3"/>
        <v>3635859.6185261542</v>
      </c>
      <c r="R4" s="14">
        <v>0.05</v>
      </c>
      <c r="S4" s="15">
        <f t="shared" si="4"/>
        <v>3454066.6375998463</v>
      </c>
    </row>
    <row r="5" spans="1:27" ht="30" x14ac:dyDescent="0.25">
      <c r="A5" s="3">
        <v>3</v>
      </c>
      <c r="B5" s="29" t="s">
        <v>37</v>
      </c>
      <c r="C5" s="3" t="s">
        <v>34</v>
      </c>
      <c r="D5" s="3">
        <v>10</v>
      </c>
      <c r="E5" s="29" t="s">
        <v>26</v>
      </c>
      <c r="F5" s="16">
        <v>88.62</v>
      </c>
      <c r="G5" s="11">
        <f t="shared" si="5"/>
        <v>953.89681800000005</v>
      </c>
      <c r="H5" s="3">
        <v>2011</v>
      </c>
      <c r="I5" s="3">
        <v>2023</v>
      </c>
      <c r="J5" s="3">
        <f t="shared" ref="J5" si="7">I5-H5</f>
        <v>12</v>
      </c>
      <c r="K5" s="3">
        <v>30</v>
      </c>
      <c r="L5" s="4">
        <v>0.1</v>
      </c>
      <c r="M5" s="5">
        <f t="shared" ref="M5" si="8">(1-L5)/K5</f>
        <v>3.0000000000000002E-2</v>
      </c>
      <c r="N5" s="6">
        <v>1400</v>
      </c>
      <c r="O5" s="6">
        <f t="shared" si="6"/>
        <v>1335455.5452000001</v>
      </c>
      <c r="P5" s="6">
        <f t="shared" si="2"/>
        <v>480763.99627200002</v>
      </c>
      <c r="Q5" s="6">
        <f t="shared" ref="Q5" si="9">MAX(O5-P5,0)</f>
        <v>854691.54892800003</v>
      </c>
      <c r="R5" s="14">
        <v>0.05</v>
      </c>
      <c r="S5" s="15">
        <f t="shared" ref="S5" si="10">IF(Q5&gt;L5*O5,Q5*(1-R5),O5*L5)</f>
        <v>811956.97148159996</v>
      </c>
    </row>
    <row r="6" spans="1:27" x14ac:dyDescent="0.25">
      <c r="A6" s="40" t="s">
        <v>11</v>
      </c>
      <c r="B6" s="40"/>
      <c r="C6" s="40"/>
      <c r="D6" s="40"/>
      <c r="E6" s="40"/>
      <c r="F6" s="20">
        <f>SUM(F3:F5)</f>
        <v>599.51</v>
      </c>
      <c r="G6" s="17">
        <f>SUM(G3:G5)</f>
        <v>6453.065689</v>
      </c>
      <c r="H6" s="40"/>
      <c r="I6" s="40"/>
      <c r="J6" s="40"/>
      <c r="K6" s="40"/>
      <c r="L6" s="40"/>
      <c r="M6" s="40"/>
      <c r="N6" s="40"/>
      <c r="O6" s="7">
        <f>SUM(O3:O5)</f>
        <v>9034291.9645999987</v>
      </c>
      <c r="P6" s="7">
        <f>SUM(P3:P5)</f>
        <v>1759955.2782646155</v>
      </c>
      <c r="Q6" s="7">
        <f>SUM(Q3:Q5)</f>
        <v>7274336.6863353848</v>
      </c>
      <c r="R6" s="8"/>
      <c r="S6" s="7">
        <f>SUM(S3:S5)</f>
        <v>6910619.8520186143</v>
      </c>
      <c r="W6">
        <v>0</v>
      </c>
      <c r="X6" t="str">
        <f>IF(W6&gt;5,"rahul","vishal")</f>
        <v>vishal</v>
      </c>
    </row>
    <row r="7" spans="1:27" x14ac:dyDescent="0.25">
      <c r="A7" s="41" t="s">
        <v>12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U7" s="9">
        <f>Q6-S6</f>
        <v>363716.83431677055</v>
      </c>
      <c r="W7">
        <v>20</v>
      </c>
      <c r="X7" t="str">
        <f t="shared" ref="X7:X8" si="11">IF(W7&gt;5,"rahul","vishal")</f>
        <v>rahul</v>
      </c>
    </row>
    <row r="8" spans="1:27" x14ac:dyDescent="0.25">
      <c r="A8" s="36" t="s">
        <v>32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W8">
        <v>30</v>
      </c>
      <c r="X8" t="str">
        <f t="shared" si="11"/>
        <v>rahul</v>
      </c>
    </row>
    <row r="9" spans="1:27" x14ac:dyDescent="0.25">
      <c r="A9" s="36" t="s">
        <v>13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AA9" s="12"/>
    </row>
    <row r="10" spans="1:27" x14ac:dyDescent="0.25">
      <c r="A10" s="36" t="s">
        <v>16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</row>
    <row r="11" spans="1:27" x14ac:dyDescent="0.25">
      <c r="A11" s="37" t="s">
        <v>38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9"/>
      <c r="V11">
        <v>2704</v>
      </c>
    </row>
    <row r="12" spans="1:27" x14ac:dyDescent="0.25">
      <c r="A12" s="32" t="s">
        <v>35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4"/>
      <c r="V12" s="21">
        <f>V11*10.7639</f>
        <v>29105.585599999999</v>
      </c>
    </row>
    <row r="14" spans="1:27" x14ac:dyDescent="0.25">
      <c r="S14" s="9">
        <f>S6</f>
        <v>6910619.8520186143</v>
      </c>
    </row>
    <row r="15" spans="1:27" x14ac:dyDescent="0.25">
      <c r="C15">
        <f>15*15*3.14</f>
        <v>706.5</v>
      </c>
      <c r="L15" s="31">
        <v>61600000</v>
      </c>
      <c r="O15">
        <v>2160000</v>
      </c>
      <c r="S15">
        <v>61605278</v>
      </c>
    </row>
    <row r="16" spans="1:27" x14ac:dyDescent="0.25">
      <c r="C16" s="10"/>
      <c r="D16">
        <v>289.35000000000002</v>
      </c>
      <c r="G16" s="30">
        <f>191664*4500</f>
        <v>862488000</v>
      </c>
      <c r="H16" s="19"/>
      <c r="J16">
        <v>1360</v>
      </c>
      <c r="L16" s="9">
        <f>S6</f>
        <v>6910619.8520186143</v>
      </c>
      <c r="O16">
        <f>O15/1200</f>
        <v>1800</v>
      </c>
      <c r="S16">
        <v>1000000</v>
      </c>
      <c r="W16">
        <v>42.8</v>
      </c>
    </row>
    <row r="17" spans="4:23" x14ac:dyDescent="0.25">
      <c r="D17">
        <v>67.81</v>
      </c>
      <c r="H17" s="12"/>
      <c r="J17">
        <f>J16/10.7639</f>
        <v>126.34825667276731</v>
      </c>
      <c r="L17" s="9">
        <v>1000000</v>
      </c>
      <c r="S17" s="9">
        <f>SUM(S14:S16)</f>
        <v>69515897.85201861</v>
      </c>
      <c r="W17">
        <v>900000</v>
      </c>
    </row>
    <row r="18" spans="4:23" x14ac:dyDescent="0.25">
      <c r="D18">
        <f>D16-D17</f>
        <v>221.54000000000002</v>
      </c>
      <c r="G18" s="12">
        <v>4000</v>
      </c>
      <c r="H18" s="18">
        <v>192074.98</v>
      </c>
      <c r="L18" s="12">
        <f>SUM(L15:L17)</f>
        <v>69510619.85201861</v>
      </c>
      <c r="O18">
        <v>17844.349999999999</v>
      </c>
      <c r="S18" s="9">
        <f>ROUND(S17,-5)</f>
        <v>69500000</v>
      </c>
      <c r="W18">
        <f>W17*W16</f>
        <v>38520000</v>
      </c>
    </row>
    <row r="19" spans="4:23" x14ac:dyDescent="0.25">
      <c r="F19">
        <v>4725</v>
      </c>
      <c r="G19" s="10"/>
      <c r="H19" s="10">
        <f>H18*G18</f>
        <v>768299920</v>
      </c>
      <c r="L19" s="18">
        <f>ROUND(L18,-5)</f>
        <v>69500000</v>
      </c>
      <c r="O19">
        <v>4850</v>
      </c>
      <c r="S19" s="21">
        <f>S18*0.85</f>
        <v>59075000</v>
      </c>
    </row>
    <row r="20" spans="4:23" x14ac:dyDescent="0.25">
      <c r="F20" s="12">
        <v>3.5</v>
      </c>
      <c r="G20" s="10"/>
      <c r="H20" s="10"/>
      <c r="L20" s="12">
        <f>L19*0.85</f>
        <v>59075000</v>
      </c>
      <c r="O20">
        <f>O19*O18</f>
        <v>86545097.5</v>
      </c>
      <c r="S20" s="21">
        <f>S18*0.75</f>
        <v>52125000</v>
      </c>
    </row>
    <row r="21" spans="4:23" x14ac:dyDescent="0.25">
      <c r="F21" s="18">
        <f>F19/F20</f>
        <v>1350</v>
      </c>
      <c r="G21">
        <v>4725000</v>
      </c>
      <c r="L21" s="10">
        <f>L19*0.75</f>
        <v>52125000</v>
      </c>
    </row>
    <row r="22" spans="4:23" x14ac:dyDescent="0.25">
      <c r="G22" s="18">
        <f>G21/F20</f>
        <v>1350000</v>
      </c>
    </row>
    <row r="23" spans="4:23" x14ac:dyDescent="0.25">
      <c r="H23">
        <v>2200000</v>
      </c>
      <c r="J23">
        <v>3537.89</v>
      </c>
    </row>
    <row r="24" spans="4:23" x14ac:dyDescent="0.25">
      <c r="H24">
        <v>126.34</v>
      </c>
      <c r="J24">
        <v>17413</v>
      </c>
    </row>
    <row r="25" spans="4:23" x14ac:dyDescent="0.25">
      <c r="H25">
        <f>H23/H24</f>
        <v>17413.329111920215</v>
      </c>
      <c r="J25">
        <f>J24*J23</f>
        <v>61605278.57</v>
      </c>
    </row>
  </sheetData>
  <mergeCells count="9">
    <mergeCell ref="A12:S12"/>
    <mergeCell ref="A1:S1"/>
    <mergeCell ref="A9:S9"/>
    <mergeCell ref="A10:S10"/>
    <mergeCell ref="A11:S11"/>
    <mergeCell ref="A6:E6"/>
    <mergeCell ref="H6:N6"/>
    <mergeCell ref="A7:S7"/>
    <mergeCell ref="A8:S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O10" sqref="O10"/>
    </sheetView>
  </sheetViews>
  <sheetFormatPr defaultRowHeight="15" x14ac:dyDescent="0.25"/>
  <cols>
    <col min="1" max="2" width="8.7109375" bestFit="1" customWidth="1"/>
    <col min="3" max="3" width="19.28515625" bestFit="1" customWidth="1"/>
    <col min="4" max="4" width="14.28515625" bestFit="1" customWidth="1"/>
    <col min="5" max="5" width="8.5703125" bestFit="1" customWidth="1"/>
    <col min="6" max="6" width="7.7109375" bestFit="1" customWidth="1"/>
    <col min="7" max="7" width="9" bestFit="1" customWidth="1"/>
    <col min="8" max="8" width="8" bestFit="1" customWidth="1"/>
    <col min="9" max="9" width="12.5703125" bestFit="1" customWidth="1"/>
    <col min="10" max="10" width="10.5703125" bestFit="1" customWidth="1"/>
    <col min="11" max="11" width="11.5703125" bestFit="1" customWidth="1"/>
    <col min="12" max="12" width="8.7109375" bestFit="1" customWidth="1"/>
    <col min="13" max="13" width="13.28515625" bestFit="1" customWidth="1"/>
  </cols>
  <sheetData>
    <row r="1" spans="1:14" ht="15.75" x14ac:dyDescent="0.25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ht="91.5" x14ac:dyDescent="0.25">
      <c r="A2" s="13" t="s">
        <v>19</v>
      </c>
      <c r="B2" s="13" t="s">
        <v>20</v>
      </c>
      <c r="C2" s="13" t="s">
        <v>1</v>
      </c>
      <c r="D2" s="13" t="s">
        <v>21</v>
      </c>
      <c r="E2" s="13" t="s">
        <v>22</v>
      </c>
      <c r="F2" s="13" t="s">
        <v>4</v>
      </c>
      <c r="G2" s="13" t="s">
        <v>5</v>
      </c>
      <c r="H2" s="13" t="s">
        <v>23</v>
      </c>
      <c r="I2" s="13" t="s">
        <v>7</v>
      </c>
      <c r="J2" s="13" t="s">
        <v>8</v>
      </c>
      <c r="K2" s="13" t="s">
        <v>9</v>
      </c>
      <c r="L2" s="13" t="s">
        <v>24</v>
      </c>
      <c r="M2" s="13" t="s">
        <v>10</v>
      </c>
    </row>
    <row r="3" spans="1:14" x14ac:dyDescent="0.25">
      <c r="A3" s="23">
        <v>801</v>
      </c>
      <c r="B3" s="24">
        <v>2011</v>
      </c>
      <c r="C3" s="24">
        <v>2023</v>
      </c>
      <c r="D3" s="24">
        <f>C3-B3</f>
        <v>12</v>
      </c>
      <c r="E3" s="24">
        <v>65</v>
      </c>
      <c r="F3" s="25">
        <v>0.05</v>
      </c>
      <c r="G3" s="26">
        <f>(1-F3)/E3</f>
        <v>1.4615384615384615E-2</v>
      </c>
      <c r="H3" s="27">
        <v>1500</v>
      </c>
      <c r="I3" s="27">
        <f>H3*A3</f>
        <v>1201500</v>
      </c>
      <c r="J3" s="27">
        <f>I3*G3*D3</f>
        <v>210724.61538461538</v>
      </c>
      <c r="K3" s="27">
        <f>MAX(I3-J3,0)</f>
        <v>990775.38461538462</v>
      </c>
      <c r="L3" s="28">
        <v>0</v>
      </c>
      <c r="M3" s="27">
        <f>IF(K3&gt;F3*I3,K3*(1-L3),I3*F3)</f>
        <v>990775.38461538462</v>
      </c>
    </row>
    <row r="4" spans="1:14" x14ac:dyDescent="0.25">
      <c r="D4" s="22"/>
      <c r="M4" s="9">
        <f>SUM(M3:M3)</f>
        <v>990775.38461538462</v>
      </c>
    </row>
    <row r="8" spans="1:14" x14ac:dyDescent="0.25">
      <c r="C8" t="s">
        <v>31</v>
      </c>
      <c r="D8">
        <v>832</v>
      </c>
    </row>
    <row r="9" spans="1:14" x14ac:dyDescent="0.25">
      <c r="D9">
        <f>D8*3.28</f>
        <v>2728.96</v>
      </c>
      <c r="I9" s="12">
        <v>2000000</v>
      </c>
      <c r="L9">
        <v>2200000</v>
      </c>
      <c r="M9">
        <v>3537.89</v>
      </c>
    </row>
    <row r="10" spans="1:14" x14ac:dyDescent="0.25">
      <c r="L10">
        <f>L9/1360</f>
        <v>1617.6470588235295</v>
      </c>
      <c r="M10">
        <f>M9*10.7639</f>
        <v>38081.494170999998</v>
      </c>
    </row>
    <row r="11" spans="1:14" x14ac:dyDescent="0.25">
      <c r="C11">
        <v>100</v>
      </c>
      <c r="D11">
        <f>C11*3.28*30</f>
        <v>9840</v>
      </c>
      <c r="M11">
        <f>M10/1360</f>
        <v>28.001098655147057</v>
      </c>
      <c r="N11">
        <v>28</v>
      </c>
    </row>
    <row r="12" spans="1:14" x14ac:dyDescent="0.25">
      <c r="D12" s="12">
        <f>D11*1200</f>
        <v>11808000</v>
      </c>
      <c r="N12">
        <f>N11*2200000</f>
        <v>61600000</v>
      </c>
    </row>
  </sheetData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I9"/>
  <sheetViews>
    <sheetView workbookViewId="0">
      <selection activeCell="I8" sqref="I8"/>
    </sheetView>
  </sheetViews>
  <sheetFormatPr defaultRowHeight="15" x14ac:dyDescent="0.25"/>
  <cols>
    <col min="4" max="4" width="10" bestFit="1" customWidth="1"/>
    <col min="6" max="6" width="10" bestFit="1" customWidth="1"/>
    <col min="9" max="9" width="10" bestFit="1" customWidth="1"/>
  </cols>
  <sheetData>
    <row r="4" spans="5:9" x14ac:dyDescent="0.25">
      <c r="E4">
        <v>171.02</v>
      </c>
    </row>
    <row r="5" spans="5:9" x14ac:dyDescent="0.25">
      <c r="E5">
        <v>146</v>
      </c>
      <c r="H5">
        <v>3897.55</v>
      </c>
    </row>
    <row r="6" spans="5:9" x14ac:dyDescent="0.25">
      <c r="E6">
        <f>143*2</f>
        <v>286</v>
      </c>
      <c r="H6">
        <v>17844.349999999999</v>
      </c>
    </row>
    <row r="7" spans="5:9" x14ac:dyDescent="0.25">
      <c r="E7">
        <f>120*2</f>
        <v>240</v>
      </c>
      <c r="H7">
        <f>SUM(H5:H6)</f>
        <v>21741.899999999998</v>
      </c>
      <c r="I7">
        <v>233917.2</v>
      </c>
    </row>
    <row r="8" spans="5:9" x14ac:dyDescent="0.25">
      <c r="E8">
        <f>123*2</f>
        <v>246</v>
      </c>
      <c r="I8">
        <f>I7*4000</f>
        <v>935668800</v>
      </c>
    </row>
    <row r="9" spans="5:9" x14ac:dyDescent="0.25">
      <c r="E9">
        <f>SUM(E4:E8)</f>
        <v>1089.02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working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Rahul Gupta</dc:creator>
  <cp:lastModifiedBy>Rahul Gupta</cp:lastModifiedBy>
  <dcterms:created xsi:type="dcterms:W3CDTF">2022-07-28T09:17:09Z</dcterms:created>
  <dcterms:modified xsi:type="dcterms:W3CDTF">2023-06-27T08:58:55Z</dcterms:modified>
</cp:coreProperties>
</file>