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/>
  <mc:AlternateContent xmlns:mc="http://schemas.openxmlformats.org/markup-compatibility/2006">
    <mc:Choice Requires="x15">
      <x15ac:absPath xmlns:x15ac="http://schemas.microsoft.com/office/spreadsheetml/2010/11/ac" url="Z:\In Progress Files\Manas Upmanyu\VIS(2023-24)-PL102-087-102, Ms IPM Engineering Limited\"/>
    </mc:Choice>
  </mc:AlternateContent>
  <xr:revisionPtr revIDLastSave="0" documentId="13_ncr:1_{D83EA977-0AB8-4C06-B4EA-4B82B9E161C6}" xr6:coauthVersionLast="47" xr6:coauthVersionMax="47" xr10:uidLastSave="{00000000-0000-0000-0000-000000000000}"/>
  <bookViews>
    <workbookView showVerticalScroll="0" xWindow="-120" yWindow="-120" windowWidth="21840" windowHeight="13140" xr2:uid="{00000000-000D-0000-FFFF-FFFF00000000}"/>
  </bookViews>
  <sheets>
    <sheet name="Building Valuation" sheetId="1" r:id="rId1"/>
    <sheet name="Land" sheetId="4" r:id="rId2"/>
  </sheets>
  <definedNames>
    <definedName name="_xlnm.Print_Area" localSheetId="0">'Building Valuation'!$B$1:$T$12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" i="4" l="1"/>
  <c r="X8" i="1"/>
  <c r="X7" i="1"/>
  <c r="K6" i="1"/>
  <c r="N6" i="1"/>
  <c r="P6" i="1"/>
  <c r="F33" i="1"/>
  <c r="E33" i="1"/>
  <c r="M10" i="4"/>
  <c r="G21" i="1"/>
  <c r="K12" i="4"/>
  <c r="D7" i="4"/>
  <c r="D11" i="4" s="1"/>
  <c r="G9" i="1"/>
  <c r="G16" i="1" s="1"/>
  <c r="H16" i="1" s="1"/>
  <c r="W8" i="1"/>
  <c r="W7" i="1"/>
  <c r="F6" i="1"/>
  <c r="W6" i="1" s="1"/>
  <c r="F5" i="1"/>
  <c r="W5" i="1" s="1"/>
  <c r="F4" i="1"/>
  <c r="W4" i="1" s="1"/>
  <c r="F3" i="1"/>
  <c r="W3" i="1" s="1"/>
  <c r="D17" i="4"/>
  <c r="D16" i="4"/>
  <c r="D20" i="4"/>
  <c r="U36" i="1"/>
  <c r="T36" i="1"/>
  <c r="P36" i="1"/>
  <c r="L36" i="1"/>
  <c r="K36" i="1"/>
  <c r="Q6" i="1" l="1"/>
  <c r="R6" i="1" s="1"/>
  <c r="T6" i="1" s="1"/>
  <c r="X6" i="1" s="1"/>
  <c r="G23" i="1"/>
  <c r="F9" i="1"/>
  <c r="G33" i="1"/>
  <c r="H33" i="1" s="1"/>
  <c r="H34" i="1" s="1"/>
  <c r="W9" i="1"/>
  <c r="D21" i="4" s="1"/>
  <c r="D22" i="4" s="1"/>
  <c r="P3" i="1" l="1"/>
  <c r="N5" i="1" l="1"/>
  <c r="K4" i="1"/>
  <c r="K5" i="1"/>
  <c r="P4" i="1" l="1"/>
  <c r="N4" i="1"/>
  <c r="Q4" i="1" l="1"/>
  <c r="R4" i="1" s="1"/>
  <c r="T4" i="1" l="1"/>
  <c r="X4" i="1" s="1"/>
  <c r="N3" i="1"/>
  <c r="K3" i="1" l="1"/>
  <c r="Q3" i="1" s="1"/>
  <c r="R3" i="1" l="1"/>
  <c r="T3" i="1" l="1"/>
  <c r="X3" i="1" l="1"/>
  <c r="P5" i="1"/>
  <c r="P9" i="1" s="1"/>
  <c r="P15" i="1" s="1"/>
  <c r="Q5" i="1" l="1"/>
  <c r="R5" i="1" s="1"/>
  <c r="R9" i="1" s="1"/>
  <c r="T5" i="1" l="1"/>
  <c r="T9" i="1" l="1"/>
  <c r="D12" i="4" s="1"/>
  <c r="D14" i="4" s="1"/>
  <c r="X5" i="1"/>
</calcChain>
</file>

<file path=xl/sharedStrings.xml><?xml version="1.0" encoding="utf-8"?>
<sst xmlns="http://schemas.openxmlformats.org/spreadsheetml/2006/main" count="70" uniqueCount="58">
  <si>
    <t>Floor</t>
  </si>
  <si>
    <t>Year of Construction</t>
  </si>
  <si>
    <t xml:space="preserve">Year of Valuation </t>
  </si>
  <si>
    <t>Type of Structure</t>
  </si>
  <si>
    <t>Salvage value</t>
  </si>
  <si>
    <t>TOTAL</t>
  </si>
  <si>
    <t>Depreciation Rate</t>
  </si>
  <si>
    <t>Discounting Factor</t>
  </si>
  <si>
    <t>Remarks:</t>
  </si>
  <si>
    <t>First Floor</t>
  </si>
  <si>
    <r>
      <t>2.</t>
    </r>
    <r>
      <rPr>
        <b/>
        <i/>
        <sz val="10"/>
        <color theme="1"/>
        <rFont val="Calibri"/>
        <family val="2"/>
        <scheme val="minor"/>
      </rPr>
      <t xml:space="preserve"> The valuation is done by considering the Depreciated Replacement Cost Approach.</t>
    </r>
  </si>
  <si>
    <t>Sr. No.</t>
  </si>
  <si>
    <t>Gross Replacement Value</t>
  </si>
  <si>
    <t>Depreciation</t>
  </si>
  <si>
    <t>Depreciated Value</t>
  </si>
  <si>
    <t>Depreciated Replacement Market Value</t>
  </si>
  <si>
    <t>Area
(in sq.mtr.)</t>
  </si>
  <si>
    <t>Area
(in sq.ft.)</t>
  </si>
  <si>
    <t>Height (in ft.)</t>
  </si>
  <si>
    <t>Total Life Consumed 
(in years)</t>
  </si>
  <si>
    <t>Total Economical Life
(in years)</t>
  </si>
  <si>
    <t>Plinth Area  Rate 
(in per sq.ft.)</t>
  </si>
  <si>
    <t>Ground Floor</t>
  </si>
  <si>
    <t>Guideline Value
(in Rs.)</t>
  </si>
  <si>
    <t>Particulars</t>
  </si>
  <si>
    <t>Guideline Rate</t>
  </si>
  <si>
    <t>sq.mtr.</t>
  </si>
  <si>
    <t>Guideline Rate
(in Rs. per sq.mtr.)</t>
  </si>
  <si>
    <t>Age Factor</t>
  </si>
  <si>
    <r>
      <t xml:space="preserve">1. </t>
    </r>
    <r>
      <rPr>
        <b/>
        <i/>
        <sz val="10"/>
        <color theme="1"/>
        <rFont val="Calibri"/>
        <family val="2"/>
        <scheme val="minor"/>
      </rPr>
      <t>All the details pertaining to the building area statement such as area, floor, etc. has been taken on the basis of the measurement by the surveyor during the site survey.</t>
    </r>
  </si>
  <si>
    <t>Area</t>
  </si>
  <si>
    <t>Land Value</t>
  </si>
  <si>
    <t>Rate Adopted</t>
  </si>
  <si>
    <t>LAND VALUE</t>
  </si>
  <si>
    <t>Building Value</t>
  </si>
  <si>
    <t>Total Value</t>
  </si>
  <si>
    <t>Second Floor</t>
  </si>
  <si>
    <t xml:space="preserve">Guideline </t>
  </si>
  <si>
    <t xml:space="preserve"> RCC frame structure with  RCC roof</t>
  </si>
  <si>
    <t xml:space="preserve"> Brick wall with Asbestos Shed roof</t>
  </si>
  <si>
    <t>Brick wall + RCC water tank at top</t>
  </si>
  <si>
    <t>GI shed, Iron truss, pillar on top</t>
  </si>
  <si>
    <t>1-Dining-cum-Drawing hall, 1-Kitchen, 1-Toilet</t>
  </si>
  <si>
    <t>1-Bedroom with attached bathroom &amp; wardrobe area, 1-Bedroom with attached toilet, 1-Hall, 1-Balcony with attached Pantry/Kitchen</t>
  </si>
  <si>
    <t>2-Bedrooms with attached toilet, 1-Store room, 1-Pooja room, 1-Balcony</t>
  </si>
  <si>
    <t>1-Servant room with passage</t>
  </si>
  <si>
    <t>1-Toilet under RCC water tank</t>
  </si>
  <si>
    <t>Terrace</t>
  </si>
  <si>
    <r>
      <t>3.</t>
    </r>
    <r>
      <rPr>
        <b/>
        <i/>
        <sz val="10"/>
        <color theme="1"/>
        <rFont val="Calibri"/>
        <family val="2"/>
        <scheme val="minor"/>
      </rPr>
      <t xml:space="preserve"> All the building structures are situated at Premises No. 18/24, Ballygunge Place (East), Ward No. 68, P.S. Gariahat, Kolkata.</t>
    </r>
  </si>
  <si>
    <t>Structures above 2nd Floor</t>
  </si>
  <si>
    <t>2 cottah 1 chittack 23 sq.ft.</t>
  </si>
  <si>
    <t>sq.ft.</t>
  </si>
  <si>
    <t>(As per survey)</t>
  </si>
  <si>
    <t>katha</t>
  </si>
  <si>
    <t>Rate</t>
  </si>
  <si>
    <t>per katha</t>
  </si>
  <si>
    <t>Boundary Wall</t>
  </si>
  <si>
    <t>30 running mtr. @4000 per running mtr.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</si>
</sst>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 &quot;₹&quot;\ * #,##0.00_ ;_ &quot;₹&quot;\ * \-#,##0.00_ ;_ &quot;₹&quot;\ * &quot;-&quot;??_ ;_ @_ "/>
    <numFmt numFmtId="43" formatCode="_ * #,##0.00_ ;_ * \-#,##0.00_ ;_ * &quot;-&quot;??_ ;_ @_ "/>
    <numFmt numFmtId="164" formatCode="_ * #,##0_ ;_ * \-#,##0_ ;_ * &quot;-&quot;??_ ;_ @_ "/>
    <numFmt numFmtId="165" formatCode="0.0000"/>
    <numFmt numFmtId="166" formatCode="_ &quot;₹&quot;\ * #,##0_ ;_ &quot;₹&quot;\ * \-#,##0_ ;_ &quot;₹&quot;\ * &quot;-&quot;??_ ;_ @_ "/>
    <numFmt numFmtId="167" formatCode="_ &quot;₹&quot;\ * #,##0.0000_ ;_ &quot;₹&quot;\ * \-#,##0.0000_ ;_ &quot;₹&quot;\ * &quot;-&quot;????_ ;_ @_ "/>
    <numFmt numFmtId="168" formatCode="_ * #,##0.0_ ;_ * \-#,##0.0_ ;_ * &quot;-&quot;?_ ;_ @_ "/>
    <numFmt numFmtId="169" formatCode="0.0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96">
    <xf numFmtId="0" fontId="0" fillId="0" borderId="0" xfId="0"/>
    <xf numFmtId="164" fontId="0" fillId="0" borderId="0" xfId="0" applyNumberFormat="1"/>
    <xf numFmtId="0" fontId="0" fillId="0" borderId="1" xfId="0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166" fontId="0" fillId="0" borderId="1" xfId="1" applyNumberFormat="1" applyFont="1" applyBorder="1" applyAlignment="1">
      <alignment horizontal="center" vertical="center"/>
    </xf>
    <xf numFmtId="166" fontId="2" fillId="0" borderId="1" xfId="1" applyNumberFormat="1" applyFon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44" fontId="0" fillId="0" borderId="0" xfId="1" applyFont="1"/>
    <xf numFmtId="0" fontId="4" fillId="0" borderId="0" xfId="0" applyFont="1"/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164" fontId="0" fillId="0" borderId="0" xfId="3" applyNumberFormat="1" applyFont="1" applyAlignment="1">
      <alignment horizontal="center"/>
    </xf>
    <xf numFmtId="164" fontId="0" fillId="0" borderId="1" xfId="3" applyNumberFormat="1" applyFont="1" applyBorder="1" applyAlignment="1">
      <alignment horizontal="center" vertical="center"/>
    </xf>
    <xf numFmtId="43" fontId="0" fillId="0" borderId="0" xfId="0" applyNumberFormat="1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wrapText="1"/>
    </xf>
    <xf numFmtId="43" fontId="0" fillId="0" borderId="0" xfId="0" applyNumberForma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167" fontId="0" fillId="0" borderId="0" xfId="0" applyNumberFormat="1"/>
    <xf numFmtId="166" fontId="0" fillId="0" borderId="0" xfId="0" applyNumberFormat="1" applyAlignment="1">
      <alignment horizontal="center"/>
    </xf>
    <xf numFmtId="44" fontId="0" fillId="0" borderId="0" xfId="0" applyNumberFormat="1" applyAlignment="1">
      <alignment horizontal="center"/>
    </xf>
    <xf numFmtId="166" fontId="0" fillId="0" borderId="0" xfId="1" applyNumberFormat="1" applyFont="1" applyAlignment="1">
      <alignment horizontal="center"/>
    </xf>
    <xf numFmtId="164" fontId="0" fillId="0" borderId="0" xfId="3" applyNumberFormat="1" applyFont="1"/>
    <xf numFmtId="43" fontId="0" fillId="0" borderId="0" xfId="3" applyFont="1" applyBorder="1" applyAlignment="1">
      <alignment horizontal="center" vertical="center" wrapText="1"/>
    </xf>
    <xf numFmtId="164" fontId="0" fillId="0" borderId="0" xfId="3" applyNumberFormat="1" applyFont="1" applyBorder="1" applyAlignment="1">
      <alignment horizontal="center" wrapText="1"/>
    </xf>
    <xf numFmtId="166" fontId="0" fillId="0" borderId="0" xfId="1" applyNumberFormat="1" applyFont="1"/>
    <xf numFmtId="168" fontId="0" fillId="0" borderId="0" xfId="0" applyNumberFormat="1"/>
    <xf numFmtId="166" fontId="0" fillId="0" borderId="1" xfId="1" applyNumberFormat="1" applyFont="1" applyFill="1" applyBorder="1" applyAlignment="1">
      <alignment horizontal="center" vertical="center"/>
    </xf>
    <xf numFmtId="9" fontId="0" fillId="0" borderId="1" xfId="2" applyFont="1" applyFill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164" fontId="2" fillId="0" borderId="0" xfId="3" applyNumberFormat="1" applyFont="1" applyBorder="1" applyAlignment="1">
      <alignment horizontal="center" vertical="center" wrapText="1"/>
    </xf>
    <xf numFmtId="164" fontId="0" fillId="0" borderId="0" xfId="3" applyNumberFormat="1" applyFont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164" fontId="2" fillId="0" borderId="0" xfId="3" applyNumberFormat="1" applyFont="1"/>
    <xf numFmtId="164" fontId="2" fillId="0" borderId="0" xfId="3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0" xfId="3" applyNumberFormat="1" applyFont="1" applyAlignment="1">
      <alignment horizontal="left"/>
    </xf>
    <xf numFmtId="0" fontId="0" fillId="0" borderId="0" xfId="0" applyAlignment="1">
      <alignment horizontal="left"/>
    </xf>
    <xf numFmtId="2" fontId="0" fillId="0" borderId="0" xfId="0" applyNumberFormat="1" applyAlignment="1">
      <alignment horizontal="center" vertical="center" wrapText="1"/>
    </xf>
    <xf numFmtId="166" fontId="0" fillId="0" borderId="0" xfId="1" applyNumberFormat="1" applyFont="1" applyAlignment="1">
      <alignment wrapText="1"/>
    </xf>
    <xf numFmtId="166" fontId="2" fillId="0" borderId="0" xfId="0" applyNumberFormat="1" applyFont="1" applyAlignment="1">
      <alignment wrapText="1"/>
    </xf>
    <xf numFmtId="164" fontId="0" fillId="0" borderId="0" xfId="3" applyNumberFormat="1" applyFont="1" applyAlignment="1">
      <alignment horizontal="center" vertical="center" wrapText="1"/>
    </xf>
    <xf numFmtId="0" fontId="2" fillId="0" borderId="0" xfId="0" applyFont="1" applyAlignment="1">
      <alignment wrapText="1"/>
    </xf>
    <xf numFmtId="169" fontId="0" fillId="0" borderId="1" xfId="1" applyNumberFormat="1" applyFont="1" applyFill="1" applyBorder="1" applyAlignment="1">
      <alignment horizontal="center" vertical="center"/>
    </xf>
    <xf numFmtId="0" fontId="2" fillId="0" borderId="0" xfId="0" applyFont="1"/>
    <xf numFmtId="166" fontId="2" fillId="0" borderId="0" xfId="1" applyNumberFormat="1" applyFont="1" applyAlignment="1">
      <alignment horizontal="center"/>
    </xf>
    <xf numFmtId="166" fontId="2" fillId="0" borderId="0" xfId="1" applyNumberFormat="1" applyFont="1" applyAlignment="1">
      <alignment wrapText="1"/>
    </xf>
    <xf numFmtId="43" fontId="0" fillId="0" borderId="0" xfId="3" applyFont="1" applyAlignment="1">
      <alignment horizontal="center"/>
    </xf>
    <xf numFmtId="43" fontId="0" fillId="0" borderId="0" xfId="0" applyNumberFormat="1" applyAlignment="1">
      <alignment horizontal="center"/>
    </xf>
    <xf numFmtId="164" fontId="2" fillId="0" borderId="1" xfId="3" applyNumberFormat="1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164" fontId="6" fillId="2" borderId="1" xfId="3" applyNumberFormat="1" applyFont="1" applyFill="1" applyBorder="1" applyAlignment="1">
      <alignment horizontal="center" vertical="center" wrapText="1"/>
    </xf>
    <xf numFmtId="164" fontId="0" fillId="0" borderId="1" xfId="3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43" fontId="0" fillId="0" borderId="0" xfId="3" applyFont="1" applyAlignment="1">
      <alignment vertical="center"/>
    </xf>
    <xf numFmtId="164" fontId="0" fillId="0" borderId="0" xfId="3" applyNumberFormat="1" applyFont="1" applyAlignment="1">
      <alignment vertical="center"/>
    </xf>
    <xf numFmtId="164" fontId="2" fillId="0" borderId="0" xfId="3" applyNumberFormat="1" applyFont="1" applyAlignment="1">
      <alignment vertical="center"/>
    </xf>
    <xf numFmtId="164" fontId="0" fillId="0" borderId="0" xfId="0" applyNumberFormat="1" applyAlignment="1">
      <alignment vertical="center"/>
    </xf>
    <xf numFmtId="164" fontId="2" fillId="0" borderId="0" xfId="0" applyNumberFormat="1" applyFont="1" applyAlignment="1">
      <alignment vertical="center"/>
    </xf>
    <xf numFmtId="164" fontId="1" fillId="0" borderId="0" xfId="3" applyNumberFormat="1" applyFont="1" applyAlignment="1">
      <alignment vertical="center"/>
    </xf>
    <xf numFmtId="43" fontId="0" fillId="0" borderId="0" xfId="0" applyNumberFormat="1" applyAlignment="1">
      <alignment vertical="center"/>
    </xf>
    <xf numFmtId="44" fontId="0" fillId="0" borderId="0" xfId="0" applyNumberFormat="1" applyAlignment="1">
      <alignment wrapText="1"/>
    </xf>
    <xf numFmtId="166" fontId="0" fillId="0" borderId="1" xfId="2" applyNumberFormat="1" applyFont="1" applyFill="1" applyBorder="1" applyAlignment="1">
      <alignment horizontal="center" vertical="center"/>
    </xf>
    <xf numFmtId="166" fontId="0" fillId="0" borderId="5" xfId="0" applyNumberFormat="1" applyBorder="1" applyAlignment="1">
      <alignment horizontal="center" vertical="center"/>
    </xf>
    <xf numFmtId="166" fontId="0" fillId="0" borderId="6" xfId="0" applyNumberFormat="1" applyBorder="1" applyAlignment="1">
      <alignment horizontal="center" vertical="center"/>
    </xf>
    <xf numFmtId="166" fontId="0" fillId="0" borderId="7" xfId="0" applyNumberFormat="1" applyBorder="1" applyAlignment="1">
      <alignment horizontal="center" vertical="center"/>
    </xf>
    <xf numFmtId="1" fontId="0" fillId="0" borderId="5" xfId="0" applyNumberFormat="1" applyBorder="1" applyAlignment="1">
      <alignment horizontal="center" vertical="center"/>
    </xf>
    <xf numFmtId="1" fontId="0" fillId="0" borderId="6" xfId="0" applyNumberFormat="1" applyBorder="1" applyAlignment="1">
      <alignment horizontal="center" vertical="center"/>
    </xf>
    <xf numFmtId="1" fontId="0" fillId="0" borderId="7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166" fontId="2" fillId="0" borderId="2" xfId="1" applyNumberFormat="1" applyFont="1" applyBorder="1" applyAlignment="1">
      <alignment horizontal="center" vertical="center"/>
    </xf>
    <xf numFmtId="166" fontId="2" fillId="0" borderId="4" xfId="1" applyNumberFormat="1" applyFont="1" applyBorder="1" applyAlignment="1">
      <alignment horizontal="center" vertical="center"/>
    </xf>
    <xf numFmtId="164" fontId="0" fillId="0" borderId="5" xfId="3" applyNumberFormat="1" applyFont="1" applyBorder="1" applyAlignment="1">
      <alignment horizontal="center" vertical="center"/>
    </xf>
    <xf numFmtId="164" fontId="0" fillId="0" borderId="6" xfId="3" applyNumberFormat="1" applyFont="1" applyBorder="1" applyAlignment="1">
      <alignment horizontal="center" vertical="center"/>
    </xf>
    <xf numFmtId="164" fontId="0" fillId="0" borderId="7" xfId="3" applyNumberFormat="1" applyFont="1" applyBorder="1" applyAlignment="1">
      <alignment horizontal="center" vertical="center"/>
    </xf>
    <xf numFmtId="2" fontId="0" fillId="0" borderId="5" xfId="0" applyNumberFormat="1" applyBorder="1" applyAlignment="1">
      <alignment horizontal="center" vertical="center"/>
    </xf>
    <xf numFmtId="2" fontId="0" fillId="0" borderId="6" xfId="0" applyNumberFormat="1" applyBorder="1" applyAlignment="1">
      <alignment horizontal="center" vertical="center"/>
    </xf>
    <xf numFmtId="2" fontId="0" fillId="0" borderId="7" xfId="0" applyNumberFormat="1" applyBorder="1" applyAlignment="1">
      <alignment horizontal="center" vertical="center"/>
    </xf>
    <xf numFmtId="0" fontId="0" fillId="0" borderId="0" xfId="0" applyAlignment="1">
      <alignment horizontal="left" vertical="center"/>
    </xf>
  </cellXfs>
  <cellStyles count="4">
    <cellStyle name="Comma" xfId="3" builtinId="3"/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1E366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A36"/>
  <sheetViews>
    <sheetView tabSelected="1" zoomScale="85" zoomScaleNormal="85" zoomScaleSheetLayoutView="85" workbookViewId="0">
      <selection activeCell="Y6" sqref="Y6"/>
    </sheetView>
  </sheetViews>
  <sheetFormatPr defaultRowHeight="15" x14ac:dyDescent="0.25"/>
  <cols>
    <col min="1" max="1" width="5.140625" customWidth="1"/>
    <col min="2" max="2" width="6.5703125" customWidth="1"/>
    <col min="3" max="3" width="12.7109375" style="11" customWidth="1"/>
    <col min="4" max="4" width="25.7109375" style="11" customWidth="1"/>
    <col min="5" max="5" width="20.42578125" style="11" customWidth="1"/>
    <col min="6" max="6" width="11.28515625" style="11" customWidth="1"/>
    <col min="7" max="7" width="9.7109375" style="13" customWidth="1"/>
    <col min="8" max="8" width="9.7109375" customWidth="1"/>
    <col min="9" max="9" width="12.42578125" customWidth="1"/>
    <col min="10" max="10" width="11.7109375" hidden="1" customWidth="1"/>
    <col min="11" max="12" width="11.140625" customWidth="1"/>
    <col min="13" max="13" width="7.7109375" hidden="1" customWidth="1"/>
    <col min="14" max="14" width="16.28515625" hidden="1" customWidth="1"/>
    <col min="15" max="15" width="12.85546875" customWidth="1"/>
    <col min="16" max="16" width="14.28515625" bestFit="1" customWidth="1"/>
    <col min="17" max="17" width="13.42578125" hidden="1" customWidth="1"/>
    <col min="18" max="18" width="16.140625" hidden="1" customWidth="1"/>
    <col min="19" max="19" width="14.28515625" hidden="1" customWidth="1"/>
    <col min="20" max="20" width="15.42578125" style="12" bestFit="1" customWidth="1"/>
    <col min="21" max="21" width="9.85546875" style="12" hidden="1" customWidth="1"/>
    <col min="22" max="22" width="6.85546875" style="12" hidden="1" customWidth="1"/>
    <col min="23" max="23" width="14.42578125" style="12" hidden="1" customWidth="1"/>
    <col min="24" max="24" width="17" bestFit="1" customWidth="1"/>
    <col min="25" max="25" width="16.42578125" bestFit="1" customWidth="1"/>
    <col min="26" max="27" width="15.42578125" bestFit="1" customWidth="1"/>
  </cols>
  <sheetData>
    <row r="2" spans="2:27" s="9" customFormat="1" ht="60" x14ac:dyDescent="0.25">
      <c r="B2" s="53" t="s">
        <v>11</v>
      </c>
      <c r="C2" s="54" t="s">
        <v>0</v>
      </c>
      <c r="D2" s="54" t="s">
        <v>24</v>
      </c>
      <c r="E2" s="54" t="s">
        <v>3</v>
      </c>
      <c r="F2" s="54" t="s">
        <v>16</v>
      </c>
      <c r="G2" s="55" t="s">
        <v>17</v>
      </c>
      <c r="H2" s="54" t="s">
        <v>18</v>
      </c>
      <c r="I2" s="54" t="s">
        <v>1</v>
      </c>
      <c r="J2" s="54" t="s">
        <v>2</v>
      </c>
      <c r="K2" s="54" t="s">
        <v>19</v>
      </c>
      <c r="L2" s="54" t="s">
        <v>20</v>
      </c>
      <c r="M2" s="54" t="s">
        <v>4</v>
      </c>
      <c r="N2" s="54" t="s">
        <v>6</v>
      </c>
      <c r="O2" s="54" t="s">
        <v>21</v>
      </c>
      <c r="P2" s="54" t="s">
        <v>12</v>
      </c>
      <c r="Q2" s="54" t="s">
        <v>13</v>
      </c>
      <c r="R2" s="54" t="s">
        <v>14</v>
      </c>
      <c r="S2" s="54" t="s">
        <v>7</v>
      </c>
      <c r="T2" s="54" t="s">
        <v>15</v>
      </c>
      <c r="U2" s="54" t="s">
        <v>27</v>
      </c>
      <c r="V2" s="54" t="s">
        <v>28</v>
      </c>
      <c r="W2" s="54" t="s">
        <v>23</v>
      </c>
    </row>
    <row r="3" spans="2:27" ht="30" x14ac:dyDescent="0.25">
      <c r="B3" s="2">
        <v>1</v>
      </c>
      <c r="C3" s="10" t="s">
        <v>22</v>
      </c>
      <c r="D3" s="10" t="s">
        <v>42</v>
      </c>
      <c r="E3" s="10" t="s">
        <v>38</v>
      </c>
      <c r="F3" s="32">
        <f>G3/10.7639</f>
        <v>64.399520619849696</v>
      </c>
      <c r="G3" s="56">
        <v>693.19</v>
      </c>
      <c r="H3" s="7">
        <v>10</v>
      </c>
      <c r="I3" s="2">
        <v>1995</v>
      </c>
      <c r="J3" s="2">
        <v>2023</v>
      </c>
      <c r="K3" s="2">
        <f>J3-I3</f>
        <v>28</v>
      </c>
      <c r="L3" s="2">
        <v>60</v>
      </c>
      <c r="M3" s="3">
        <v>0.1</v>
      </c>
      <c r="N3" s="4">
        <f>(1-M3)/L3</f>
        <v>1.5000000000000001E-2</v>
      </c>
      <c r="O3" s="30">
        <v>1600</v>
      </c>
      <c r="P3" s="30">
        <f>O3*G3</f>
        <v>1109104</v>
      </c>
      <c r="Q3" s="30">
        <f t="shared" ref="Q3" si="0">P3*N3*K3</f>
        <v>465823.68000000005</v>
      </c>
      <c r="R3" s="30">
        <f t="shared" ref="R3" si="1">MAX(P3-Q3,0)</f>
        <v>643280.31999999995</v>
      </c>
      <c r="S3" s="31">
        <v>0</v>
      </c>
      <c r="T3" s="30">
        <f t="shared" ref="T3:T5" si="2">IF(R3&gt;M3*P3,R3*(1-S3),P3*M3)</f>
        <v>643280.31999999995</v>
      </c>
      <c r="U3" s="30"/>
      <c r="V3" s="46"/>
      <c r="W3" s="30">
        <f>U3*F3*V3</f>
        <v>0</v>
      </c>
      <c r="X3" s="8">
        <f>T3/G3</f>
        <v>927.99999999999989</v>
      </c>
      <c r="Y3" s="1"/>
      <c r="Z3" s="1"/>
    </row>
    <row r="4" spans="2:27" ht="60" x14ac:dyDescent="0.25">
      <c r="B4" s="2">
        <v>2</v>
      </c>
      <c r="C4" s="10" t="s">
        <v>9</v>
      </c>
      <c r="D4" s="10" t="s">
        <v>44</v>
      </c>
      <c r="E4" s="10" t="s">
        <v>38</v>
      </c>
      <c r="F4" s="32">
        <f t="shared" ref="F4:F5" si="3">G4/10.7639</f>
        <v>76.799301368463105</v>
      </c>
      <c r="G4" s="56">
        <v>826.66</v>
      </c>
      <c r="H4" s="7">
        <v>10</v>
      </c>
      <c r="I4" s="2">
        <v>1995</v>
      </c>
      <c r="J4" s="2">
        <v>2023</v>
      </c>
      <c r="K4" s="2">
        <f>J4-I4</f>
        <v>28</v>
      </c>
      <c r="L4" s="2">
        <v>60</v>
      </c>
      <c r="M4" s="3">
        <v>0.1</v>
      </c>
      <c r="N4" s="4">
        <f>(1-M4)/L4</f>
        <v>1.5000000000000001E-2</v>
      </c>
      <c r="O4" s="30">
        <v>1400</v>
      </c>
      <c r="P4" s="5">
        <f>O4*G4</f>
        <v>1157324</v>
      </c>
      <c r="Q4" s="5">
        <f>P4*N4*K4</f>
        <v>486076.08</v>
      </c>
      <c r="R4" s="5">
        <f>MAX(P4-Q4,0)</f>
        <v>671247.91999999993</v>
      </c>
      <c r="S4" s="31">
        <v>0</v>
      </c>
      <c r="T4" s="5">
        <f t="shared" si="2"/>
        <v>671247.91999999993</v>
      </c>
      <c r="U4" s="30"/>
      <c r="V4" s="46"/>
      <c r="W4" s="30">
        <f t="shared" ref="W4:W5" si="4">U4*F4*V4</f>
        <v>0</v>
      </c>
      <c r="X4" s="8">
        <f t="shared" ref="X4:X8" si="5">T4/G4</f>
        <v>811.99999999999989</v>
      </c>
      <c r="Y4" s="1"/>
      <c r="Z4" s="1"/>
    </row>
    <row r="5" spans="2:27" ht="90" x14ac:dyDescent="0.25">
      <c r="B5" s="2">
        <v>3</v>
      </c>
      <c r="C5" s="10" t="s">
        <v>36</v>
      </c>
      <c r="D5" s="10" t="s">
        <v>43</v>
      </c>
      <c r="E5" s="10" t="s">
        <v>38</v>
      </c>
      <c r="F5" s="32">
        <f t="shared" si="3"/>
        <v>76.799301368463105</v>
      </c>
      <c r="G5" s="14">
        <v>826.66</v>
      </c>
      <c r="H5" s="7">
        <v>10</v>
      </c>
      <c r="I5" s="2">
        <v>1995</v>
      </c>
      <c r="J5" s="2">
        <v>2023</v>
      </c>
      <c r="K5" s="2">
        <f>J5-I5</f>
        <v>28</v>
      </c>
      <c r="L5" s="2">
        <v>60</v>
      </c>
      <c r="M5" s="3">
        <v>0.1</v>
      </c>
      <c r="N5" s="4">
        <f>(1-M5)/L5</f>
        <v>1.5000000000000001E-2</v>
      </c>
      <c r="O5" s="30">
        <v>1400</v>
      </c>
      <c r="P5" s="5">
        <f>O5*G5</f>
        <v>1157324</v>
      </c>
      <c r="Q5" s="5">
        <f>P5*N5*K5</f>
        <v>486076.08</v>
      </c>
      <c r="R5" s="5">
        <f>MAX(P5-Q5,0)</f>
        <v>671247.91999999993</v>
      </c>
      <c r="S5" s="31">
        <v>0</v>
      </c>
      <c r="T5" s="5">
        <f t="shared" si="2"/>
        <v>671247.91999999993</v>
      </c>
      <c r="U5" s="30"/>
      <c r="V5" s="46"/>
      <c r="W5" s="30">
        <f t="shared" si="4"/>
        <v>0</v>
      </c>
      <c r="X5" s="8">
        <f t="shared" si="5"/>
        <v>811.99999999999989</v>
      </c>
      <c r="Y5" s="1"/>
      <c r="Z5" s="1"/>
    </row>
    <row r="6" spans="2:27" ht="30" x14ac:dyDescent="0.25">
      <c r="B6" s="2">
        <v>4</v>
      </c>
      <c r="C6" s="77" t="s">
        <v>49</v>
      </c>
      <c r="D6" s="10" t="s">
        <v>45</v>
      </c>
      <c r="E6" s="10" t="s">
        <v>39</v>
      </c>
      <c r="F6" s="92">
        <f t="shared" ref="F6" si="6">G6/10.7639</f>
        <v>60.387034439190259</v>
      </c>
      <c r="G6" s="89">
        <v>650</v>
      </c>
      <c r="H6" s="74">
        <v>10</v>
      </c>
      <c r="I6" s="74">
        <v>1995</v>
      </c>
      <c r="J6" s="2">
        <v>2023</v>
      </c>
      <c r="K6" s="74">
        <f>J6-I6</f>
        <v>28</v>
      </c>
      <c r="L6" s="74">
        <v>60</v>
      </c>
      <c r="M6" s="3">
        <v>0.1</v>
      </c>
      <c r="N6" s="4">
        <f>(1-M6)/L6</f>
        <v>1.5000000000000001E-2</v>
      </c>
      <c r="O6" s="71">
        <v>850</v>
      </c>
      <c r="P6" s="71">
        <f>O6*G6</f>
        <v>552500</v>
      </c>
      <c r="Q6" s="5">
        <f>P6*N6*K6</f>
        <v>232050</v>
      </c>
      <c r="R6" s="5">
        <f>MAX(P6-Q6,0)</f>
        <v>320450</v>
      </c>
      <c r="S6" s="70">
        <v>0</v>
      </c>
      <c r="T6" s="71">
        <f t="shared" ref="T6" si="7">IF(R6&gt;M6*P6,R6*(1-S6),P6*M6)</f>
        <v>320450</v>
      </c>
      <c r="U6" s="30"/>
      <c r="V6" s="46"/>
      <c r="W6" s="30">
        <f t="shared" ref="W6" si="8">U6*F6*V6</f>
        <v>0</v>
      </c>
      <c r="X6" s="8">
        <f t="shared" si="5"/>
        <v>493</v>
      </c>
      <c r="Y6" s="1"/>
      <c r="Z6" s="1"/>
    </row>
    <row r="7" spans="2:27" ht="30" x14ac:dyDescent="0.25">
      <c r="B7" s="2">
        <v>5</v>
      </c>
      <c r="C7" s="78"/>
      <c r="D7" s="10" t="s">
        <v>46</v>
      </c>
      <c r="E7" s="10" t="s">
        <v>40</v>
      </c>
      <c r="F7" s="93"/>
      <c r="G7" s="90"/>
      <c r="H7" s="75"/>
      <c r="I7" s="75"/>
      <c r="J7" s="2"/>
      <c r="K7" s="75"/>
      <c r="L7" s="75"/>
      <c r="M7" s="3"/>
      <c r="N7" s="4"/>
      <c r="O7" s="72"/>
      <c r="P7" s="72"/>
      <c r="Q7" s="5"/>
      <c r="R7" s="5"/>
      <c r="S7" s="70"/>
      <c r="T7" s="72"/>
      <c r="U7" s="30"/>
      <c r="V7" s="46"/>
      <c r="W7" s="30">
        <f t="shared" ref="W7:W8" si="9">U7*F7*V7</f>
        <v>0</v>
      </c>
      <c r="X7" s="8" t="e">
        <f t="shared" si="5"/>
        <v>#DIV/0!</v>
      </c>
      <c r="Y7" s="74"/>
      <c r="Z7" s="1"/>
    </row>
    <row r="8" spans="2:27" ht="30" x14ac:dyDescent="0.25">
      <c r="B8" s="2">
        <v>6</v>
      </c>
      <c r="C8" s="79"/>
      <c r="D8" s="10" t="s">
        <v>47</v>
      </c>
      <c r="E8" s="10" t="s">
        <v>41</v>
      </c>
      <c r="F8" s="94"/>
      <c r="G8" s="91"/>
      <c r="H8" s="76"/>
      <c r="I8" s="76"/>
      <c r="J8" s="2"/>
      <c r="K8" s="76"/>
      <c r="L8" s="76"/>
      <c r="M8" s="3"/>
      <c r="N8" s="4"/>
      <c r="O8" s="73"/>
      <c r="P8" s="73"/>
      <c r="Q8" s="5"/>
      <c r="R8" s="5"/>
      <c r="S8" s="70"/>
      <c r="T8" s="73"/>
      <c r="U8" s="30"/>
      <c r="V8" s="46"/>
      <c r="W8" s="30">
        <f t="shared" si="9"/>
        <v>0</v>
      </c>
      <c r="X8" s="8" t="e">
        <f t="shared" si="5"/>
        <v>#DIV/0!</v>
      </c>
      <c r="Y8" s="75"/>
      <c r="Z8" s="1"/>
    </row>
    <row r="9" spans="2:27" x14ac:dyDescent="0.25">
      <c r="B9" s="83" t="s">
        <v>5</v>
      </c>
      <c r="C9" s="83"/>
      <c r="D9" s="83"/>
      <c r="E9" s="83"/>
      <c r="F9" s="35">
        <f>SUM(F3:F8)</f>
        <v>278.38515779596617</v>
      </c>
      <c r="G9" s="52">
        <f>SUM(G3:G8)</f>
        <v>2996.5099999999998</v>
      </c>
      <c r="H9" s="57"/>
      <c r="I9" s="58"/>
      <c r="J9" s="58"/>
      <c r="K9" s="58"/>
      <c r="L9" s="58"/>
      <c r="M9" s="58"/>
      <c r="N9" s="58"/>
      <c r="O9" s="59"/>
      <c r="P9" s="6">
        <f>SUM(P3:P8)</f>
        <v>3976252</v>
      </c>
      <c r="Q9" s="6"/>
      <c r="R9" s="6">
        <f>SUM(R3:R5)</f>
        <v>1985776.1599999997</v>
      </c>
      <c r="S9" s="6"/>
      <c r="T9" s="6">
        <f>SUM(T3:T8)</f>
        <v>2306226.1599999997</v>
      </c>
      <c r="U9" s="87"/>
      <c r="V9" s="88"/>
      <c r="W9" s="6">
        <f>SUM(W3:W8)</f>
        <v>0</v>
      </c>
      <c r="X9" s="8"/>
      <c r="Y9" s="76"/>
    </row>
    <row r="10" spans="2:27" x14ac:dyDescent="0.25">
      <c r="B10" s="80" t="s">
        <v>8</v>
      </c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2"/>
      <c r="X10" s="8"/>
    </row>
    <row r="11" spans="2:27" x14ac:dyDescent="0.25">
      <c r="B11" s="84" t="s">
        <v>29</v>
      </c>
      <c r="C11" s="85"/>
      <c r="D11" s="85"/>
      <c r="E11" s="85"/>
      <c r="F11" s="85"/>
      <c r="G11" s="85"/>
      <c r="H11" s="85"/>
      <c r="I11" s="85"/>
      <c r="J11" s="85"/>
      <c r="K11" s="85"/>
      <c r="L11" s="85"/>
      <c r="M11" s="85"/>
      <c r="N11" s="85"/>
      <c r="O11" s="85"/>
      <c r="P11" s="85"/>
      <c r="Q11" s="85"/>
      <c r="R11" s="85"/>
      <c r="S11" s="85"/>
      <c r="T11" s="85"/>
      <c r="U11" s="85"/>
      <c r="V11" s="85"/>
      <c r="W11" s="86"/>
      <c r="X11" s="8"/>
    </row>
    <row r="12" spans="2:27" x14ac:dyDescent="0.25">
      <c r="B12" s="80" t="s">
        <v>10</v>
      </c>
      <c r="C12" s="81"/>
      <c r="D12" s="81"/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81"/>
      <c r="V12" s="81"/>
      <c r="W12" s="82"/>
      <c r="X12" s="8"/>
      <c r="Y12" s="21"/>
      <c r="AA12" s="25"/>
    </row>
    <row r="13" spans="2:27" x14ac:dyDescent="0.25">
      <c r="B13" s="80" t="s">
        <v>48</v>
      </c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81"/>
      <c r="N13" s="81"/>
      <c r="O13" s="81"/>
      <c r="P13" s="81"/>
      <c r="Q13" s="81"/>
      <c r="R13" s="81"/>
      <c r="S13" s="81"/>
      <c r="T13" s="81"/>
      <c r="U13" s="81"/>
      <c r="V13" s="81"/>
      <c r="W13" s="82"/>
      <c r="X13" s="8"/>
      <c r="AA13" s="1"/>
    </row>
    <row r="14" spans="2:27" x14ac:dyDescent="0.25">
      <c r="T14" s="23"/>
      <c r="U14" s="23"/>
      <c r="V14" s="23"/>
      <c r="W14" s="23"/>
      <c r="X14" s="8"/>
      <c r="AA14" s="25"/>
    </row>
    <row r="15" spans="2:27" x14ac:dyDescent="0.25">
      <c r="G15" s="13">
        <v>3016</v>
      </c>
      <c r="P15" s="25">
        <f>P9*0.8*0.7</f>
        <v>2226701.12</v>
      </c>
      <c r="T15" s="24"/>
      <c r="X15" s="8"/>
      <c r="AA15" s="15"/>
    </row>
    <row r="16" spans="2:27" x14ac:dyDescent="0.25">
      <c r="C16" s="17"/>
      <c r="D16" s="33"/>
      <c r="E16" s="20"/>
      <c r="F16" s="34"/>
      <c r="G16" s="13">
        <f>G9-G15</f>
        <v>-19.490000000000236</v>
      </c>
      <c r="H16" s="39">
        <f>(G6+G7+G8)-G16</f>
        <v>669.49000000000024</v>
      </c>
      <c r="P16" s="47"/>
      <c r="Q16" s="47"/>
      <c r="R16" s="47"/>
      <c r="S16" s="47"/>
      <c r="T16" s="48"/>
      <c r="U16" s="24"/>
      <c r="V16" s="24"/>
      <c r="W16" s="24"/>
    </row>
    <row r="17" spans="3:27" x14ac:dyDescent="0.25">
      <c r="C17" s="17"/>
      <c r="E17" s="44"/>
      <c r="G17" s="39"/>
      <c r="H17" s="40"/>
      <c r="T17" s="24"/>
      <c r="U17" s="24"/>
      <c r="V17" s="24"/>
      <c r="W17" s="24"/>
      <c r="Z17" s="25"/>
    </row>
    <row r="18" spans="3:27" ht="15" customHeight="1" x14ac:dyDescent="0.25">
      <c r="C18" s="19"/>
      <c r="D18" s="18"/>
      <c r="E18" s="41"/>
      <c r="F18" s="34"/>
      <c r="G18" s="39">
        <v>72</v>
      </c>
      <c r="H18" s="40"/>
      <c r="Z18" s="25"/>
    </row>
    <row r="19" spans="3:27" x14ac:dyDescent="0.25">
      <c r="D19" s="26"/>
      <c r="E19" s="41"/>
      <c r="F19" s="16"/>
      <c r="G19" s="39">
        <v>62</v>
      </c>
      <c r="H19" s="40"/>
      <c r="P19" s="50"/>
      <c r="T19" s="51"/>
      <c r="U19" s="22"/>
      <c r="V19" s="22"/>
      <c r="W19" s="22"/>
      <c r="Z19" s="25"/>
      <c r="AA19" s="25"/>
    </row>
    <row r="20" spans="3:27" x14ac:dyDescent="0.25">
      <c r="D20" s="27"/>
      <c r="E20" s="20"/>
      <c r="F20" s="16"/>
      <c r="G20" s="39">
        <v>627</v>
      </c>
      <c r="H20" s="40"/>
      <c r="P20" s="15"/>
      <c r="T20" s="22"/>
      <c r="U20" s="22"/>
      <c r="V20" s="22"/>
      <c r="W20" s="22"/>
      <c r="Z20" s="25"/>
      <c r="AA20" s="29"/>
    </row>
    <row r="21" spans="3:27" x14ac:dyDescent="0.25">
      <c r="E21" s="42"/>
      <c r="F21"/>
      <c r="G21" s="39">
        <f>SUM(G18:G20)</f>
        <v>761</v>
      </c>
      <c r="H21" s="40"/>
      <c r="P21" s="15"/>
      <c r="T21" s="28"/>
      <c r="U21" s="28"/>
      <c r="V21" s="28"/>
      <c r="W21" s="28"/>
      <c r="Z21" s="15"/>
      <c r="AA21" s="15"/>
    </row>
    <row r="22" spans="3:27" x14ac:dyDescent="0.25">
      <c r="D22" s="45"/>
      <c r="E22" s="43"/>
      <c r="G22" s="39"/>
      <c r="H22" s="40"/>
      <c r="P22" s="15"/>
    </row>
    <row r="23" spans="3:27" x14ac:dyDescent="0.25">
      <c r="G23" s="39">
        <f>G9-G21</f>
        <v>2235.5099999999998</v>
      </c>
      <c r="H23" s="40"/>
      <c r="O23" s="25"/>
      <c r="T23" s="22"/>
      <c r="Y23" s="28"/>
    </row>
    <row r="24" spans="3:27" x14ac:dyDescent="0.25">
      <c r="G24" s="39"/>
      <c r="H24" s="40"/>
      <c r="O24" s="25"/>
      <c r="T24" s="37"/>
      <c r="U24" s="38"/>
      <c r="V24" s="38"/>
      <c r="X24" s="11"/>
      <c r="Y24" s="28"/>
    </row>
    <row r="25" spans="3:27" x14ac:dyDescent="0.25">
      <c r="D25" s="45"/>
      <c r="E25" s="49"/>
      <c r="I25" s="15"/>
      <c r="O25" s="36"/>
      <c r="T25" s="13"/>
    </row>
    <row r="26" spans="3:27" x14ac:dyDescent="0.25">
      <c r="E26" s="42"/>
      <c r="T26" s="13"/>
    </row>
    <row r="27" spans="3:27" x14ac:dyDescent="0.25">
      <c r="E27" s="42"/>
    </row>
    <row r="28" spans="3:27" x14ac:dyDescent="0.25">
      <c r="D28" s="45"/>
      <c r="E28" s="49"/>
    </row>
    <row r="31" spans="3:27" x14ac:dyDescent="0.25">
      <c r="E31" s="42">
        <v>31000</v>
      </c>
      <c r="F31" s="69">
        <v>11000</v>
      </c>
    </row>
    <row r="32" spans="3:27" x14ac:dyDescent="0.25">
      <c r="E32" s="42">
        <v>637</v>
      </c>
      <c r="F32" s="11">
        <v>300</v>
      </c>
    </row>
    <row r="33" spans="5:21" x14ac:dyDescent="0.25">
      <c r="E33" s="49">
        <f>E31*E32</f>
        <v>19747000</v>
      </c>
      <c r="F33" s="69">
        <f>F31*F32</f>
        <v>3300000</v>
      </c>
      <c r="G33" s="13">
        <f>SUM(E33:F33)</f>
        <v>23047000</v>
      </c>
      <c r="H33" s="29">
        <f>G33*0.9</f>
        <v>20742300</v>
      </c>
    </row>
    <row r="34" spans="5:21" x14ac:dyDescent="0.25">
      <c r="H34" s="15">
        <f>H33/27000000</f>
        <v>0.76823333333333332</v>
      </c>
    </row>
    <row r="35" spans="5:21" x14ac:dyDescent="0.25">
      <c r="K35">
        <v>120000</v>
      </c>
      <c r="L35">
        <v>100000</v>
      </c>
      <c r="P35">
        <v>30000000</v>
      </c>
      <c r="T35" s="12">
        <v>15000000</v>
      </c>
      <c r="U35" s="12">
        <v>70000000</v>
      </c>
    </row>
    <row r="36" spans="5:21" x14ac:dyDescent="0.25">
      <c r="K36">
        <f>K35/9</f>
        <v>13333.333333333334</v>
      </c>
      <c r="L36">
        <f>L35/9</f>
        <v>11111.111111111111</v>
      </c>
      <c r="P36">
        <f>P35/1800</f>
        <v>16666.666666666668</v>
      </c>
      <c r="T36" s="12">
        <f>T35/900</f>
        <v>16666.666666666668</v>
      </c>
      <c r="U36" s="12">
        <f>U35/3400</f>
        <v>20588.235294117647</v>
      </c>
    </row>
  </sheetData>
  <mergeCells count="17">
    <mergeCell ref="P6:P8"/>
    <mergeCell ref="T6:T8"/>
    <mergeCell ref="Y7:Y9"/>
    <mergeCell ref="C6:C8"/>
    <mergeCell ref="B13:W13"/>
    <mergeCell ref="B9:E9"/>
    <mergeCell ref="B10:W10"/>
    <mergeCell ref="B11:W11"/>
    <mergeCell ref="B12:W12"/>
    <mergeCell ref="U9:V9"/>
    <mergeCell ref="G6:G8"/>
    <mergeCell ref="F6:F8"/>
    <mergeCell ref="H6:H8"/>
    <mergeCell ref="I6:I8"/>
    <mergeCell ref="K6:K8"/>
    <mergeCell ref="L6:L8"/>
    <mergeCell ref="O6:O8"/>
  </mergeCells>
  <pageMargins left="0.31496062992125984" right="0.31496062992125984" top="0.31496062992125984" bottom="0.31496062992125984" header="0.31496062992125984" footer="0.31496062992125984"/>
  <pageSetup paperSize="9" scale="5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1CCE18-510E-4D6F-86AF-0AD6D0C06686}">
  <dimension ref="B2:M22"/>
  <sheetViews>
    <sheetView workbookViewId="0">
      <selection activeCell="D16" sqref="D16"/>
    </sheetView>
  </sheetViews>
  <sheetFormatPr defaultRowHeight="15" x14ac:dyDescent="0.25"/>
  <cols>
    <col min="1" max="1" width="9.140625" style="60"/>
    <col min="2" max="2" width="14.42578125" style="60" bestFit="1" customWidth="1"/>
    <col min="3" max="3" width="14.28515625" style="60" bestFit="1" customWidth="1"/>
    <col min="4" max="4" width="11.5703125" style="60" bestFit="1" customWidth="1"/>
    <col min="5" max="5" width="12.5703125" style="60" bestFit="1" customWidth="1"/>
    <col min="6" max="12" width="9.140625" style="60"/>
    <col min="13" max="13" width="10" style="60" bestFit="1" customWidth="1"/>
    <col min="14" max="16384" width="9.140625" style="60"/>
  </cols>
  <sheetData>
    <row r="2" spans="2:13" x14ac:dyDescent="0.25">
      <c r="C2" s="61" t="s">
        <v>33</v>
      </c>
    </row>
    <row r="4" spans="2:13" x14ac:dyDescent="0.25">
      <c r="C4" s="60" t="s">
        <v>30</v>
      </c>
      <c r="D4" s="95" t="s">
        <v>50</v>
      </c>
      <c r="E4" s="95"/>
      <c r="F4" s="95"/>
    </row>
    <row r="5" spans="2:13" x14ac:dyDescent="0.25">
      <c r="C5" s="60" t="s">
        <v>30</v>
      </c>
      <c r="D5" s="60">
        <v>1508</v>
      </c>
      <c r="E5" s="60" t="s">
        <v>51</v>
      </c>
    </row>
    <row r="6" spans="2:13" x14ac:dyDescent="0.25">
      <c r="B6" s="60" t="s">
        <v>52</v>
      </c>
      <c r="C6" s="60" t="s">
        <v>30</v>
      </c>
      <c r="D6" s="60">
        <v>1556.99</v>
      </c>
      <c r="E6" s="60" t="s">
        <v>51</v>
      </c>
    </row>
    <row r="7" spans="2:13" x14ac:dyDescent="0.25">
      <c r="C7" s="60" t="s">
        <v>30</v>
      </c>
      <c r="D7" s="62">
        <f>D5/720</f>
        <v>2.0944444444444446</v>
      </c>
      <c r="E7" s="60" t="s">
        <v>53</v>
      </c>
    </row>
    <row r="9" spans="2:13" x14ac:dyDescent="0.25">
      <c r="C9" s="60" t="s">
        <v>54</v>
      </c>
      <c r="D9" s="34">
        <v>7000000</v>
      </c>
      <c r="E9" s="34">
        <v>8500000</v>
      </c>
      <c r="F9" s="60" t="s">
        <v>55</v>
      </c>
    </row>
    <row r="10" spans="2:13" x14ac:dyDescent="0.25">
      <c r="C10" s="60" t="s">
        <v>32</v>
      </c>
      <c r="D10" s="63">
        <v>7500000</v>
      </c>
      <c r="E10" s="60" t="s">
        <v>55</v>
      </c>
      <c r="M10" s="68">
        <f>D10/720</f>
        <v>10416.666666666666</v>
      </c>
    </row>
    <row r="11" spans="2:13" x14ac:dyDescent="0.25">
      <c r="C11" s="60" t="s">
        <v>31</v>
      </c>
      <c r="D11" s="64">
        <f>D10*D7</f>
        <v>15708333.333333334</v>
      </c>
      <c r="K11" s="60">
        <v>1508</v>
      </c>
    </row>
    <row r="12" spans="2:13" x14ac:dyDescent="0.25">
      <c r="C12" s="60" t="s">
        <v>34</v>
      </c>
      <c r="D12" s="64">
        <f>'Building Valuation'!T9</f>
        <v>2306226.1599999997</v>
      </c>
      <c r="K12" s="60">
        <f>K11*2</f>
        <v>3016</v>
      </c>
    </row>
    <row r="13" spans="2:13" x14ac:dyDescent="0.25">
      <c r="C13" s="60" t="s">
        <v>56</v>
      </c>
      <c r="D13" s="65">
        <f>30*4000</f>
        <v>120000</v>
      </c>
      <c r="E13" s="60" t="s">
        <v>57</v>
      </c>
    </row>
    <row r="14" spans="2:13" x14ac:dyDescent="0.25">
      <c r="C14" s="61" t="s">
        <v>35</v>
      </c>
      <c r="D14" s="66">
        <f>SUM(D11:D13)</f>
        <v>18134559.493333332</v>
      </c>
      <c r="E14" s="68"/>
    </row>
    <row r="15" spans="2:13" x14ac:dyDescent="0.25">
      <c r="D15" s="63">
        <v>18100000</v>
      </c>
    </row>
    <row r="16" spans="2:13" x14ac:dyDescent="0.25">
      <c r="D16" s="65">
        <f>D15*0.85</f>
        <v>15385000</v>
      </c>
    </row>
    <row r="17" spans="2:5" x14ac:dyDescent="0.25">
      <c r="D17" s="65">
        <f>D15*0.75</f>
        <v>13575000</v>
      </c>
    </row>
    <row r="19" spans="2:5" x14ac:dyDescent="0.25">
      <c r="C19" s="60" t="s">
        <v>25</v>
      </c>
      <c r="D19" s="63"/>
      <c r="E19" s="60" t="s">
        <v>26</v>
      </c>
    </row>
    <row r="20" spans="2:5" x14ac:dyDescent="0.25">
      <c r="B20" s="60" t="s">
        <v>37</v>
      </c>
      <c r="C20" s="60" t="s">
        <v>31</v>
      </c>
      <c r="D20" s="67">
        <f>D19*D6</f>
        <v>0</v>
      </c>
    </row>
    <row r="21" spans="2:5" x14ac:dyDescent="0.25">
      <c r="B21" s="60" t="s">
        <v>37</v>
      </c>
      <c r="C21" s="60" t="s">
        <v>34</v>
      </c>
      <c r="D21" s="63">
        <f>'Building Valuation'!W9</f>
        <v>0</v>
      </c>
    </row>
    <row r="22" spans="2:5" x14ac:dyDescent="0.25">
      <c r="B22" s="60" t="s">
        <v>37</v>
      </c>
      <c r="C22" s="60" t="s">
        <v>35</v>
      </c>
      <c r="D22" s="66">
        <f>SUM(D20:D21)</f>
        <v>0</v>
      </c>
    </row>
  </sheetData>
  <mergeCells count="1">
    <mergeCell ref="D4:F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Building Valuation</vt:lpstr>
      <vt:lpstr>Land</vt:lpstr>
      <vt:lpstr>'Building Valuation'!Print_Area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trainee4</dc:creator>
  <cp:lastModifiedBy>Manas Upmanyu</cp:lastModifiedBy>
  <cp:lastPrinted>2022-01-07T08:12:53Z</cp:lastPrinted>
  <dcterms:created xsi:type="dcterms:W3CDTF">2021-09-16T11:33:35Z</dcterms:created>
  <dcterms:modified xsi:type="dcterms:W3CDTF">2023-06-16T12:44:08Z</dcterms:modified>
</cp:coreProperties>
</file>