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Y:\In Progress Files\Mahesh Joshi\uploads\VIS(2023-24)-PL106-091-105_Ms. Hi Tech Pipes Limited\"/>
    </mc:Choice>
  </mc:AlternateContent>
  <xr:revisionPtr revIDLastSave="0" documentId="13_ncr:1_{6BBC288F-2EE5-4B30-BF1C-22E64A6D151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working" sheetId="2" r:id="rId1"/>
    <sheet name="Sheet1" sheetId="1" r:id="rId2"/>
    <sheet name="Sheet2" sheetId="3" r:id="rId3"/>
    <sheet name="Sheet3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2" l="1"/>
  <c r="E22" i="2" s="1"/>
  <c r="H21" i="2" s="1"/>
  <c r="E20" i="2"/>
  <c r="E19" i="2" s="1"/>
  <c r="AF12" i="2"/>
  <c r="Z12" i="2"/>
  <c r="AB11" i="2"/>
  <c r="AG10" i="2"/>
  <c r="AA10" i="2"/>
  <c r="AB10" i="2" s="1"/>
  <c r="AB9" i="2"/>
  <c r="N8" i="2"/>
  <c r="N7" i="2"/>
  <c r="N6" i="2"/>
  <c r="K6" i="2"/>
  <c r="K7" i="2"/>
  <c r="K8" i="2"/>
  <c r="K5" i="2"/>
  <c r="H6" i="2"/>
  <c r="P6" i="2" s="1"/>
  <c r="H7" i="2"/>
  <c r="P7" i="2" s="1"/>
  <c r="H8" i="2"/>
  <c r="P8" i="2" s="1"/>
  <c r="B6" i="2"/>
  <c r="B7" i="2" s="1"/>
  <c r="B8" i="2" s="1"/>
  <c r="H5" i="2"/>
  <c r="P5" i="2" s="1"/>
  <c r="N5" i="2"/>
  <c r="G9" i="2"/>
  <c r="N18" i="1"/>
  <c r="O18" i="1"/>
  <c r="K13" i="1"/>
  <c r="M6" i="4"/>
  <c r="K5" i="4"/>
  <c r="I5" i="4"/>
  <c r="F6" i="4"/>
  <c r="D4" i="4"/>
  <c r="I3" i="3"/>
  <c r="J3" i="3" s="1"/>
  <c r="K3" i="3" s="1"/>
  <c r="M3" i="3" s="1"/>
  <c r="G3" i="3"/>
  <c r="D3" i="3"/>
  <c r="G4" i="1"/>
  <c r="G5" i="1"/>
  <c r="E5" i="1"/>
  <c r="C5" i="1"/>
  <c r="Q7" i="2" l="1"/>
  <c r="R7" i="2"/>
  <c r="T7" i="2" s="1"/>
  <c r="AB12" i="2"/>
  <c r="AG11" i="2"/>
  <c r="AG12" i="2" s="1"/>
  <c r="AH9" i="2" s="1"/>
  <c r="AI9" i="2" s="1"/>
  <c r="AI12" i="2" s="1"/>
  <c r="Q8" i="2"/>
  <c r="R8" i="2" s="1"/>
  <c r="T8" i="2" s="1"/>
  <c r="Q6" i="2"/>
  <c r="R6" i="2" s="1"/>
  <c r="T6" i="2" s="1"/>
  <c r="H9" i="2"/>
  <c r="P9" i="2"/>
  <c r="Q5" i="2"/>
  <c r="Q9" i="2" l="1"/>
  <c r="R5" i="2"/>
  <c r="R9" i="2" s="1"/>
  <c r="T5" i="2" l="1"/>
  <c r="T9" i="2" s="1"/>
</calcChain>
</file>

<file path=xl/sharedStrings.xml><?xml version="1.0" encoding="utf-8"?>
<sst xmlns="http://schemas.openxmlformats.org/spreadsheetml/2006/main" count="76" uniqueCount="61">
  <si>
    <t>SR. No.</t>
  </si>
  <si>
    <t>Type of Structure</t>
  </si>
  <si>
    <t xml:space="preserve">Year of Valuation </t>
  </si>
  <si>
    <t>Total Life Consumed 
(In year)</t>
  </si>
  <si>
    <t>Total Economical Life
(In year)</t>
  </si>
  <si>
    <t>Salvage value</t>
  </si>
  <si>
    <t>Depreciation Rate</t>
  </si>
  <si>
    <t>Plinth Area  Rate 
(In per sq ft)</t>
  </si>
  <si>
    <t>Gross Replacement Value
(INR)</t>
  </si>
  <si>
    <t xml:space="preserve">Depreciation
(INR) </t>
  </si>
  <si>
    <t>Depreciated Value
(INR)</t>
  </si>
  <si>
    <t>Depreciated Replacement Market Value
(INR)</t>
  </si>
  <si>
    <t>TOTAL</t>
  </si>
  <si>
    <t>Remarks:</t>
  </si>
  <si>
    <t>3. The valuation is done by considering the depreciated replacement cost approach.</t>
  </si>
  <si>
    <t>Detoration</t>
  </si>
  <si>
    <t>4.We have taken the year of construction from information provided to us during the survey.</t>
  </si>
  <si>
    <t>Boundary wall valuation</t>
  </si>
  <si>
    <t>Year of Construction</t>
  </si>
  <si>
    <r>
      <t xml:space="preserve">Total Life Consumed 
</t>
    </r>
    <r>
      <rPr>
        <b/>
        <i/>
        <sz val="10"/>
        <rFont val="Calibri"/>
        <family val="2"/>
        <scheme val="minor"/>
      </rPr>
      <t>(in years)</t>
    </r>
  </si>
  <si>
    <r>
      <t xml:space="preserve">Total Economical Life
</t>
    </r>
    <r>
      <rPr>
        <b/>
        <i/>
        <sz val="10"/>
        <rFont val="Calibri"/>
        <family val="2"/>
        <scheme val="minor"/>
      </rPr>
      <t>(in years)</t>
    </r>
  </si>
  <si>
    <t>Discounting Factor</t>
  </si>
  <si>
    <t>Covered area (in sq.mtr)</t>
  </si>
  <si>
    <t>Covered Area 
(in sq ft)</t>
  </si>
  <si>
    <t>Year of Construction (Approximately)</t>
  </si>
  <si>
    <t>Height in Feet</t>
  </si>
  <si>
    <r>
      <t xml:space="preserve">Wall
</t>
    </r>
    <r>
      <rPr>
        <b/>
        <i/>
        <sz val="10"/>
        <rFont val="Calibri"/>
        <family val="2"/>
        <scheme val="minor"/>
      </rPr>
      <t>(in Running mtr.)As per approved plan approx.</t>
    </r>
  </si>
  <si>
    <r>
      <t xml:space="preserve">Plinth Area  Rate 
</t>
    </r>
    <r>
      <rPr>
        <b/>
        <i/>
        <sz val="10"/>
        <rFont val="Calibri"/>
        <family val="2"/>
        <scheme val="minor"/>
      </rPr>
      <t>(in per running mtr)</t>
    </r>
  </si>
  <si>
    <t>Ground</t>
  </si>
  <si>
    <t>1/1.19</t>
  </si>
  <si>
    <t>Floor Level</t>
  </si>
  <si>
    <t>Details of building</t>
  </si>
  <si>
    <t>RCC</t>
  </si>
  <si>
    <t>5.As per our site survey we have observed the maintenance of the building is averege and needs maintenance.</t>
  </si>
  <si>
    <t xml:space="preserve">M/S. HI TECH PIPES LTD.| INDUSTRIAL PLOT NO. 16, IN UPSIDC INDUSTRIAL AREA, SIKANDARABAD, DISTRICT BULANDSHAHAR, UTTAR PRADESH
</t>
  </si>
  <si>
    <t>Main Tin Shed</t>
  </si>
  <si>
    <t>G+1</t>
  </si>
  <si>
    <t>Office</t>
  </si>
  <si>
    <t>Survent Quarter</t>
  </si>
  <si>
    <t>Other</t>
  </si>
  <si>
    <t>Tin Shed</t>
  </si>
  <si>
    <t>Tin Shed and RCC</t>
  </si>
  <si>
    <t>1. All the details pertaing to the building area statement such as area, floor, etc has been taken from the site survey ,measurement.</t>
  </si>
  <si>
    <t>2.The subject property is consturcted with RCC and Tin Shed structure structure.</t>
  </si>
  <si>
    <t>Rate calculation by Belting method</t>
  </si>
  <si>
    <t>Rate calculation by Belting method(2)</t>
  </si>
  <si>
    <t>Belt No.</t>
  </si>
  <si>
    <t>Splitted Plot Area(sq.mtr)</t>
  </si>
  <si>
    <t>Belting Price</t>
  </si>
  <si>
    <t xml:space="preserve"> FMV </t>
  </si>
  <si>
    <t>S.No</t>
  </si>
  <si>
    <t>Total plot area(Sq.mtr)</t>
  </si>
  <si>
    <t>Averege Belting price</t>
  </si>
  <si>
    <t>FMV</t>
  </si>
  <si>
    <t>Belt 1</t>
  </si>
  <si>
    <t>Belt 2</t>
  </si>
  <si>
    <t>Belt 3</t>
  </si>
  <si>
    <t>Total</t>
  </si>
  <si>
    <t>Depriciation</t>
  </si>
  <si>
    <t>Tin shed</t>
  </si>
  <si>
    <t>Depreciated construction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</si>
</sst>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0.0000"/>
    <numFmt numFmtId="165" formatCode="_ &quot;₹&quot;\ * #,##0_ ;_ &quot;₹&quot;\ * \-#,##0_ ;_ &quot;₹&quot;\ * &quot;-&quot;??_ ;_ @_ "/>
    <numFmt numFmtId="166" formatCode="_ * #,##0_ ;_ * \-#,##0_ ;_ * &quot;-&quot;??_ ;_ @_ "/>
    <numFmt numFmtId="167" formatCode="&quot;₹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1E366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166" fontId="0" fillId="0" borderId="0" xfId="5" applyNumberFormat="1" applyFont="1"/>
    <xf numFmtId="0" fontId="6" fillId="4" borderId="1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44" fontId="0" fillId="0" borderId="0" xfId="0" applyNumberFormat="1"/>
    <xf numFmtId="9" fontId="0" fillId="0" borderId="0" xfId="2" applyFont="1"/>
    <xf numFmtId="0" fontId="2" fillId="2" borderId="1" xfId="2" applyNumberFormat="1" applyFont="1" applyFill="1" applyBorder="1" applyAlignment="1">
      <alignment horizontal="center" vertical="center" wrapText="1"/>
    </xf>
    <xf numFmtId="0" fontId="0" fillId="0" borderId="1" xfId="2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167" fontId="2" fillId="0" borderId="1" xfId="0" applyNumberFormat="1" applyFont="1" applyBorder="1"/>
    <xf numFmtId="167" fontId="0" fillId="0" borderId="0" xfId="0" applyNumberFormat="1"/>
    <xf numFmtId="167" fontId="2" fillId="0" borderId="1" xfId="2" applyNumberFormat="1" applyFont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0" borderId="1" xfId="0" applyBorder="1"/>
    <xf numFmtId="167" fontId="0" fillId="0" borderId="1" xfId="0" applyNumberFormat="1" applyBorder="1"/>
    <xf numFmtId="0" fontId="0" fillId="6" borderId="1" xfId="0" applyFill="1" applyBorder="1"/>
    <xf numFmtId="0" fontId="2" fillId="0" borderId="1" xfId="0" applyFont="1" applyBorder="1"/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7" fontId="2" fillId="0" borderId="6" xfId="0" applyNumberFormat="1" applyFont="1" applyBorder="1" applyAlignment="1">
      <alignment horizontal="right" vertical="center"/>
    </xf>
    <xf numFmtId="167" fontId="2" fillId="0" borderId="7" xfId="0" applyNumberFormat="1" applyFont="1" applyBorder="1" applyAlignment="1">
      <alignment horizontal="right" vertical="center"/>
    </xf>
    <xf numFmtId="167" fontId="2" fillId="0" borderId="8" xfId="0" applyNumberFormat="1" applyFont="1" applyBorder="1" applyAlignment="1">
      <alignment horizontal="right" vertical="center"/>
    </xf>
    <xf numFmtId="167" fontId="0" fillId="0" borderId="6" xfId="0" applyNumberForma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8" xfId="0" applyNumberFormat="1" applyBorder="1" applyAlignment="1">
      <alignment horizontal="center" vertical="center" wrapText="1"/>
    </xf>
    <xf numFmtId="0" fontId="5" fillId="0" borderId="1" xfId="2" applyNumberFormat="1" applyFont="1" applyBorder="1" applyAlignment="1">
      <alignment horizontal="left" vertical="center"/>
    </xf>
    <xf numFmtId="0" fontId="3" fillId="3" borderId="2" xfId="2" applyNumberFormat="1" applyFont="1" applyFill="1" applyBorder="1" applyAlignment="1">
      <alignment horizontal="center" vertical="center" wrapText="1"/>
    </xf>
    <xf numFmtId="0" fontId="5" fillId="0" borderId="3" xfId="2" applyNumberFormat="1" applyFont="1" applyBorder="1" applyAlignment="1">
      <alignment horizontal="left" vertical="center"/>
    </xf>
    <xf numFmtId="0" fontId="5" fillId="0" borderId="4" xfId="2" applyNumberFormat="1" applyFont="1" applyBorder="1" applyAlignment="1">
      <alignment horizontal="left" vertical="center"/>
    </xf>
    <xf numFmtId="0" fontId="5" fillId="0" borderId="5" xfId="2" applyNumberFormat="1" applyFont="1" applyBorder="1" applyAlignment="1">
      <alignment horizontal="left" vertical="center"/>
    </xf>
    <xf numFmtId="0" fontId="2" fillId="0" borderId="1" xfId="2" applyNumberFormat="1" applyFont="1" applyBorder="1" applyAlignment="1">
      <alignment horizontal="center" vertical="center" wrapText="1"/>
    </xf>
    <xf numFmtId="0" fontId="4" fillId="0" borderId="1" xfId="2" applyNumberFormat="1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</cellXfs>
  <cellStyles count="6">
    <cellStyle name="Comma" xfId="5" builtinId="3"/>
    <cellStyle name="Comma 2" xfId="3" xr:uid="{00000000-0005-0000-0000-000002000000}"/>
    <cellStyle name="Currency" xfId="1" builtinId="4"/>
    <cellStyle name="Currency 2" xfId="4" xr:uid="{00000000-0005-0000-0000-000004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I25"/>
  <sheetViews>
    <sheetView tabSelected="1" topLeftCell="B4" zoomScale="85" zoomScaleNormal="85" workbookViewId="0">
      <selection activeCell="H21" sqref="H21"/>
    </sheetView>
  </sheetViews>
  <sheetFormatPr defaultRowHeight="15" x14ac:dyDescent="0.25"/>
  <cols>
    <col min="2" max="2" width="7.28515625" customWidth="1"/>
    <col min="3" max="3" width="12" customWidth="1"/>
    <col min="4" max="4" width="13" customWidth="1"/>
    <col min="5" max="5" width="13.28515625" customWidth="1"/>
    <col min="6" max="6" width="11.5703125" customWidth="1"/>
    <col min="7" max="7" width="8.42578125" customWidth="1"/>
    <col min="8" max="8" width="17" customWidth="1"/>
    <col min="9" max="9" width="9" customWidth="1"/>
    <col min="10" max="10" width="15.140625" hidden="1" customWidth="1"/>
    <col min="11" max="11" width="10.42578125" hidden="1" customWidth="1"/>
    <col min="12" max="12" width="11.28515625" hidden="1" customWidth="1"/>
    <col min="13" max="13" width="7.7109375" hidden="1" customWidth="1"/>
    <col min="14" max="14" width="6.42578125" hidden="1" customWidth="1"/>
    <col min="15" max="15" width="9" customWidth="1"/>
    <col min="16" max="16" width="13.28515625" hidden="1" customWidth="1"/>
    <col min="17" max="18" width="15.140625" hidden="1" customWidth="1"/>
    <col min="19" max="19" width="11.7109375" hidden="1" customWidth="1"/>
    <col min="20" max="20" width="21" customWidth="1"/>
    <col min="21" max="21" width="0" hidden="1" customWidth="1"/>
    <col min="22" max="22" width="9.28515625" hidden="1" customWidth="1"/>
    <col min="23" max="23" width="19.5703125" hidden="1" customWidth="1"/>
    <col min="24" max="24" width="19.5703125" customWidth="1"/>
    <col min="27" max="27" width="13.28515625" customWidth="1"/>
    <col min="28" max="28" width="16" customWidth="1"/>
    <col min="30" max="30" width="0" hidden="1" customWidth="1"/>
    <col min="33" max="33" width="13" customWidth="1"/>
    <col min="34" max="34" width="13.7109375" customWidth="1"/>
    <col min="35" max="35" width="17.28515625" customWidth="1"/>
  </cols>
  <sheetData>
    <row r="3" spans="2:35" ht="48.75" customHeight="1" x14ac:dyDescent="0.25">
      <c r="B3" s="36" t="s">
        <v>34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</row>
    <row r="4" spans="2:35" ht="55.5" customHeight="1" x14ac:dyDescent="0.25">
      <c r="B4" s="11" t="s">
        <v>0</v>
      </c>
      <c r="C4" s="11" t="s">
        <v>30</v>
      </c>
      <c r="D4" s="11" t="s">
        <v>31</v>
      </c>
      <c r="E4" s="11" t="s">
        <v>25</v>
      </c>
      <c r="F4" s="11" t="s">
        <v>1</v>
      </c>
      <c r="G4" s="11" t="s">
        <v>22</v>
      </c>
      <c r="H4" s="11" t="s">
        <v>23</v>
      </c>
      <c r="I4" s="11" t="s">
        <v>24</v>
      </c>
      <c r="J4" s="11" t="s">
        <v>2</v>
      </c>
      <c r="K4" s="11" t="s">
        <v>3</v>
      </c>
      <c r="L4" s="11" t="s">
        <v>4</v>
      </c>
      <c r="M4" s="11" t="s">
        <v>5</v>
      </c>
      <c r="N4" s="11" t="s">
        <v>6</v>
      </c>
      <c r="O4" s="11" t="s">
        <v>7</v>
      </c>
      <c r="P4" s="11" t="s">
        <v>8</v>
      </c>
      <c r="Q4" s="11" t="s">
        <v>9</v>
      </c>
      <c r="R4" s="11" t="s">
        <v>10</v>
      </c>
      <c r="S4" s="11" t="s">
        <v>15</v>
      </c>
      <c r="T4" s="11" t="s">
        <v>11</v>
      </c>
    </row>
    <row r="5" spans="2:35" ht="30" x14ac:dyDescent="0.25">
      <c r="B5" s="12">
        <v>1</v>
      </c>
      <c r="C5" s="12" t="s">
        <v>28</v>
      </c>
      <c r="D5" s="12" t="s">
        <v>35</v>
      </c>
      <c r="E5" s="12">
        <v>49</v>
      </c>
      <c r="F5" s="12" t="s">
        <v>40</v>
      </c>
      <c r="G5" s="12">
        <v>4800</v>
      </c>
      <c r="H5" s="12">
        <f>G5*10.764</f>
        <v>51667.199999999997</v>
      </c>
      <c r="I5" s="12">
        <v>2005</v>
      </c>
      <c r="J5" s="12">
        <v>2023</v>
      </c>
      <c r="K5" s="12">
        <f>J5-I5</f>
        <v>18</v>
      </c>
      <c r="L5" s="12">
        <v>45</v>
      </c>
      <c r="M5" s="12">
        <v>0.1</v>
      </c>
      <c r="N5" s="12">
        <f>(1-M5)/L5</f>
        <v>0.02</v>
      </c>
      <c r="O5" s="12">
        <v>1000</v>
      </c>
      <c r="P5" s="12">
        <f>O5*H5</f>
        <v>51667200</v>
      </c>
      <c r="Q5" s="12">
        <f t="shared" ref="Q5:Q8" si="0">P5*N5*K5</f>
        <v>18600192</v>
      </c>
      <c r="R5" s="12">
        <f t="shared" ref="R5:R8" si="1">MAX(P5-Q5,0)</f>
        <v>33067008</v>
      </c>
      <c r="S5" s="12">
        <v>0</v>
      </c>
      <c r="T5" s="12">
        <f>IF(R5&gt;M5*P5,R5*(1-S5),P5*M5)</f>
        <v>33067008</v>
      </c>
    </row>
    <row r="6" spans="2:35" ht="30" x14ac:dyDescent="0.25">
      <c r="B6" s="12">
        <f>1+B5</f>
        <v>2</v>
      </c>
      <c r="C6" s="12" t="s">
        <v>36</v>
      </c>
      <c r="D6" s="12" t="s">
        <v>38</v>
      </c>
      <c r="E6" s="12">
        <v>20</v>
      </c>
      <c r="F6" s="12" t="s">
        <v>32</v>
      </c>
      <c r="G6" s="12">
        <v>292</v>
      </c>
      <c r="H6" s="12">
        <f t="shared" ref="H6:H8" si="2">G6*10.764</f>
        <v>3143.0879999999997</v>
      </c>
      <c r="I6" s="12">
        <v>2005</v>
      </c>
      <c r="J6" s="12">
        <v>2023</v>
      </c>
      <c r="K6" s="12">
        <f t="shared" ref="K6:K8" si="3">J6-I6</f>
        <v>18</v>
      </c>
      <c r="L6" s="12">
        <v>60</v>
      </c>
      <c r="M6" s="12">
        <v>0.1</v>
      </c>
      <c r="N6" s="12">
        <f t="shared" ref="N6:N8" si="4">(1-M6)/L6</f>
        <v>1.5000000000000001E-2</v>
      </c>
      <c r="O6" s="12">
        <v>1200</v>
      </c>
      <c r="P6" s="12">
        <f t="shared" ref="P6:P8" si="5">O6*H6</f>
        <v>3771705.5999999996</v>
      </c>
      <c r="Q6" s="12">
        <f t="shared" si="0"/>
        <v>1018360.5119999999</v>
      </c>
      <c r="R6" s="12">
        <f t="shared" si="1"/>
        <v>2753345.0879999995</v>
      </c>
      <c r="S6" s="12">
        <v>0</v>
      </c>
      <c r="T6" s="12">
        <f t="shared" ref="T6:T8" si="6">IF(R6&gt;M6*P6,R6*(1-S6),P6*M6)</f>
        <v>2753345.0879999995</v>
      </c>
    </row>
    <row r="7" spans="2:35" x14ac:dyDescent="0.25">
      <c r="B7" s="12">
        <f t="shared" ref="B7:B8" si="7">1+B6</f>
        <v>3</v>
      </c>
      <c r="C7" s="12" t="s">
        <v>28</v>
      </c>
      <c r="D7" s="12" t="s">
        <v>37</v>
      </c>
      <c r="E7" s="12">
        <v>11</v>
      </c>
      <c r="F7" s="12" t="s">
        <v>32</v>
      </c>
      <c r="G7" s="12">
        <v>302</v>
      </c>
      <c r="H7" s="12">
        <f t="shared" si="2"/>
        <v>3250.7279999999996</v>
      </c>
      <c r="I7" s="12">
        <v>2005</v>
      </c>
      <c r="J7" s="12">
        <v>2023</v>
      </c>
      <c r="K7" s="12">
        <f t="shared" si="3"/>
        <v>18</v>
      </c>
      <c r="L7" s="12">
        <v>60</v>
      </c>
      <c r="M7" s="12">
        <v>0.1</v>
      </c>
      <c r="N7" s="12">
        <f t="shared" si="4"/>
        <v>1.5000000000000001E-2</v>
      </c>
      <c r="O7" s="12">
        <v>1200</v>
      </c>
      <c r="P7" s="12">
        <f t="shared" si="5"/>
        <v>3900873.5999999996</v>
      </c>
      <c r="Q7" s="12">
        <f t="shared" si="0"/>
        <v>1053235.872</v>
      </c>
      <c r="R7" s="12">
        <f t="shared" si="1"/>
        <v>2847637.7279999997</v>
      </c>
      <c r="S7" s="12">
        <v>0</v>
      </c>
      <c r="T7" s="12">
        <f t="shared" si="6"/>
        <v>2847637.7279999997</v>
      </c>
      <c r="Y7" s="23" t="s">
        <v>44</v>
      </c>
      <c r="Z7" s="24"/>
      <c r="AA7" s="24"/>
      <c r="AB7" s="25"/>
      <c r="AE7" s="23" t="s">
        <v>45</v>
      </c>
      <c r="AF7" s="24"/>
      <c r="AG7" s="24"/>
      <c r="AH7" s="24"/>
      <c r="AI7" s="25"/>
    </row>
    <row r="8" spans="2:35" ht="60" x14ac:dyDescent="0.25">
      <c r="B8" s="12">
        <f t="shared" si="7"/>
        <v>4</v>
      </c>
      <c r="C8" s="12" t="s">
        <v>28</v>
      </c>
      <c r="D8" s="12" t="s">
        <v>39</v>
      </c>
      <c r="E8" s="12">
        <v>11</v>
      </c>
      <c r="F8" s="12" t="s">
        <v>41</v>
      </c>
      <c r="G8" s="12">
        <v>106</v>
      </c>
      <c r="H8" s="12">
        <f t="shared" si="2"/>
        <v>1140.9839999999999</v>
      </c>
      <c r="I8" s="12">
        <v>2005</v>
      </c>
      <c r="J8" s="12">
        <v>2023</v>
      </c>
      <c r="K8" s="12">
        <f t="shared" si="3"/>
        <v>18</v>
      </c>
      <c r="L8" s="12">
        <v>60</v>
      </c>
      <c r="M8" s="12">
        <v>0.1</v>
      </c>
      <c r="N8" s="12">
        <f t="shared" si="4"/>
        <v>1.5000000000000001E-2</v>
      </c>
      <c r="O8" s="12">
        <v>1000</v>
      </c>
      <c r="P8" s="12">
        <f t="shared" si="5"/>
        <v>1140984</v>
      </c>
      <c r="Q8" s="12">
        <f t="shared" si="0"/>
        <v>308065.68000000005</v>
      </c>
      <c r="R8" s="12">
        <f t="shared" si="1"/>
        <v>832918.32</v>
      </c>
      <c r="S8" s="12">
        <v>0</v>
      </c>
      <c r="T8" s="12">
        <f t="shared" si="6"/>
        <v>832918.32</v>
      </c>
      <c r="Y8" s="17" t="s">
        <v>46</v>
      </c>
      <c r="Z8" s="18" t="s">
        <v>47</v>
      </c>
      <c r="AA8" s="18" t="s">
        <v>48</v>
      </c>
      <c r="AB8" s="17" t="s">
        <v>49</v>
      </c>
      <c r="AE8" s="17" t="s">
        <v>50</v>
      </c>
      <c r="AF8" s="18" t="s">
        <v>51</v>
      </c>
      <c r="AG8" s="18" t="s">
        <v>48</v>
      </c>
      <c r="AH8" s="18" t="s">
        <v>52</v>
      </c>
      <c r="AI8" s="17" t="s">
        <v>53</v>
      </c>
    </row>
    <row r="9" spans="2:35" x14ac:dyDescent="0.25">
      <c r="B9" s="40" t="s">
        <v>12</v>
      </c>
      <c r="C9" s="40"/>
      <c r="D9" s="40"/>
      <c r="E9" s="40"/>
      <c r="F9" s="40"/>
      <c r="G9" s="13">
        <f>SUM(G5:G8)</f>
        <v>5500</v>
      </c>
      <c r="H9" s="13">
        <f>SUM(H5:H8)</f>
        <v>59202</v>
      </c>
      <c r="I9" s="40"/>
      <c r="J9" s="40"/>
      <c r="K9" s="40"/>
      <c r="L9" s="40"/>
      <c r="M9" s="40"/>
      <c r="N9" s="40"/>
      <c r="O9" s="40"/>
      <c r="P9" s="13">
        <f>SUM(P5:P8)</f>
        <v>60480763.200000003</v>
      </c>
      <c r="Q9" s="13">
        <f>SUM(Q5:Q8)</f>
        <v>20979854.063999999</v>
      </c>
      <c r="R9" s="13">
        <f>SUM(R5:R8)</f>
        <v>39500909.136</v>
      </c>
      <c r="S9" s="12">
        <v>0</v>
      </c>
      <c r="T9" s="16">
        <f>SUM(T5:T8)</f>
        <v>39500909.136</v>
      </c>
      <c r="Y9" s="19" t="s">
        <v>54</v>
      </c>
      <c r="Z9" s="19">
        <v>5573</v>
      </c>
      <c r="AA9" s="20">
        <v>18000</v>
      </c>
      <c r="AB9" s="20">
        <f>Z9*AA9</f>
        <v>100314000</v>
      </c>
      <c r="AE9" s="19">
        <v>1</v>
      </c>
      <c r="AF9" s="26">
        <v>16719</v>
      </c>
      <c r="AG9" s="20">
        <v>16000</v>
      </c>
      <c r="AH9" s="29">
        <f>AG12/3</f>
        <v>10666.666666666666</v>
      </c>
      <c r="AI9" s="32">
        <f>AH9*AF9</f>
        <v>178336000</v>
      </c>
    </row>
    <row r="10" spans="2:35" x14ac:dyDescent="0.25">
      <c r="B10" s="41" t="s">
        <v>13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Y10" s="19" t="s">
        <v>55</v>
      </c>
      <c r="Z10" s="19">
        <v>5573</v>
      </c>
      <c r="AA10" s="20">
        <f>AA9*2/3</f>
        <v>12000</v>
      </c>
      <c r="AB10" s="20">
        <f>AA10*Z10</f>
        <v>66876000</v>
      </c>
      <c r="AE10" s="19">
        <v>2</v>
      </c>
      <c r="AF10" s="27"/>
      <c r="AG10" s="20">
        <f>AG9*2/3</f>
        <v>10666.666666666666</v>
      </c>
      <c r="AH10" s="30"/>
      <c r="AI10" s="33"/>
    </row>
    <row r="11" spans="2:35" ht="15" customHeight="1" x14ac:dyDescent="0.25">
      <c r="B11" s="35" t="s">
        <v>42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Y11" s="19" t="s">
        <v>56</v>
      </c>
      <c r="Z11" s="19">
        <v>5573</v>
      </c>
      <c r="AA11" s="20">
        <v>9000</v>
      </c>
      <c r="AB11" s="20">
        <f>AA11*Z11</f>
        <v>50157000</v>
      </c>
      <c r="AE11" s="19">
        <v>3</v>
      </c>
      <c r="AF11" s="28"/>
      <c r="AG11" s="20">
        <f>AG10/2</f>
        <v>5333.333333333333</v>
      </c>
      <c r="AH11" s="31"/>
      <c r="AI11" s="34"/>
    </row>
    <row r="12" spans="2:35" x14ac:dyDescent="0.25">
      <c r="B12" s="35" t="s">
        <v>43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Y12" s="21" t="s">
        <v>57</v>
      </c>
      <c r="Z12" s="22">
        <f>SUM(Z9:Z11)</f>
        <v>16719</v>
      </c>
      <c r="AA12" s="20"/>
      <c r="AB12" s="14">
        <f>SUM(AB9:AB11)</f>
        <v>217347000</v>
      </c>
      <c r="AE12" s="21" t="s">
        <v>57</v>
      </c>
      <c r="AF12" s="22">
        <f>SUM(AF9:AF11)</f>
        <v>16719</v>
      </c>
      <c r="AG12" s="14">
        <f>SUM(AG9:AG11)</f>
        <v>31999.999999999996</v>
      </c>
      <c r="AH12" s="20"/>
      <c r="AI12" s="14">
        <f>SUM(AI9:AI11)</f>
        <v>178336000</v>
      </c>
    </row>
    <row r="13" spans="2:35" x14ac:dyDescent="0.25">
      <c r="B13" s="35" t="s">
        <v>14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</row>
    <row r="14" spans="2:35" x14ac:dyDescent="0.25">
      <c r="B14" s="35" t="s">
        <v>16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W14" s="9"/>
      <c r="X14" s="9"/>
    </row>
    <row r="15" spans="2:35" x14ac:dyDescent="0.25">
      <c r="B15" s="37" t="s">
        <v>33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9"/>
      <c r="W15" s="9"/>
      <c r="X15" s="9"/>
    </row>
    <row r="16" spans="2:35" x14ac:dyDescent="0.25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2:8" x14ac:dyDescent="0.25">
      <c r="B17" s="10"/>
      <c r="C17" s="10"/>
      <c r="D17" s="10"/>
    </row>
    <row r="19" spans="2:8" ht="66" customHeight="1" x14ac:dyDescent="0.25">
      <c r="C19" s="44" t="s">
        <v>59</v>
      </c>
      <c r="D19" s="43" t="s">
        <v>60</v>
      </c>
      <c r="E19" s="44">
        <f>(G5*7000)-E20</f>
        <v>19992000</v>
      </c>
    </row>
    <row r="20" spans="2:8" x14ac:dyDescent="0.25">
      <c r="C20" s="44"/>
      <c r="D20" s="44" t="s">
        <v>58</v>
      </c>
      <c r="E20" s="44">
        <f>(G5*7000*18*9)/(40*10)</f>
        <v>13608000</v>
      </c>
    </row>
    <row r="21" spans="2:8" x14ac:dyDescent="0.25">
      <c r="H21" s="15">
        <f>E19+E22</f>
        <v>29482250</v>
      </c>
    </row>
    <row r="22" spans="2:8" ht="45" x14ac:dyDescent="0.25">
      <c r="C22" s="44" t="s">
        <v>32</v>
      </c>
      <c r="D22" s="43" t="s">
        <v>60</v>
      </c>
      <c r="E22" s="44">
        <f>(700*17000)-E23</f>
        <v>9490250</v>
      </c>
    </row>
    <row r="23" spans="2:8" x14ac:dyDescent="0.25">
      <c r="C23" s="44"/>
      <c r="D23" s="44" t="s">
        <v>58</v>
      </c>
      <c r="E23" s="44">
        <f>(700*17000*18*9)/(80*10)</f>
        <v>2409750</v>
      </c>
    </row>
    <row r="25" spans="2:8" x14ac:dyDescent="0.25">
      <c r="F25" s="15"/>
    </row>
  </sheetData>
  <mergeCells count="14">
    <mergeCell ref="B3:T3"/>
    <mergeCell ref="B13:T13"/>
    <mergeCell ref="B14:T14"/>
    <mergeCell ref="B15:T15"/>
    <mergeCell ref="B9:F9"/>
    <mergeCell ref="I9:O9"/>
    <mergeCell ref="B10:T10"/>
    <mergeCell ref="B11:T11"/>
    <mergeCell ref="AE7:AI7"/>
    <mergeCell ref="AF9:AF11"/>
    <mergeCell ref="AH9:AH11"/>
    <mergeCell ref="AI9:AI11"/>
    <mergeCell ref="B12:T12"/>
    <mergeCell ref="Y7:AB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O18"/>
  <sheetViews>
    <sheetView workbookViewId="0">
      <selection activeCell="F15" sqref="F15"/>
    </sheetView>
  </sheetViews>
  <sheetFormatPr defaultRowHeight="15" x14ac:dyDescent="0.25"/>
  <cols>
    <col min="2" max="2" width="12.42578125" bestFit="1" customWidth="1"/>
    <col min="3" max="3" width="14.28515625" bestFit="1" customWidth="1"/>
    <col min="5" max="5" width="14.28515625" bestFit="1" customWidth="1"/>
    <col min="8" max="8" width="20" customWidth="1"/>
    <col min="11" max="11" width="13.5703125" customWidth="1"/>
  </cols>
  <sheetData>
    <row r="3" spans="3:14" x14ac:dyDescent="0.25">
      <c r="C3">
        <v>87120</v>
      </c>
      <c r="E3">
        <v>7943455</v>
      </c>
      <c r="G3">
        <v>36000000</v>
      </c>
    </row>
    <row r="4" spans="3:14" x14ac:dyDescent="0.25">
      <c r="C4">
        <v>500</v>
      </c>
      <c r="E4">
        <v>2</v>
      </c>
      <c r="G4">
        <f>60000</f>
        <v>60000</v>
      </c>
    </row>
    <row r="5" spans="3:14" x14ac:dyDescent="0.25">
      <c r="C5" s="1">
        <f>C4*C3</f>
        <v>43560000</v>
      </c>
      <c r="E5" s="1">
        <f>E4*E3</f>
        <v>15886910</v>
      </c>
      <c r="G5">
        <f>G3/G4</f>
        <v>600</v>
      </c>
    </row>
    <row r="12" spans="3:14" x14ac:dyDescent="0.25">
      <c r="H12">
        <v>2003</v>
      </c>
      <c r="K12">
        <v>2017</v>
      </c>
    </row>
    <row r="13" spans="3:14" x14ac:dyDescent="0.25">
      <c r="H13" s="1">
        <v>6000000</v>
      </c>
      <c r="K13">
        <f>M161</f>
        <v>0</v>
      </c>
    </row>
    <row r="16" spans="3:14" x14ac:dyDescent="0.25">
      <c r="N16" t="s">
        <v>29</v>
      </c>
    </row>
    <row r="18" spans="14:15" x14ac:dyDescent="0.25">
      <c r="N18">
        <f>1/1.19</f>
        <v>0.84033613445378152</v>
      </c>
      <c r="O18">
        <f>N18*10.764</f>
        <v>9.045378151260504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"/>
  <sheetViews>
    <sheetView workbookViewId="0">
      <selection activeCell="M4" sqref="M4"/>
    </sheetView>
  </sheetViews>
  <sheetFormatPr defaultRowHeight="15" x14ac:dyDescent="0.25"/>
  <cols>
    <col min="1" max="2" width="8.7109375" bestFit="1" customWidth="1"/>
    <col min="3" max="3" width="8.42578125" bestFit="1" customWidth="1"/>
    <col min="5" max="5" width="8.5703125" bestFit="1" customWidth="1"/>
    <col min="6" max="6" width="7.7109375" bestFit="1" customWidth="1"/>
    <col min="7" max="7" width="9" customWidth="1"/>
    <col min="8" max="8" width="8" customWidth="1"/>
    <col min="9" max="9" width="11.5703125" customWidth="1"/>
    <col min="10" max="10" width="10.5703125" customWidth="1"/>
    <col min="11" max="11" width="11.5703125" customWidth="1"/>
    <col min="12" max="12" width="8.7109375" customWidth="1"/>
    <col min="13" max="13" width="11.5703125" bestFit="1" customWidth="1"/>
  </cols>
  <sheetData>
    <row r="1" spans="1:13" ht="15.75" x14ac:dyDescent="0.25">
      <c r="A1" s="42" t="s">
        <v>17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104.25" x14ac:dyDescent="0.25">
      <c r="A2" s="2" t="s">
        <v>26</v>
      </c>
      <c r="B2" s="2" t="s">
        <v>18</v>
      </c>
      <c r="C2" s="2" t="s">
        <v>2</v>
      </c>
      <c r="D2" s="2" t="s">
        <v>19</v>
      </c>
      <c r="E2" s="2" t="s">
        <v>20</v>
      </c>
      <c r="F2" s="2" t="s">
        <v>5</v>
      </c>
      <c r="G2" s="2" t="s">
        <v>6</v>
      </c>
      <c r="H2" s="2" t="s">
        <v>27</v>
      </c>
      <c r="I2" s="2" t="s">
        <v>8</v>
      </c>
      <c r="J2" s="2" t="s">
        <v>9</v>
      </c>
      <c r="K2" s="2" t="s">
        <v>10</v>
      </c>
      <c r="L2" s="2" t="s">
        <v>21</v>
      </c>
      <c r="M2" s="2" t="s">
        <v>11</v>
      </c>
    </row>
    <row r="3" spans="1:13" x14ac:dyDescent="0.25">
      <c r="A3" s="3">
        <v>676</v>
      </c>
      <c r="B3" s="4">
        <v>2005</v>
      </c>
      <c r="C3" s="4">
        <v>2023</v>
      </c>
      <c r="D3" s="4">
        <f>C3-B3</f>
        <v>18</v>
      </c>
      <c r="E3" s="4">
        <v>60</v>
      </c>
      <c r="F3" s="5">
        <v>0.1</v>
      </c>
      <c r="G3" s="6">
        <f>(1-F3)/E3</f>
        <v>1.5000000000000001E-2</v>
      </c>
      <c r="H3" s="7">
        <v>3000</v>
      </c>
      <c r="I3" s="7">
        <f>H3*A3</f>
        <v>2028000</v>
      </c>
      <c r="J3" s="7">
        <f>I3*G3*D3</f>
        <v>547560.00000000012</v>
      </c>
      <c r="K3" s="7">
        <f>MAX(I3-J3,0)</f>
        <v>1480440</v>
      </c>
      <c r="L3" s="8">
        <v>0</v>
      </c>
      <c r="M3" s="7">
        <f>IF(K3&gt;F3*I3,K3*(1-L3),I3*F3)</f>
        <v>1480440</v>
      </c>
    </row>
  </sheetData>
  <mergeCells count="1">
    <mergeCell ref="A1:M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3:M6"/>
  <sheetViews>
    <sheetView workbookViewId="0">
      <selection activeCell="M6" sqref="M6"/>
    </sheetView>
  </sheetViews>
  <sheetFormatPr defaultRowHeight="15" x14ac:dyDescent="0.25"/>
  <cols>
    <col min="4" max="4" width="10" bestFit="1" customWidth="1"/>
    <col min="6" max="6" width="10" bestFit="1" customWidth="1"/>
    <col min="9" max="9" width="10" bestFit="1" customWidth="1"/>
  </cols>
  <sheetData>
    <row r="3" spans="4:13" x14ac:dyDescent="0.25">
      <c r="D3">
        <v>106500000</v>
      </c>
    </row>
    <row r="4" spans="4:13" x14ac:dyDescent="0.25">
      <c r="D4">
        <f>D3/1430</f>
        <v>74475.524475524478</v>
      </c>
      <c r="F4">
        <v>120000000</v>
      </c>
      <c r="I4">
        <v>115000000</v>
      </c>
      <c r="K4">
        <v>98500000</v>
      </c>
      <c r="M4">
        <v>94000000</v>
      </c>
    </row>
    <row r="5" spans="4:13" x14ac:dyDescent="0.25">
      <c r="F5">
        <v>1650</v>
      </c>
      <c r="I5">
        <f>I4/1340</f>
        <v>85820.895522388062</v>
      </c>
      <c r="K5">
        <f>K4/1600</f>
        <v>61562.5</v>
      </c>
      <c r="M5">
        <v>1385</v>
      </c>
    </row>
    <row r="6" spans="4:13" x14ac:dyDescent="0.25">
      <c r="F6">
        <f>F4/F5</f>
        <v>72727.272727272721</v>
      </c>
      <c r="M6">
        <f>M4/M5</f>
        <v>67870.036101083038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working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Rahul Gupta</dc:creator>
  <cp:lastModifiedBy>Rajani Gupta</cp:lastModifiedBy>
  <dcterms:created xsi:type="dcterms:W3CDTF">2022-07-28T09:17:09Z</dcterms:created>
  <dcterms:modified xsi:type="dcterms:W3CDTF">2023-06-26T11:08:15Z</dcterms:modified>
</cp:coreProperties>
</file>