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56D47F15-3A4D-4418-B83B-84F2B821AB59}" xr6:coauthVersionLast="47" xr6:coauthVersionMax="47" xr10:uidLastSave="{00000000-0000-0000-0000-000000000000}"/>
  <bookViews>
    <workbookView xWindow="-108" yWindow="-108" windowWidth="23256" windowHeight="12576" activeTab="3" xr2:uid="{00000000-000D-0000-FFFF-FFFF00000000}"/>
  </bookViews>
  <sheets>
    <sheet name="EPC Claims" sheetId="8" r:id="rId1"/>
    <sheet name="REL Claims" sheetId="9" r:id="rId2"/>
    <sheet name="NHAI Claims" sheetId="11" r:id="rId3"/>
    <sheet name="Arbitration Method RK" sheetId="7" r:id="rId4"/>
    <sheet name="Physical Work" sheetId="12" r:id="rId5"/>
  </sheets>
  <calcPr calcId="191029"/>
</workbook>
</file>

<file path=xl/calcChain.xml><?xml version="1.0" encoding="utf-8"?>
<calcChain xmlns="http://schemas.openxmlformats.org/spreadsheetml/2006/main">
  <c r="L13" i="8" l="1"/>
  <c r="L24" i="8"/>
  <c r="L23" i="8"/>
  <c r="L15" i="9"/>
  <c r="L18" i="8"/>
  <c r="B20" i="12"/>
  <c r="B18" i="12"/>
  <c r="B15" i="12"/>
  <c r="L24" i="9" l="1"/>
  <c r="L38" i="9"/>
  <c r="L37" i="9"/>
  <c r="L17" i="8"/>
  <c r="L16" i="8"/>
  <c r="L12" i="8"/>
  <c r="L11" i="8"/>
  <c r="L10" i="8"/>
  <c r="L9" i="8"/>
  <c r="L8" i="8"/>
  <c r="L7" i="8"/>
  <c r="M14" i="11"/>
  <c r="M13" i="11"/>
  <c r="M12" i="11"/>
  <c r="M11" i="11"/>
  <c r="M10" i="11"/>
  <c r="M9" i="11"/>
  <c r="M8" i="11"/>
  <c r="M7" i="11"/>
  <c r="L45" i="9"/>
  <c r="L44" i="9"/>
  <c r="L36" i="9"/>
  <c r="L35" i="9"/>
  <c r="L34" i="9"/>
  <c r="L33" i="9"/>
  <c r="L32" i="9"/>
  <c r="L29" i="9"/>
  <c r="L28" i="9"/>
  <c r="L27" i="9"/>
  <c r="L22" i="9"/>
  <c r="L21" i="9"/>
  <c r="L20" i="9"/>
  <c r="L19" i="9"/>
  <c r="L18" i="9"/>
  <c r="L17" i="9"/>
  <c r="L16" i="9"/>
  <c r="L14" i="9"/>
  <c r="L13" i="9"/>
  <c r="L12" i="9"/>
  <c r="L11" i="9"/>
  <c r="L10" i="9"/>
  <c r="L9" i="9"/>
  <c r="B30" i="7"/>
  <c r="M15" i="11" l="1"/>
  <c r="C9" i="7" s="1"/>
  <c r="L46" i="9"/>
  <c r="C5" i="7" s="1"/>
  <c r="C8" i="7"/>
  <c r="I46" i="9"/>
  <c r="I50" i="9" s="1"/>
  <c r="I17" i="11"/>
  <c r="I14" i="11"/>
  <c r="I11" i="11"/>
  <c r="I10" i="11"/>
  <c r="I9" i="11"/>
  <c r="I8" i="11"/>
  <c r="I30" i="9"/>
  <c r="I24" i="8"/>
  <c r="I13" i="8"/>
  <c r="L23" i="7"/>
  <c r="M23" i="7" s="1"/>
  <c r="L20" i="7"/>
  <c r="M20" i="7" s="1"/>
  <c r="I9" i="7"/>
  <c r="G25" i="7" s="1"/>
  <c r="H23" i="7"/>
  <c r="H20" i="7"/>
  <c r="I20" i="7" s="1"/>
  <c r="J20" i="7" s="1"/>
  <c r="K20" i="7" s="1"/>
  <c r="E5" i="7" l="1"/>
  <c r="M24" i="7"/>
  <c r="L24" i="7"/>
  <c r="C7" i="7"/>
  <c r="G24" i="7"/>
  <c r="I23" i="7"/>
  <c r="C10" i="7" l="1"/>
  <c r="C11" i="7" s="1"/>
  <c r="H24" i="7"/>
  <c r="J23" i="7"/>
  <c r="I24" i="7"/>
  <c r="K23" i="7" l="1"/>
  <c r="K24" i="7" s="1"/>
  <c r="J24" i="7"/>
  <c r="C13" i="7" l="1"/>
  <c r="G21" i="7" s="1"/>
  <c r="L22" i="7" l="1"/>
  <c r="L26" i="7" s="1"/>
  <c r="K22" i="7"/>
  <c r="M22" i="7"/>
  <c r="M26" i="7" s="1"/>
  <c r="C14" i="7" l="1"/>
  <c r="C15" i="7" s="1"/>
  <c r="C16" i="7" s="1"/>
  <c r="I26" i="7"/>
  <c r="H26" i="7" l="1"/>
  <c r="G26" i="7"/>
  <c r="K26" i="7"/>
  <c r="J26" i="7"/>
  <c r="G27" i="7" l="1"/>
  <c r="C18" i="7" s="1"/>
  <c r="B22" i="7" l="1"/>
  <c r="B28" i="7"/>
  <c r="B31" i="7" s="1"/>
</calcChain>
</file>

<file path=xl/sharedStrings.xml><?xml version="1.0" encoding="utf-8"?>
<sst xmlns="http://schemas.openxmlformats.org/spreadsheetml/2006/main" count="219" uniqueCount="186">
  <si>
    <t>Enterprise Value</t>
  </si>
  <si>
    <t>Particulars</t>
  </si>
  <si>
    <t>Amount (In Crs)</t>
  </si>
  <si>
    <t>Remarks</t>
  </si>
  <si>
    <t>Total Available balance.</t>
  </si>
  <si>
    <t>Rolling Nifty CAGR for 10 years</t>
  </si>
  <si>
    <t>https://kunaldesai.blog/nifty-returns/</t>
  </si>
  <si>
    <t xml:space="preserve"> NPV as on date @ 13%</t>
  </si>
  <si>
    <t>As a proxy of Enterprise Value</t>
  </si>
  <si>
    <t>Year</t>
  </si>
  <si>
    <t>Yearly Recovery</t>
  </si>
  <si>
    <t>Discount period</t>
  </si>
  <si>
    <t>Discount Factor</t>
  </si>
  <si>
    <t>Discount Rate</t>
  </si>
  <si>
    <t>Present Value</t>
  </si>
  <si>
    <t>Net Recovery</t>
  </si>
  <si>
    <t>Net Present Value (NPV)</t>
  </si>
  <si>
    <t xml:space="preserve">S. No. </t>
  </si>
  <si>
    <t>Description</t>
  </si>
  <si>
    <t>Total Claim Amount</t>
  </si>
  <si>
    <t>Less: Claims filed by EPC against the company (D)</t>
  </si>
  <si>
    <t>No. of Years</t>
  </si>
  <si>
    <t>Less: Award received so far out of (A) above (B)</t>
  </si>
  <si>
    <t>Total Claim filed by the Company (A)</t>
  </si>
  <si>
    <t>Company Risk Premium</t>
  </si>
  <si>
    <t>Appropriate Discount Rate</t>
  </si>
  <si>
    <t>NPV(As a proxy of Enterprise Value)</t>
  </si>
  <si>
    <t>Expected Realization out of F  (G)</t>
  </si>
  <si>
    <t>Total Award Claimed (C) =(A-B)</t>
  </si>
  <si>
    <t>Less: Counter claims by NHAI against the company ('E)</t>
  </si>
  <si>
    <t>It is assumed that this will take around 7 years to get realized.</t>
  </si>
  <si>
    <t>Ranchi Expressways Limited</t>
  </si>
  <si>
    <t>Compensation for delay in handing over of land as per clause 10.3.4 of the Agreement</t>
  </si>
  <si>
    <t>Compensation for Idling of Manpower due to Non Availability of Land</t>
  </si>
  <si>
    <t>Compensation for Idling of Machinery due to Non Availability of Land</t>
  </si>
  <si>
    <t>Reimbursement of Additional cost of Maintenance works carried out</t>
  </si>
  <si>
    <t>Termination payments as per clause 37 of the contract</t>
  </si>
  <si>
    <t>Loss of overheads on the works which could not be commenced</t>
  </si>
  <si>
    <t>Losses incurred due to Bank Guarantees</t>
  </si>
  <si>
    <t>Return of Bank Guarantee</t>
  </si>
  <si>
    <t>BG Commission charges</t>
  </si>
  <si>
    <t>Loss of Business Oppurtunities due to Non Release of Bank Guarantee</t>
  </si>
  <si>
    <t>Compensation due to Change in Law under " Force Majeure" clause -- of the Agreement</t>
  </si>
  <si>
    <t>Expenditure for additional works to the EPC contract</t>
  </si>
  <si>
    <t xml:space="preserve">Presuite, Pendente Lite and Future interest </t>
  </si>
  <si>
    <t>Presuite Interest from date of preclosure to date of formation of AT</t>
  </si>
  <si>
    <t xml:space="preserve">Pendente lite interest from formation of AT to Date of Award </t>
  </si>
  <si>
    <t xml:space="preserve"> Future interest</t>
  </si>
  <si>
    <t>Cost of Arbitration Proceedings</t>
  </si>
  <si>
    <t>a)</t>
  </si>
  <si>
    <t>b)</t>
  </si>
  <si>
    <t>c)</t>
  </si>
  <si>
    <t>To be assessed later</t>
  </si>
  <si>
    <t>EPC Contractor claims on REL</t>
  </si>
  <si>
    <t>REL claims against NHAI</t>
  </si>
  <si>
    <t>A</t>
  </si>
  <si>
    <t xml:space="preserve">Payment of the Amount of Expenditure incurred for the execution of the Works </t>
  </si>
  <si>
    <t>Payment towards the value of work done.</t>
  </si>
  <si>
    <t>Payment of amount expended on the works of stone pitching.</t>
  </si>
  <si>
    <t>Payment of amount expended on the works of Median Plantation and filling.</t>
  </si>
  <si>
    <t>Payment of amount spent on Scarification/Dismantling of existing Pavement.</t>
  </si>
  <si>
    <t>Refund of amount expended on the maintenance of the existing road.</t>
  </si>
  <si>
    <t xml:space="preserve">Refund of amount expended on the work for construction of temporary diversion roads. </t>
  </si>
  <si>
    <t>Refund of amount expended on the work done towards removal of slush and dewatering.</t>
  </si>
  <si>
    <t>Refund of amount expended on the works of Pond filling.</t>
  </si>
  <si>
    <t>Refund of amount expended on Preparation and Implementation of the environmental plan.</t>
  </si>
  <si>
    <t>Refund of amount expended on the works of Back Filling in the areas where Stumps were removed.</t>
  </si>
  <si>
    <t>Refund of amount expended towards Design of works under Change of Scope viz EUPs and redesign of PUPs, VUPs ROBs, etc.</t>
  </si>
  <si>
    <t>Refund of amount expended on Tree Cutting (balance payments).</t>
  </si>
  <si>
    <t>Refund of Retention Money withheld towards utility shifting.</t>
  </si>
  <si>
    <t>Refund of amount expended on the works of Dismantling of Structures and Removal &amp; Relocation of Temples.</t>
  </si>
  <si>
    <t>Refund of amount spent on Installation of Emergency Sign Boards (1033 nos.) on specific instructions of Authority.</t>
  </si>
  <si>
    <r>
      <t>Refund of amount expended towards payment of Independent Engineer’s fee.</t>
    </r>
    <r>
      <rPr>
        <b/>
        <sz val="12"/>
        <color theme="1"/>
        <rFont val="Bookman Old Style"/>
        <family val="1"/>
      </rPr>
      <t xml:space="preserve"> </t>
    </r>
  </si>
  <si>
    <t>Refund of amount expended towards payment of Lender’s Independent Engineer’s fees.</t>
  </si>
  <si>
    <t>Refund of amount expended on bank charges.</t>
  </si>
  <si>
    <t xml:space="preserve"> Refund of amount expended on Insurance Premium (CAR policy etc.)</t>
  </si>
  <si>
    <t xml:space="preserve"> Refund of amount incurred on OH &amp; Running expenditure.</t>
  </si>
  <si>
    <t xml:space="preserve">Refund of BG amount encashed. </t>
  </si>
  <si>
    <t xml:space="preserve">Refund of amount expended towards Financial Charges. </t>
  </si>
  <si>
    <t>Sub Total (A)</t>
  </si>
  <si>
    <t>B</t>
  </si>
  <si>
    <t>Concessionaire’s Losses</t>
  </si>
  <si>
    <t>Interest amount on non-refund of BG.</t>
  </si>
  <si>
    <t xml:space="preserve">Refund of interest on BG Encashed amount. </t>
  </si>
  <si>
    <t>Compensation payable due to delay in handing over of land.</t>
  </si>
  <si>
    <t>Refund of the extra expenditure incurred due to Change in law (viz. Goods and Services Tax)</t>
  </si>
  <si>
    <t>Extra expenditure due to escalation of cost of work.</t>
  </si>
  <si>
    <t>Loss incurred on Idling of Machinery due to prolongation of project.</t>
  </si>
  <si>
    <t>Loss of Overheads due to prolongation of the Project.</t>
  </si>
  <si>
    <t>Loss of Return on Investment (Equity /Unsecured loan infused in the project) for the period since SCOD upto 30.01.2019.</t>
  </si>
  <si>
    <t>Loss of Return on Investment (Equity /Unsecured loan infused in the project) for the period since 31.01.2019 to End of the Concession Period.</t>
  </si>
  <si>
    <t>Claim on Loss of OH &amp; Profit on balance value of work due to illegal termination.</t>
  </si>
  <si>
    <t xml:space="preserve">Claim for amount of Revenue loss (loss of Annuity)      </t>
  </si>
  <si>
    <t xml:space="preserve">Loss of investment on plant and machinery equipment due to idling </t>
  </si>
  <si>
    <t>Refund of Amount Deducted as Interest During Construction (IDC).</t>
  </si>
  <si>
    <t>Refund of interest amount incurred on unsecured loan infused in the project</t>
  </si>
  <si>
    <t>Sub Total (B)</t>
  </si>
  <si>
    <t>Pre-suit interest on all Claims.</t>
  </si>
  <si>
    <t>Pendent lite &amp; future interest on all claims.</t>
  </si>
  <si>
    <t>Cost of Arbitration and litigation.</t>
  </si>
  <si>
    <t>To be ascertained after conclusion of proceedings.</t>
  </si>
  <si>
    <t>NHAI counter claims against REL</t>
  </si>
  <si>
    <t>Loss of toll revenue suffered by NHAI due to non complation of the Project in Schdule time</t>
  </si>
  <si>
    <t>Liquidated damages for non achivement of project Mile stone upto 29.01.2019</t>
  </si>
  <si>
    <t>Non payment of Independent Engineer fee</t>
  </si>
  <si>
    <t>Non maintainance of Highway</t>
  </si>
  <si>
    <t>Excess payment on account of tree cutting</t>
  </si>
  <si>
    <t>Value of work having non confirmation report</t>
  </si>
  <si>
    <t>Account of due for shifting and laying of pipeline</t>
  </si>
  <si>
    <t>On account of completion of balance works</t>
  </si>
  <si>
    <t>18% interest on awarded amount</t>
  </si>
  <si>
    <t>Cost of Arbitration proceedings</t>
  </si>
  <si>
    <t>Actual</t>
  </si>
  <si>
    <t>Nifty 50 10-year return</t>
  </si>
  <si>
    <t>%</t>
  </si>
  <si>
    <t>Net Claim Realization available for lenders (G-H)</t>
  </si>
  <si>
    <t>Debt Due: Outstanding Liability</t>
  </si>
  <si>
    <t xml:space="preserve">Performance Security </t>
  </si>
  <si>
    <t>Overhead expenses are what it costs to run the business, including rent, insurance, and utilities.</t>
  </si>
  <si>
    <t xml:space="preserve"> -</t>
  </si>
  <si>
    <t>These are expenses for the services availed from the bank.</t>
  </si>
  <si>
    <t xml:space="preserve">Finance charge is a fee charged for the use of credit or the extension of existing credit. </t>
  </si>
  <si>
    <t>As per article 35, compensation shall not include loss of annuity or debt repayment obligations or other consequentional losses. Hence we have not considered this amount of claim.</t>
  </si>
  <si>
    <t>As per CA article 10 clause no. 10.3.1 and 10.3.2, 80% ROW was not acquired by NHAI on the appointed date. 80% ROW is not available even as on date. As per Article 4 of the concession agreement there are certain condition precedent about ROW are required to be fulfilled by NHAI. Hence, NHAI is in default as per the terms of the clause 4.1.2 condition precedent of the CA. Hence we have not considered this claim.</t>
  </si>
  <si>
    <t xml:space="preserve">Balance work of the project highway will be given to some other company, as the current concession agreement has been terminated. Hence, NHAI cannot apply for the claim on account of completion of balance work. </t>
  </si>
  <si>
    <t xml:space="preserve">This claim comes under Article 17.1 of CA. During the construction period, concessionaire has to maintain the project highway by itself. The construction of the highway was scheduled to be completed within a period of 912 days (2 n 1/2 Years) and the concessionaire was expected to maintain the existing road for a period of not more than 1 year. However, even after a lapse of more than 5 years and 5 months the disjointed streach of 128.87 Km (78.87% ROW) only out of the total lenght of 163.5 Km could be made available by the NHAI, with the result that the concessionaire had to maintain the existing road for more than 5 years. Hence, due to shortage of funds, concessionaire was not able to maintain the project highway after 5 years. Here we have considered 20% discount in the claim amount due to non-compliance of article 17 and article 5.1.1 by the concessionaire. </t>
  </si>
  <si>
    <t>These are the expenses for the services availed from the bank by REL. As we don't have any bifurcation and proof rerarding the bank charges claimed by REL, Thereforewe cannot consider this amount.</t>
  </si>
  <si>
    <t xml:space="preserve">The Project suffered adversely due to delay in statutory clearance such as environmental, forest etc, delay in grant of mining permission for Stone Quarries, borrow areas for soil, entirely beyond the control of REL.  </t>
  </si>
  <si>
    <t>NHAI did not declare the appointment date as the Forest/Wild Life/Environmental Clearances for the entire project highway were not available. Also in the reply to termination letter by REL, it is mentioned that Hon’ble High Court of Jharkhand order dated 07.01.2019, which was pointed out that even as on date the entire ROW is not available and also the Environmental/Wild Life Clearance are not available.</t>
  </si>
  <si>
    <t xml:space="preserve">As per Article 4 of the concession agreement there are certain condition precedent required to be fulfilled by NHAI. The minimum Right of way i.e. 80% of the total Right Of Way (ROW), which was acquired for construction of the highway as per Article 10.3.1 and 10.3.2 had not been acquired by the NHAI. Similarly, the 100% land required to be handed over within 90 days of the Appointment date as per clause 10.3.4 of CA, which is not available even as on date. Hence, NHAI is also in default as per the terms of the clause 4.1.2 condition precedent of the CA. Therefore NHAI can not claim benefit out of its own failure. </t>
  </si>
  <si>
    <t xml:space="preserve">As per article 5 of CA the concessionary was obliged to complete the project with in the stipulated time and also obliged to perform various obligations inter-alia pertaining to construction, maintenance, operation and development of the project highway. </t>
  </si>
  <si>
    <t>Concessionaire outsource the wrok to EPC contractor. Hence most of the maintenance work was done by the the contractor. Therefore we have given a discount of 25% to this claim.</t>
  </si>
  <si>
    <t>As per CA this claim comes under article 35, which says that compensation shall not include loss of annuity or debt repayment obligations or other consequentional losses. Hence we have not considered this amount of claim.</t>
  </si>
  <si>
    <t>The EPC contractor coordinates all design, procurement and construction work and ensures that the whole project is completed as required and in time. But due to prolongation of the Project and non availability of lands and Forest/Wild Life/Environmental Clearances for the entire project highway, EPC contractor failed to achieve the required progress in undertaking the construction of the project highway on time and additional cost of work arises. Here we have considered 25% discount in the claim amount due to various material breach and non-compliance of CA.</t>
  </si>
  <si>
    <t>Physical Progress of Work</t>
  </si>
  <si>
    <t>S.No</t>
  </si>
  <si>
    <t>Dates</t>
  </si>
  <si>
    <t>Land Available (Km)</t>
  </si>
  <si>
    <t>Handing over of ROW by NHAI (In %)</t>
  </si>
  <si>
    <t>Physical Work Completed by REL (In %)</t>
  </si>
  <si>
    <t>04.12.2012
(Appointed Date)</t>
  </si>
  <si>
    <t>04.03.2013</t>
  </si>
  <si>
    <t>02.06.2013</t>
  </si>
  <si>
    <t>29.11.2013</t>
  </si>
  <si>
    <t>17.05.2016</t>
  </si>
  <si>
    <t>11.02.2017</t>
  </si>
  <si>
    <t>15.02.2018</t>
  </si>
  <si>
    <t>In  Crs</t>
  </si>
  <si>
    <t xml:space="preserve">Annuity </t>
  </si>
  <si>
    <t xml:space="preserve">Average Daily Annuity </t>
  </si>
  <si>
    <t>No. of days</t>
  </si>
  <si>
    <t>Total Expenses</t>
  </si>
  <si>
    <t xml:space="preserve">In the meeting held between REL, Lenders and NHAI dated 16.11.2022, as per the Independant Engineer assessment it is certified, that the value of  Independent Engineer’s fee is 14.20 Crs. </t>
  </si>
  <si>
    <t xml:space="preserve">In the meeting held between REL, Lenders and NHAI dated 16.11.2022, as per the Independant Engineer assessment it is certified, that the value of Lendere's Independent Engineer’s fee is 1.13 Crs. </t>
  </si>
  <si>
    <t>In the meeting held between REL, Lenders and NHAI dated 16.11.2022, as per the Independant Engineer assessment it is certified, that the value of financial expenses as Rs. 4.84 Crs. As per CA this claim comes under Article 38.6.</t>
  </si>
  <si>
    <t>In the meeting held between REL, Lenders and NHAI dated 16.11.2022, as per the Independant Engineer assessment it is certified, that the value of work done by REL is 458.20 Crs. As per Article 35 for compensation for breach of agreement of CA all the construction / Direct costs involved while working on the project highway will be paid by NHAI to the contractor, therefore it has been considered accordingly.</t>
  </si>
  <si>
    <t>As per Schedule (G) Project completion Schedule of the concession agreement, concessionaire had to achieve Milestone-II on the date falling on the 365th day from the appointment date. For the achievement of Milestone II, the work on all the structures has to commence, which is not possible as on date, as in some cases/structures either the land over which the structure is to come up is not available or the drawing for these structures have not been finalized/approved by the NHAI. Hence Milestone II could not have been achieved. Therefore, we have considered 50% discount on this claim due non compliance of CA.</t>
  </si>
  <si>
    <t>As per Article 4 of the concession agreement there are certain condition precedent required to be fulfilled by NHAI. The 100% land required to be handed over within 90 days of the Appointment date as per clause 10.3.4 of CA, which is not available even as on date. Hence, NHAI is in default as per the terms of the clause 4.1.2 condition precedent of the CA. Therefore EPC contractor's work got delayed and accordingly they have filed this claim. The value of this claim has been provided by REL. As we do not possess any documentary evidence or calculation for this claim, it is possible that upon reassessment by authority, its value may turn out to be lower than the initially provided amount. Therefore, we have applied a 20% discount to account for this uncertainty.</t>
  </si>
  <si>
    <t>As per CA this claim comes under Article 35 and therefore it has been considered accordingly. The value of this claim has been provided by REL. As we do not possess any documentary evidence or calculation for this claim, it is possible that upon reassessment by authority, its value may turn out to be lower than the initially provided amount. Therefore, we have applied a 20% discount to account for this uncertainty.</t>
  </si>
  <si>
    <t>As per Article 5 of CA the concessionary was obliged to perform various obligations inter-alia pertaining to construction, maintenance, operation and development of the project highway. In the same way, EPC contractor coordinates all design, procurement and construction work and ensures that the whole project is completed as required and in time. But due to lack of funds and due to non availability of lands and Forest/Wild Life/Environmental Clearances for the entire project highway, concessionaire and EPC contractor failed to achieve the required progress in undertaking the construction of the project highway on time and additional cost of maintenance work arises.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25% discount to the claim amount.
Here we have considered 25% discount in the claim amount due to non-compliance of article 5.1.1.</t>
  </si>
  <si>
    <t>As per CA this claim comes under Article 10.2 and 10.3.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</si>
  <si>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10.3 Procurement of site.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</si>
  <si>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Schedule K article 17.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</si>
  <si>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10.2.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</si>
  <si>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16.1 Change of Scope.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</si>
  <si>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11.4.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</si>
  <si>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11.1 of CA.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</si>
  <si>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32.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</si>
  <si>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11 and 32.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</si>
  <si>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9.1 of CA Performance security.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</si>
  <si>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9.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</si>
  <si>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35.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</si>
  <si>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41.1.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</si>
  <si>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9.1 of CA Performance security. And therefore it has been considered accordingly.</t>
  </si>
  <si>
    <t>As per CA this claim comes under article 35.2.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</si>
  <si>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37.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</si>
  <si>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34.4 and 41.1. As we do not possess any documentary evidence or calculation for this claim, it is possible that upon reassessment by authority, its value may turn out to be lower than the initially provided amount. Therefore, we have applied a 20% discount to account for this uncertainty. And therefore it has been considered accordingly.</t>
  </si>
  <si>
    <t>As per CA this claim comes under Article 23.3.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20% discount to the claim amount.</t>
  </si>
  <si>
    <t>As per CA this claim comes under Article 17.9.1.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20% discount to the claim amount.</t>
  </si>
  <si>
    <t>As per CA this claim comes under Article 11.4.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20% discount to the claim amount.</t>
  </si>
  <si>
    <t>As per CA this claim comes under Article 13.1 for monthly progress report.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20% discount to the claim amount.</t>
  </si>
  <si>
    <t>As per CA this claim comes under Article 11.1. There is a lack of supporting documentary evidence or detailed calculations for this claim.
To address the uncertainty surrounding the claim's value, there is a recognition that the reassessment process might reveal a lower value than the initially provided claim amount. This recognition of potential variability or discrepancy prompts the decision to apply a 20% discount to the claim amount.</t>
  </si>
  <si>
    <t>Total Amount Claimed (F) =(C-D-E)</t>
  </si>
  <si>
    <t>Amount Provided by REL (In  Rs.)</t>
  </si>
  <si>
    <t>Amount after Assessment (In  Rs.)</t>
  </si>
  <si>
    <t>Due to lack any documentary evidence to support the claim amount, and according to the Concession Agreement (CA), there is no available information or means to ascertain the validity of this claim. Therefore, we have chosen not to include or consider this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</si>
</sst>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_ * #,##0_ ;_ * \-#,##0_ ;_ * &quot;-&quot;??_ ;_ @_ "/>
  </numFmts>
  <fonts count="1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1"/>
      <color theme="1"/>
      <name val="Calibri"/>
      <family val="2"/>
    </font>
    <font>
      <sz val="11"/>
      <color theme="1"/>
      <name val="Calibri"/>
      <family val="2"/>
    </font>
    <font>
      <b/>
      <sz val="11"/>
      <color theme="0"/>
      <name val="Calibri"/>
      <family val="2"/>
    </font>
    <font>
      <u/>
      <sz val="11"/>
      <color theme="10"/>
      <name val="Calibri"/>
      <family val="2"/>
      <scheme val="minor"/>
    </font>
    <font>
      <sz val="12"/>
      <color theme="1"/>
      <name val="Calibri"/>
      <family val="2"/>
      <scheme val="minor"/>
    </font>
    <font>
      <b/>
      <sz val="12"/>
      <color theme="1"/>
      <name val="Bookman Old Style"/>
      <family val="1"/>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9" tint="-0.249977111117893"/>
        <bgColor indexed="64"/>
      </patternFill>
    </fill>
    <fill>
      <patternFill patternType="solid">
        <fgColor rgb="FF002060"/>
        <bgColor indexed="64"/>
      </patternFill>
    </fill>
    <fill>
      <patternFill patternType="solid">
        <fgColor rgb="FF8EAADB"/>
        <bgColor indexed="64"/>
      </patternFill>
    </fill>
    <fill>
      <patternFill patternType="solid">
        <fgColor rgb="FFFFC0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2" fillId="0" borderId="0" applyFon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cellStyleXfs>
  <cellXfs count="116">
    <xf numFmtId="0" fontId="0" fillId="0" borderId="0" xfId="0"/>
    <xf numFmtId="0" fontId="0" fillId="3" borderId="0" xfId="0" applyFill="1"/>
    <xf numFmtId="0" fontId="4" fillId="3" borderId="0" xfId="0" applyFont="1" applyFill="1"/>
    <xf numFmtId="0" fontId="3" fillId="3" borderId="0" xfId="0" applyFont="1" applyFill="1"/>
    <xf numFmtId="0" fontId="3" fillId="3" borderId="0" xfId="0" applyFont="1" applyFill="1" applyAlignment="1">
      <alignment vertical="center"/>
    </xf>
    <xf numFmtId="0" fontId="1" fillId="0" borderId="0" xfId="0" applyFont="1"/>
    <xf numFmtId="0" fontId="0" fillId="0" borderId="0" xfId="0" applyAlignment="1">
      <alignment horizontal="center"/>
    </xf>
    <xf numFmtId="2" fontId="0" fillId="0" borderId="0" xfId="0" applyNumberFormat="1" applyAlignment="1">
      <alignment horizontal="center" vertical="center"/>
    </xf>
    <xf numFmtId="2" fontId="0" fillId="0" borderId="0" xfId="0" applyNumberFormat="1" applyAlignment="1">
      <alignment horizontal="center"/>
    </xf>
    <xf numFmtId="0" fontId="3" fillId="3" borderId="0" xfId="0" applyFont="1" applyFill="1" applyAlignment="1">
      <alignment horizontal="center" vertical="center"/>
    </xf>
    <xf numFmtId="0" fontId="0" fillId="0" borderId="1" xfId="0" applyBorder="1"/>
    <xf numFmtId="0" fontId="3" fillId="3" borderId="1" xfId="0" applyFont="1" applyFill="1" applyBorder="1" applyAlignment="1">
      <alignment horizontal="center" vertical="center"/>
    </xf>
    <xf numFmtId="9" fontId="0" fillId="0" borderId="0" xfId="0" applyNumberFormat="1"/>
    <xf numFmtId="0" fontId="0" fillId="0" borderId="1" xfId="0" applyBorder="1" applyAlignment="1">
      <alignment horizontal="center" vertical="center"/>
    </xf>
    <xf numFmtId="0" fontId="7" fillId="0" borderId="0" xfId="0" applyFont="1" applyAlignment="1">
      <alignment vertical="center" wrapText="1"/>
    </xf>
    <xf numFmtId="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4" borderId="0" xfId="0" applyFont="1" applyFill="1" applyAlignment="1">
      <alignment vertical="center" wrapText="1"/>
    </xf>
    <xf numFmtId="4" fontId="6" fillId="4" borderId="0" xfId="0" applyNumberFormat="1" applyFont="1" applyFill="1" applyAlignment="1">
      <alignment horizontal="center" vertical="center" wrapText="1"/>
    </xf>
    <xf numFmtId="0" fontId="5" fillId="5" borderId="0" xfId="0" applyFont="1" applyFill="1" applyAlignment="1">
      <alignment horizontal="center"/>
    </xf>
    <xf numFmtId="0" fontId="8" fillId="3" borderId="0" xfId="0" applyFont="1" applyFill="1" applyAlignment="1">
      <alignment horizontal="center" vertical="center" wrapText="1"/>
    </xf>
    <xf numFmtId="0" fontId="9" fillId="0" borderId="0" xfId="2"/>
    <xf numFmtId="1" fontId="6" fillId="4" borderId="0" xfId="0" applyNumberFormat="1" applyFont="1" applyFill="1" applyAlignment="1">
      <alignment horizontal="center" vertical="center" wrapText="1"/>
    </xf>
    <xf numFmtId="9" fontId="0" fillId="0" borderId="0" xfId="0" applyNumberFormat="1" applyAlignment="1">
      <alignment horizontal="center" vertical="center"/>
    </xf>
    <xf numFmtId="1" fontId="3" fillId="3" borderId="0" xfId="0" applyNumberFormat="1" applyFont="1" applyFill="1" applyAlignment="1">
      <alignment horizontal="center" vertical="center"/>
    </xf>
    <xf numFmtId="9" fontId="7" fillId="0" borderId="0" xfId="0" applyNumberFormat="1" applyFont="1" applyAlignment="1">
      <alignment horizontal="center" vertical="center" wrapText="1"/>
    </xf>
    <xf numFmtId="9" fontId="7" fillId="0" borderId="0" xfId="1" applyFont="1" applyBorder="1" applyAlignment="1">
      <alignment horizontal="center" vertical="center" wrapText="1"/>
    </xf>
    <xf numFmtId="0" fontId="3" fillId="3"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ill="1" applyAlignment="1">
      <alignment vertical="center"/>
    </xf>
    <xf numFmtId="164" fontId="0" fillId="0" borderId="0" xfId="0" applyNumberFormat="1" applyAlignment="1">
      <alignment horizontal="center"/>
    </xf>
    <xf numFmtId="10" fontId="0" fillId="0" borderId="0" xfId="0" applyNumberFormat="1" applyAlignment="1">
      <alignment horizontal="center"/>
    </xf>
    <xf numFmtId="0" fontId="3" fillId="3" borderId="0" xfId="0" applyFont="1" applyFill="1" applyAlignment="1">
      <alignment vertical="center" wrapText="1"/>
    </xf>
    <xf numFmtId="2" fontId="3" fillId="3" borderId="0" xfId="0" applyNumberFormat="1" applyFont="1" applyFill="1" applyAlignment="1">
      <alignment horizontal="center" vertical="center"/>
    </xf>
    <xf numFmtId="0" fontId="3" fillId="3" borderId="0" xfId="0" applyFont="1" applyFill="1" applyAlignment="1">
      <alignment horizontal="left" vertical="center"/>
    </xf>
    <xf numFmtId="0" fontId="0" fillId="0" borderId="0" xfId="0" applyAlignment="1">
      <alignment vertical="center"/>
    </xf>
    <xf numFmtId="10" fontId="0" fillId="0" borderId="0" xfId="0" applyNumberFormat="1" applyAlignment="1">
      <alignment horizontal="center" vertical="center"/>
    </xf>
    <xf numFmtId="10" fontId="1" fillId="6" borderId="0" xfId="0" applyNumberFormat="1" applyFont="1" applyFill="1" applyAlignment="1">
      <alignment horizontal="center" vertical="center"/>
    </xf>
    <xf numFmtId="10" fontId="10" fillId="0" borderId="0" xfId="0" applyNumberFormat="1" applyFont="1" applyAlignment="1">
      <alignment horizontal="center" vertical="center"/>
    </xf>
    <xf numFmtId="43" fontId="0" fillId="0" borderId="1" xfId="0" applyNumberFormat="1" applyBorder="1" applyAlignment="1">
      <alignment horizontal="center"/>
    </xf>
    <xf numFmtId="43" fontId="0" fillId="0" borderId="1" xfId="0" applyNumberFormat="1" applyBorder="1" applyAlignment="1">
      <alignment horizontal="center" vertical="center"/>
    </xf>
    <xf numFmtId="43" fontId="1" fillId="6" borderId="1" xfId="0" applyNumberFormat="1" applyFont="1" applyFill="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wrapText="1"/>
    </xf>
    <xf numFmtId="0" fontId="3" fillId="3" borderId="0" xfId="0" applyFont="1" applyFill="1" applyAlignment="1">
      <alignment horizontal="left"/>
    </xf>
    <xf numFmtId="0" fontId="0" fillId="0" borderId="0" xfId="0" applyAlignment="1">
      <alignment horizontal="left"/>
    </xf>
    <xf numFmtId="0" fontId="7" fillId="0" borderId="0" xfId="0" applyFont="1" applyAlignment="1">
      <alignment horizontal="left" wrapText="1"/>
    </xf>
    <xf numFmtId="0" fontId="6" fillId="4" borderId="0" xfId="0" applyFont="1" applyFill="1" applyAlignment="1">
      <alignment horizontal="left" wrapText="1"/>
    </xf>
    <xf numFmtId="0" fontId="0" fillId="0" borderId="1" xfId="0" applyBorder="1" applyAlignment="1">
      <alignment horizontal="center"/>
    </xf>
    <xf numFmtId="0" fontId="1" fillId="0" borderId="1" xfId="0" applyFont="1" applyBorder="1" applyAlignment="1">
      <alignment horizontal="center" vertical="center"/>
    </xf>
    <xf numFmtId="3" fontId="0" fillId="0" borderId="1" xfId="0" applyNumberFormat="1" applyBorder="1" applyAlignment="1">
      <alignment horizontal="center" vertical="center"/>
    </xf>
    <xf numFmtId="43" fontId="0" fillId="0" borderId="1" xfId="0" applyNumberFormat="1" applyBorder="1" applyAlignment="1">
      <alignment horizontal="left" vertical="top" wrapText="1"/>
    </xf>
    <xf numFmtId="165" fontId="2" fillId="0" borderId="1" xfId="3"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6" borderId="1" xfId="0" applyNumberFormat="1" applyFont="1" applyFill="1" applyBorder="1" applyAlignment="1">
      <alignment horizontal="center" vertical="center"/>
    </xf>
    <xf numFmtId="0" fontId="8" fillId="3" borderId="0" xfId="0" applyFont="1" applyFill="1" applyAlignment="1">
      <alignment horizontal="right" vertical="center" wrapText="1"/>
    </xf>
    <xf numFmtId="0" fontId="0" fillId="0" borderId="0" xfId="0" applyAlignment="1">
      <alignment wrapText="1"/>
    </xf>
    <xf numFmtId="165" fontId="12" fillId="0" borderId="1" xfId="3" applyNumberFormat="1" applyFont="1" applyBorder="1" applyAlignment="1">
      <alignment horizontal="center" vertical="center"/>
    </xf>
    <xf numFmtId="3" fontId="0" fillId="0" borderId="0" xfId="0" applyNumberFormat="1"/>
    <xf numFmtId="0" fontId="0" fillId="0" borderId="1" xfId="0" applyBorder="1" applyAlignment="1">
      <alignment wrapText="1"/>
    </xf>
    <xf numFmtId="0" fontId="0" fillId="0" borderId="1" xfId="0" applyBorder="1" applyAlignment="1">
      <alignment horizontal="left" vertical="top" wrapText="1"/>
    </xf>
    <xf numFmtId="0" fontId="3" fillId="2" borderId="0" xfId="0" applyFont="1" applyFill="1" applyAlignment="1">
      <alignment vertical="center" wrapText="1"/>
    </xf>
    <xf numFmtId="0" fontId="0" fillId="3" borderId="0" xfId="0" applyFill="1" applyAlignment="1">
      <alignment wrapText="1"/>
    </xf>
    <xf numFmtId="0" fontId="3" fillId="3" borderId="1" xfId="0" applyFont="1" applyFill="1" applyBorder="1" applyAlignment="1">
      <alignment horizontal="center" vertical="center" wrapText="1"/>
    </xf>
    <xf numFmtId="0" fontId="0" fillId="0" borderId="5" xfId="0" applyBorder="1" applyAlignment="1">
      <alignment vertical="top" wrapText="1"/>
    </xf>
    <xf numFmtId="0" fontId="0" fillId="0" borderId="1" xfId="0" applyBorder="1" applyAlignment="1">
      <alignment horizontal="center" wrapText="1"/>
    </xf>
    <xf numFmtId="14" fontId="0" fillId="0" borderId="1" xfId="0" applyNumberFormat="1" applyBorder="1" applyAlignment="1">
      <alignment horizontal="center"/>
    </xf>
    <xf numFmtId="0" fontId="0" fillId="0" borderId="0" xfId="0" applyAlignment="1">
      <alignment horizontal="right"/>
    </xf>
    <xf numFmtId="0" fontId="0" fillId="0" borderId="1" xfId="0" applyBorder="1" applyAlignment="1">
      <alignment horizontal="left" wrapText="1"/>
    </xf>
    <xf numFmtId="0" fontId="3" fillId="2" borderId="0" xfId="0" applyFont="1" applyFill="1" applyAlignment="1">
      <alignment vertical="center"/>
    </xf>
    <xf numFmtId="165" fontId="0" fillId="0" borderId="1" xfId="0" applyNumberFormat="1" applyBorder="1"/>
    <xf numFmtId="0" fontId="0" fillId="0" borderId="5" xfId="0" applyBorder="1" applyAlignment="1">
      <alignment horizontal="left" wrapText="1"/>
    </xf>
    <xf numFmtId="165" fontId="2" fillId="0" borderId="5" xfId="3" applyNumberFormat="1" applyFont="1" applyBorder="1" applyAlignment="1">
      <alignment horizontal="center" vertical="center"/>
    </xf>
    <xf numFmtId="3" fontId="1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3" borderId="1" xfId="0" applyFont="1" applyFill="1" applyBorder="1" applyAlignment="1">
      <alignment horizontal="center" vertical="center"/>
    </xf>
    <xf numFmtId="0" fontId="3" fillId="2" borderId="0" xfId="0" applyFont="1" applyFill="1" applyAlignment="1">
      <alignment horizontal="left" vertical="center"/>
    </xf>
    <xf numFmtId="0" fontId="0" fillId="0" borderId="1" xfId="0" applyBorder="1" applyAlignment="1">
      <alignment horizontal="left" vertical="center" wrapText="1"/>
    </xf>
    <xf numFmtId="0" fontId="1" fillId="6" borderId="1" xfId="0" applyFon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65" fontId="2" fillId="0" borderId="5" xfId="3" applyNumberFormat="1" applyFont="1" applyBorder="1" applyAlignment="1">
      <alignment horizontal="center" vertical="center"/>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3" borderId="0" xfId="0" applyFont="1" applyFill="1" applyAlignment="1">
      <alignment horizontal="center" vertical="center" wrapText="1"/>
    </xf>
    <xf numFmtId="0" fontId="0" fillId="0" borderId="0" xfId="0" applyAlignment="1">
      <alignment horizontal="left" vertical="center"/>
    </xf>
    <xf numFmtId="0" fontId="1" fillId="6" borderId="0" xfId="0" applyFont="1" applyFill="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3" fontId="12" fillId="0" borderId="1" xfId="0" applyNumberFormat="1" applyFont="1" applyBorder="1" applyAlignment="1">
      <alignment horizontal="center" vertical="center" wrapText="1"/>
    </xf>
    <xf numFmtId="9" fontId="0" fillId="0" borderId="0" xfId="0" applyNumberFormat="1" applyAlignment="1">
      <alignment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65" fontId="13" fillId="0" borderId="1" xfId="3" applyNumberFormat="1" applyFont="1" applyBorder="1" applyAlignment="1">
      <alignment horizontal="center" vertical="center"/>
    </xf>
    <xf numFmtId="0" fontId="3" fillId="3" borderId="1" xfId="0" applyFont="1" applyFill="1" applyBorder="1" applyAlignment="1">
      <alignment horizontal="left" vertical="center" wrapText="1"/>
    </xf>
    <xf numFmtId="3" fontId="0" fillId="0" borderId="1" xfId="0" applyNumberFormat="1" applyBorder="1" applyAlignment="1">
      <alignment vertical="center"/>
    </xf>
    <xf numFmtId="3" fontId="12" fillId="0" borderId="1" xfId="0" applyNumberFormat="1" applyFont="1" applyBorder="1" applyAlignment="1">
      <alignment vertical="center"/>
    </xf>
    <xf numFmtId="165" fontId="1" fillId="6" borderId="1" xfId="0" applyNumberFormat="1" applyFont="1" applyFill="1" applyBorder="1" applyAlignment="1">
      <alignment horizontal="center" vertical="center"/>
    </xf>
  </cellXfs>
  <cellStyles count="4">
    <cellStyle name="Comma" xfId="3" builtinId="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unaldesai.blog/nifty-retur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49E0-777A-44C2-A062-2A6A2658F2A6}">
  <dimension ref="B2:O24"/>
  <sheetViews>
    <sheetView showGridLines="0" topLeftCell="A22" workbookViewId="0">
      <selection activeCell="L24" sqref="L24"/>
    </sheetView>
  </sheetViews>
  <sheetFormatPr defaultRowHeight="14.4" x14ac:dyDescent="0.3"/>
  <cols>
    <col min="1" max="1" width="4.44140625" customWidth="1"/>
    <col min="8" max="8" width="15.5546875" customWidth="1"/>
    <col min="9" max="9" width="18.5546875" bestFit="1" customWidth="1"/>
    <col min="10" max="10" width="54.21875" customWidth="1"/>
    <col min="11" max="11" width="8.88671875" hidden="1" customWidth="1"/>
    <col min="12" max="12" width="16.77734375" customWidth="1"/>
    <col min="15" max="15" width="8.88671875" hidden="1" customWidth="1"/>
  </cols>
  <sheetData>
    <row r="2" spans="2:15" x14ac:dyDescent="0.3">
      <c r="B2" s="79" t="s">
        <v>31</v>
      </c>
      <c r="C2" s="79"/>
      <c r="D2" s="79"/>
      <c r="E2" s="79"/>
      <c r="F2" s="79"/>
      <c r="G2" s="79"/>
      <c r="H2" s="79"/>
      <c r="I2" s="79"/>
      <c r="J2" s="69"/>
      <c r="L2" s="69"/>
    </row>
    <row r="3" spans="2:15" ht="3" customHeight="1" x14ac:dyDescent="0.3"/>
    <row r="4" spans="2:15" x14ac:dyDescent="0.3">
      <c r="B4" s="3" t="s">
        <v>53</v>
      </c>
      <c r="C4" s="3"/>
      <c r="D4" s="3"/>
      <c r="E4" s="3"/>
      <c r="F4" s="1"/>
      <c r="G4" s="1"/>
      <c r="H4" s="1"/>
      <c r="I4" s="1"/>
      <c r="J4" s="11"/>
      <c r="L4" s="11"/>
    </row>
    <row r="5" spans="2:15" ht="9" customHeight="1" x14ac:dyDescent="0.3"/>
    <row r="6" spans="2:15" ht="43.2" x14ac:dyDescent="0.3">
      <c r="B6" s="11" t="s">
        <v>17</v>
      </c>
      <c r="C6" s="78" t="s">
        <v>18</v>
      </c>
      <c r="D6" s="78"/>
      <c r="E6" s="78"/>
      <c r="F6" s="78"/>
      <c r="G6" s="78"/>
      <c r="H6" s="78"/>
      <c r="I6" s="63" t="s">
        <v>183</v>
      </c>
      <c r="J6" s="63" t="s">
        <v>3</v>
      </c>
      <c r="L6" s="63" t="s">
        <v>184</v>
      </c>
    </row>
    <row r="7" spans="2:15" ht="117.6" customHeight="1" x14ac:dyDescent="0.3">
      <c r="B7" s="13">
        <v>1</v>
      </c>
      <c r="C7" s="80" t="s">
        <v>32</v>
      </c>
      <c r="D7" s="80"/>
      <c r="E7" s="80"/>
      <c r="F7" s="80"/>
      <c r="G7" s="80"/>
      <c r="H7" s="80"/>
      <c r="I7" s="50">
        <v>1908724965</v>
      </c>
      <c r="J7" s="60" t="s">
        <v>157</v>
      </c>
      <c r="K7" s="12">
        <v>0.8</v>
      </c>
      <c r="L7" s="74">
        <f>I7*K7</f>
        <v>1526979972</v>
      </c>
      <c r="O7" t="s">
        <v>127</v>
      </c>
    </row>
    <row r="8" spans="2:15" ht="101.4" customHeight="1" x14ac:dyDescent="0.3">
      <c r="B8" s="13">
        <v>2</v>
      </c>
      <c r="C8" s="75" t="s">
        <v>33</v>
      </c>
      <c r="D8" s="76"/>
      <c r="E8" s="76"/>
      <c r="F8" s="76"/>
      <c r="G8" s="76"/>
      <c r="H8" s="77"/>
      <c r="I8" s="50">
        <v>132944171.64</v>
      </c>
      <c r="J8" s="59" t="s">
        <v>158</v>
      </c>
      <c r="K8" s="12">
        <v>0.8</v>
      </c>
      <c r="L8" s="52">
        <f t="shared" ref="L8:L13" si="0">I8*K8</f>
        <v>106355337.31200001</v>
      </c>
      <c r="O8" t="s">
        <v>128</v>
      </c>
    </row>
    <row r="9" spans="2:15" ht="102.6" customHeight="1" x14ac:dyDescent="0.3">
      <c r="B9" s="13">
        <v>3</v>
      </c>
      <c r="C9" s="75" t="s">
        <v>34</v>
      </c>
      <c r="D9" s="76"/>
      <c r="E9" s="76"/>
      <c r="F9" s="76"/>
      <c r="G9" s="76"/>
      <c r="H9" s="77"/>
      <c r="I9" s="50">
        <v>3297162186</v>
      </c>
      <c r="J9" s="59" t="s">
        <v>158</v>
      </c>
      <c r="K9" s="12">
        <v>0.8</v>
      </c>
      <c r="L9" s="52">
        <f t="shared" si="0"/>
        <v>2637729748.8000002</v>
      </c>
      <c r="O9" t="s">
        <v>129</v>
      </c>
    </row>
    <row r="10" spans="2:15" ht="260.39999999999998" customHeight="1" x14ac:dyDescent="0.3">
      <c r="B10" s="13">
        <v>4</v>
      </c>
      <c r="C10" s="75" t="s">
        <v>35</v>
      </c>
      <c r="D10" s="76"/>
      <c r="E10" s="76"/>
      <c r="F10" s="76"/>
      <c r="G10" s="76"/>
      <c r="H10" s="77"/>
      <c r="I10" s="50">
        <v>980933659.39999998</v>
      </c>
      <c r="J10" s="59" t="s">
        <v>159</v>
      </c>
      <c r="K10" s="12">
        <v>0.75</v>
      </c>
      <c r="L10" s="52">
        <f t="shared" si="0"/>
        <v>735700244.54999995</v>
      </c>
      <c r="O10" t="s">
        <v>130</v>
      </c>
    </row>
    <row r="11" spans="2:15" ht="88.8" customHeight="1" x14ac:dyDescent="0.3">
      <c r="B11" s="13">
        <v>5</v>
      </c>
      <c r="C11" s="75" t="s">
        <v>36</v>
      </c>
      <c r="D11" s="76"/>
      <c r="E11" s="76"/>
      <c r="F11" s="76"/>
      <c r="G11" s="76"/>
      <c r="H11" s="77"/>
      <c r="I11" s="50">
        <v>511415382</v>
      </c>
      <c r="J11" s="59" t="s">
        <v>175</v>
      </c>
      <c r="K11" s="12">
        <v>0.8</v>
      </c>
      <c r="L11" s="52">
        <f t="shared" si="0"/>
        <v>409132305.60000002</v>
      </c>
      <c r="O11" t="s">
        <v>131</v>
      </c>
    </row>
    <row r="12" spans="2:15" ht="61.8" customHeight="1" x14ac:dyDescent="0.3">
      <c r="B12" s="13">
        <v>6</v>
      </c>
      <c r="C12" s="75" t="s">
        <v>37</v>
      </c>
      <c r="D12" s="76"/>
      <c r="E12" s="76"/>
      <c r="F12" s="76"/>
      <c r="G12" s="76"/>
      <c r="H12" s="77"/>
      <c r="I12" s="73">
        <v>601429920</v>
      </c>
      <c r="J12" s="59" t="s">
        <v>132</v>
      </c>
      <c r="K12" s="12">
        <v>0</v>
      </c>
      <c r="L12" s="52">
        <f t="shared" si="0"/>
        <v>0</v>
      </c>
    </row>
    <row r="13" spans="2:15" ht="87" customHeight="1" x14ac:dyDescent="0.3">
      <c r="B13" s="13">
        <v>7</v>
      </c>
      <c r="C13" s="75" t="s">
        <v>38</v>
      </c>
      <c r="D13" s="76"/>
      <c r="E13" s="76"/>
      <c r="F13" s="76"/>
      <c r="G13" s="76"/>
      <c r="H13" s="77"/>
      <c r="I13" s="50">
        <f>I14+I15</f>
        <v>767626085.44000006</v>
      </c>
      <c r="J13" s="59" t="s">
        <v>170</v>
      </c>
      <c r="K13" s="12">
        <v>0.8</v>
      </c>
      <c r="L13" s="52">
        <f>I14*100%+I15*80%</f>
        <v>762000868.352</v>
      </c>
    </row>
    <row r="14" spans="2:15" ht="14.4" customHeight="1" x14ac:dyDescent="0.3">
      <c r="B14" s="13" t="s">
        <v>49</v>
      </c>
      <c r="C14" s="75" t="s">
        <v>39</v>
      </c>
      <c r="D14" s="76"/>
      <c r="E14" s="76"/>
      <c r="F14" s="76"/>
      <c r="G14" s="76"/>
      <c r="H14" s="77"/>
      <c r="I14" s="50">
        <v>739500000</v>
      </c>
      <c r="J14" s="59"/>
      <c r="L14" s="52"/>
    </row>
    <row r="15" spans="2:15" ht="14.4" customHeight="1" x14ac:dyDescent="0.3">
      <c r="B15" s="13" t="s">
        <v>50</v>
      </c>
      <c r="C15" s="75" t="s">
        <v>40</v>
      </c>
      <c r="D15" s="76"/>
      <c r="E15" s="76"/>
      <c r="F15" s="76"/>
      <c r="G15" s="76"/>
      <c r="H15" s="77"/>
      <c r="I15" s="50">
        <v>28126085.440000001</v>
      </c>
      <c r="J15" s="59"/>
      <c r="L15" s="52"/>
    </row>
    <row r="16" spans="2:15" ht="57" customHeight="1" x14ac:dyDescent="0.3">
      <c r="B16" s="13">
        <v>8</v>
      </c>
      <c r="C16" s="75" t="s">
        <v>41</v>
      </c>
      <c r="D16" s="76"/>
      <c r="E16" s="76"/>
      <c r="F16" s="76"/>
      <c r="G16" s="76"/>
      <c r="H16" s="77"/>
      <c r="I16" s="73">
        <v>369750000</v>
      </c>
      <c r="J16" s="59" t="s">
        <v>132</v>
      </c>
      <c r="K16" s="12">
        <v>0</v>
      </c>
      <c r="L16" s="52">
        <f t="shared" ref="L16:L17" si="1">I16*K16</f>
        <v>0</v>
      </c>
    </row>
    <row r="17" spans="2:12" ht="91.8" customHeight="1" x14ac:dyDescent="0.3">
      <c r="B17" s="13">
        <v>9</v>
      </c>
      <c r="C17" s="75" t="s">
        <v>42</v>
      </c>
      <c r="D17" s="76"/>
      <c r="E17" s="76"/>
      <c r="F17" s="76"/>
      <c r="G17" s="76"/>
      <c r="H17" s="77"/>
      <c r="I17" s="50">
        <v>67138990.680000007</v>
      </c>
      <c r="J17" s="68" t="s">
        <v>176</v>
      </c>
      <c r="K17" s="12">
        <v>0.8</v>
      </c>
      <c r="L17" s="52">
        <f t="shared" si="1"/>
        <v>53711192.544000007</v>
      </c>
    </row>
    <row r="18" spans="2:12" ht="144" customHeight="1" x14ac:dyDescent="0.3">
      <c r="B18" s="13">
        <v>10</v>
      </c>
      <c r="C18" s="75" t="s">
        <v>43</v>
      </c>
      <c r="D18" s="76"/>
      <c r="E18" s="76"/>
      <c r="F18" s="76"/>
      <c r="G18" s="76"/>
      <c r="H18" s="77"/>
      <c r="I18" s="50">
        <v>635401879</v>
      </c>
      <c r="J18" s="71" t="s">
        <v>133</v>
      </c>
      <c r="K18" s="12">
        <v>0.75</v>
      </c>
      <c r="L18" s="72">
        <f>I18*K18</f>
        <v>476551409.25</v>
      </c>
    </row>
    <row r="19" spans="2:12" ht="14.4" customHeight="1" x14ac:dyDescent="0.3">
      <c r="B19" s="13">
        <v>11</v>
      </c>
      <c r="C19" s="75" t="s">
        <v>44</v>
      </c>
      <c r="D19" s="76"/>
      <c r="E19" s="76"/>
      <c r="F19" s="76"/>
      <c r="G19" s="76"/>
      <c r="H19" s="77"/>
      <c r="I19" s="50"/>
      <c r="J19" s="10"/>
      <c r="K19" s="10"/>
      <c r="L19" s="10"/>
    </row>
    <row r="20" spans="2:12" x14ac:dyDescent="0.3">
      <c r="B20" s="13" t="s">
        <v>49</v>
      </c>
      <c r="C20" s="82" t="s">
        <v>45</v>
      </c>
      <c r="D20" s="83"/>
      <c r="E20" s="83"/>
      <c r="F20" s="83"/>
      <c r="G20" s="83"/>
      <c r="H20" s="84"/>
      <c r="I20" s="113" t="s">
        <v>52</v>
      </c>
      <c r="J20" s="10"/>
      <c r="K20" s="10"/>
      <c r="L20" s="10"/>
    </row>
    <row r="21" spans="2:12" ht="14.4" customHeight="1" x14ac:dyDescent="0.3">
      <c r="B21" s="13" t="s">
        <v>50</v>
      </c>
      <c r="C21" s="82" t="s">
        <v>46</v>
      </c>
      <c r="D21" s="83"/>
      <c r="E21" s="83"/>
      <c r="F21" s="83"/>
      <c r="G21" s="83"/>
      <c r="H21" s="84"/>
      <c r="I21" s="113" t="s">
        <v>52</v>
      </c>
      <c r="J21" s="10"/>
      <c r="K21" s="10"/>
      <c r="L21" s="10"/>
    </row>
    <row r="22" spans="2:12" ht="15" customHeight="1" x14ac:dyDescent="0.3">
      <c r="B22" s="13" t="s">
        <v>51</v>
      </c>
      <c r="C22" s="75" t="s">
        <v>47</v>
      </c>
      <c r="D22" s="76"/>
      <c r="E22" s="76"/>
      <c r="F22" s="76"/>
      <c r="G22" s="76"/>
      <c r="H22" s="77"/>
      <c r="I22" s="113" t="s">
        <v>52</v>
      </c>
      <c r="J22" s="10"/>
      <c r="K22" s="10"/>
      <c r="L22" s="10"/>
    </row>
    <row r="23" spans="2:12" ht="84" customHeight="1" x14ac:dyDescent="0.3">
      <c r="B23" s="13">
        <v>12</v>
      </c>
      <c r="C23" s="75" t="s">
        <v>48</v>
      </c>
      <c r="D23" s="76"/>
      <c r="E23" s="76"/>
      <c r="F23" s="76"/>
      <c r="G23" s="76"/>
      <c r="H23" s="77"/>
      <c r="I23" s="114">
        <v>5000000</v>
      </c>
      <c r="J23" s="71" t="s">
        <v>185</v>
      </c>
      <c r="K23" s="10"/>
      <c r="L23" s="52">
        <f t="shared" ref="L23" si="2">I23*K23</f>
        <v>0</v>
      </c>
    </row>
    <row r="24" spans="2:12" x14ac:dyDescent="0.3">
      <c r="B24" s="81" t="s">
        <v>19</v>
      </c>
      <c r="C24" s="81"/>
      <c r="D24" s="81"/>
      <c r="E24" s="81"/>
      <c r="F24" s="81"/>
      <c r="G24" s="81"/>
      <c r="H24" s="81"/>
      <c r="I24" s="54">
        <f>SUM(I7:I13,I16:I18,I23)</f>
        <v>9277527239.1599998</v>
      </c>
      <c r="J24" s="10"/>
      <c r="K24" s="10"/>
      <c r="L24" s="115">
        <f>SUM(L7:L23)</f>
        <v>6708161078.4080009</v>
      </c>
    </row>
  </sheetData>
  <mergeCells count="20">
    <mergeCell ref="B24:H24"/>
    <mergeCell ref="C19:H19"/>
    <mergeCell ref="C22:H22"/>
    <mergeCell ref="C23:H23"/>
    <mergeCell ref="C15:H15"/>
    <mergeCell ref="C16:H16"/>
    <mergeCell ref="C17:H17"/>
    <mergeCell ref="C18:H18"/>
    <mergeCell ref="C20:H20"/>
    <mergeCell ref="C21:H21"/>
    <mergeCell ref="C14:H14"/>
    <mergeCell ref="C6:H6"/>
    <mergeCell ref="B2:I2"/>
    <mergeCell ref="C7:H7"/>
    <mergeCell ref="C8:H8"/>
    <mergeCell ref="C9:H9"/>
    <mergeCell ref="C10:H10"/>
    <mergeCell ref="C11:H11"/>
    <mergeCell ref="C12:H12"/>
    <mergeCell ref="C13:H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DFE23-C7C6-48DF-892C-C4E7349D7E1E}">
  <dimension ref="A2:M50"/>
  <sheetViews>
    <sheetView showGridLines="0" topLeftCell="A37" workbookViewId="0">
      <selection activeCell="L46" sqref="L46"/>
    </sheetView>
  </sheetViews>
  <sheetFormatPr defaultRowHeight="14.4" x14ac:dyDescent="0.3"/>
  <cols>
    <col min="1" max="1" width="31.77734375" customWidth="1"/>
    <col min="9" max="9" width="18.6640625" customWidth="1"/>
    <col min="10" max="10" width="41.5546875" style="56" customWidth="1"/>
    <col min="11" max="11" width="8.88671875" hidden="1" customWidth="1"/>
    <col min="12" max="12" width="15.88671875" customWidth="1"/>
  </cols>
  <sheetData>
    <row r="2" spans="2:12" x14ac:dyDescent="0.3">
      <c r="B2" s="79" t="s">
        <v>31</v>
      </c>
      <c r="C2" s="79"/>
      <c r="D2" s="79"/>
      <c r="E2" s="79"/>
      <c r="F2" s="79"/>
      <c r="G2" s="79"/>
      <c r="H2" s="79"/>
      <c r="I2" s="79"/>
      <c r="J2" s="61"/>
      <c r="L2" s="69"/>
    </row>
    <row r="3" spans="2:12" ht="7.5" customHeight="1" x14ac:dyDescent="0.3"/>
    <row r="4" spans="2:12" x14ac:dyDescent="0.3">
      <c r="B4" s="3" t="s">
        <v>54</v>
      </c>
      <c r="C4" s="3"/>
      <c r="D4" s="3"/>
      <c r="E4" s="3"/>
      <c r="F4" s="1"/>
      <c r="G4" s="1"/>
      <c r="H4" s="1"/>
      <c r="I4" s="1"/>
      <c r="J4" s="62"/>
      <c r="L4" s="11"/>
    </row>
    <row r="5" spans="2:12" ht="10.5" customHeight="1" x14ac:dyDescent="0.3"/>
    <row r="6" spans="2:12" ht="43.2" x14ac:dyDescent="0.3">
      <c r="B6" s="11" t="s">
        <v>17</v>
      </c>
      <c r="C6" s="78" t="s">
        <v>18</v>
      </c>
      <c r="D6" s="78"/>
      <c r="E6" s="78"/>
      <c r="F6" s="78"/>
      <c r="G6" s="78"/>
      <c r="H6" s="78"/>
      <c r="I6" s="63" t="s">
        <v>183</v>
      </c>
      <c r="J6" s="63" t="s">
        <v>3</v>
      </c>
      <c r="L6" s="63" t="s">
        <v>184</v>
      </c>
    </row>
    <row r="7" spans="2:12" ht="30" customHeight="1" x14ac:dyDescent="0.3">
      <c r="B7" s="49" t="s">
        <v>55</v>
      </c>
      <c r="C7" s="93" t="s">
        <v>56</v>
      </c>
      <c r="D7" s="94"/>
      <c r="E7" s="94"/>
      <c r="F7" s="94"/>
      <c r="G7" s="94"/>
      <c r="H7" s="95"/>
      <c r="I7" s="39"/>
      <c r="J7" s="59"/>
      <c r="L7" s="70"/>
    </row>
    <row r="8" spans="2:12" ht="129.6" x14ac:dyDescent="0.3">
      <c r="B8" s="13">
        <v>1</v>
      </c>
      <c r="C8" s="80" t="s">
        <v>57</v>
      </c>
      <c r="D8" s="80"/>
      <c r="E8" s="80"/>
      <c r="F8" s="80"/>
      <c r="G8" s="80"/>
      <c r="H8" s="80"/>
      <c r="I8" s="50">
        <v>9195846176</v>
      </c>
      <c r="J8" s="59" t="s">
        <v>155</v>
      </c>
      <c r="K8" s="12"/>
      <c r="L8" s="52">
        <v>4582000000</v>
      </c>
    </row>
    <row r="9" spans="2:12" ht="129.6" customHeight="1" x14ac:dyDescent="0.3">
      <c r="B9" s="13">
        <v>2</v>
      </c>
      <c r="C9" s="80" t="s">
        <v>58</v>
      </c>
      <c r="D9" s="80"/>
      <c r="E9" s="80"/>
      <c r="F9" s="80"/>
      <c r="G9" s="80"/>
      <c r="H9" s="80"/>
      <c r="I9" s="50">
        <v>5398050</v>
      </c>
      <c r="J9" s="108" t="s">
        <v>160</v>
      </c>
      <c r="K9" s="12">
        <v>0.8</v>
      </c>
      <c r="L9" s="52">
        <f t="shared" ref="L9:L24" si="0">I9*K9</f>
        <v>4318440</v>
      </c>
    </row>
    <row r="10" spans="2:12" ht="129.6" customHeight="1" x14ac:dyDescent="0.3">
      <c r="B10" s="13">
        <v>3</v>
      </c>
      <c r="C10" s="80" t="s">
        <v>59</v>
      </c>
      <c r="D10" s="80"/>
      <c r="E10" s="80"/>
      <c r="F10" s="80"/>
      <c r="G10" s="80"/>
      <c r="H10" s="80"/>
      <c r="I10" s="50">
        <v>38378771</v>
      </c>
      <c r="J10" s="109"/>
      <c r="K10" s="12">
        <v>0.8</v>
      </c>
      <c r="L10" s="52">
        <f t="shared" si="0"/>
        <v>30703016.800000001</v>
      </c>
    </row>
    <row r="11" spans="2:12" ht="129.6" customHeight="1" x14ac:dyDescent="0.3">
      <c r="B11" s="13">
        <v>4</v>
      </c>
      <c r="C11" s="80" t="s">
        <v>60</v>
      </c>
      <c r="D11" s="80"/>
      <c r="E11" s="80"/>
      <c r="F11" s="80"/>
      <c r="G11" s="80"/>
      <c r="H11" s="80"/>
      <c r="I11" s="50">
        <v>9810171</v>
      </c>
      <c r="J11" s="110"/>
      <c r="K11" s="12">
        <v>0.8</v>
      </c>
      <c r="L11" s="52">
        <f t="shared" si="0"/>
        <v>7848136.8000000007</v>
      </c>
    </row>
    <row r="12" spans="2:12" ht="142.19999999999999" customHeight="1" x14ac:dyDescent="0.3">
      <c r="B12" s="13">
        <v>5</v>
      </c>
      <c r="C12" s="80" t="s">
        <v>61</v>
      </c>
      <c r="D12" s="80"/>
      <c r="E12" s="80"/>
      <c r="F12" s="80"/>
      <c r="G12" s="80"/>
      <c r="H12" s="80"/>
      <c r="I12" s="50">
        <v>1196375602</v>
      </c>
      <c r="J12" s="59" t="s">
        <v>125</v>
      </c>
      <c r="K12" s="12">
        <v>0.8</v>
      </c>
      <c r="L12" s="52">
        <f t="shared" si="0"/>
        <v>957100481.60000002</v>
      </c>
    </row>
    <row r="13" spans="2:12" ht="129.6" x14ac:dyDescent="0.3">
      <c r="B13" s="13">
        <v>6</v>
      </c>
      <c r="C13" s="80" t="s">
        <v>62</v>
      </c>
      <c r="D13" s="80"/>
      <c r="E13" s="80"/>
      <c r="F13" s="80"/>
      <c r="G13" s="80"/>
      <c r="H13" s="80"/>
      <c r="I13" s="50">
        <v>117900000</v>
      </c>
      <c r="J13" s="59" t="s">
        <v>161</v>
      </c>
      <c r="K13" s="12">
        <v>0.8</v>
      </c>
      <c r="L13" s="52">
        <f t="shared" si="0"/>
        <v>94320000</v>
      </c>
    </row>
    <row r="14" spans="2:12" ht="129.6" customHeight="1" x14ac:dyDescent="0.3">
      <c r="B14" s="13">
        <v>7</v>
      </c>
      <c r="C14" s="80" t="s">
        <v>63</v>
      </c>
      <c r="D14" s="80"/>
      <c r="E14" s="80"/>
      <c r="F14" s="80"/>
      <c r="G14" s="80"/>
      <c r="H14" s="80"/>
      <c r="I14" s="50">
        <v>38983800</v>
      </c>
      <c r="J14" s="108" t="s">
        <v>162</v>
      </c>
      <c r="K14" s="12">
        <v>0.8</v>
      </c>
      <c r="L14" s="52">
        <f t="shared" si="0"/>
        <v>31187040</v>
      </c>
    </row>
    <row r="15" spans="2:12" ht="129.6" customHeight="1" x14ac:dyDescent="0.3">
      <c r="B15" s="13">
        <v>8</v>
      </c>
      <c r="C15" s="80" t="s">
        <v>64</v>
      </c>
      <c r="D15" s="80"/>
      <c r="E15" s="80"/>
      <c r="F15" s="80"/>
      <c r="G15" s="80"/>
      <c r="H15" s="80"/>
      <c r="I15" s="50">
        <v>170765350</v>
      </c>
      <c r="J15" s="110"/>
      <c r="K15" s="12">
        <v>0.8</v>
      </c>
      <c r="L15" s="52">
        <f>I15*K15</f>
        <v>136612280</v>
      </c>
    </row>
    <row r="16" spans="2:12" ht="115.2" x14ac:dyDescent="0.3">
      <c r="B16" s="13">
        <v>9</v>
      </c>
      <c r="C16" s="80" t="s">
        <v>65</v>
      </c>
      <c r="D16" s="80"/>
      <c r="E16" s="80"/>
      <c r="F16" s="80"/>
      <c r="G16" s="80"/>
      <c r="H16" s="80"/>
      <c r="I16" s="50">
        <v>12017183</v>
      </c>
      <c r="J16" s="59" t="s">
        <v>163</v>
      </c>
      <c r="K16" s="12">
        <v>0.8</v>
      </c>
      <c r="L16" s="52">
        <f t="shared" si="0"/>
        <v>9613746.4000000004</v>
      </c>
    </row>
    <row r="17" spans="1:13" ht="116.4" customHeight="1" x14ac:dyDescent="0.3">
      <c r="B17" s="13">
        <v>10</v>
      </c>
      <c r="C17" s="80" t="s">
        <v>66</v>
      </c>
      <c r="D17" s="80"/>
      <c r="E17" s="80"/>
      <c r="F17" s="80"/>
      <c r="G17" s="80"/>
      <c r="H17" s="80"/>
      <c r="I17" s="50">
        <v>254165738</v>
      </c>
      <c r="J17" s="59" t="s">
        <v>162</v>
      </c>
      <c r="K17" s="12">
        <v>0.8</v>
      </c>
      <c r="L17" s="52">
        <f t="shared" si="0"/>
        <v>203332590.40000001</v>
      </c>
    </row>
    <row r="18" spans="1:13" ht="129.6" x14ac:dyDescent="0.3">
      <c r="B18" s="13">
        <v>11</v>
      </c>
      <c r="C18" s="80" t="s">
        <v>67</v>
      </c>
      <c r="D18" s="80"/>
      <c r="E18" s="80"/>
      <c r="F18" s="80"/>
      <c r="G18" s="80"/>
      <c r="H18" s="80"/>
      <c r="I18" s="50">
        <v>53919517</v>
      </c>
      <c r="J18" s="59" t="s">
        <v>164</v>
      </c>
      <c r="K18" s="12">
        <v>0.8</v>
      </c>
      <c r="L18" s="52">
        <f t="shared" si="0"/>
        <v>43135613.600000001</v>
      </c>
    </row>
    <row r="19" spans="1:13" ht="121.2" customHeight="1" x14ac:dyDescent="0.3">
      <c r="B19" s="13">
        <v>12</v>
      </c>
      <c r="C19" s="80" t="s">
        <v>68</v>
      </c>
      <c r="D19" s="80"/>
      <c r="E19" s="80"/>
      <c r="F19" s="80"/>
      <c r="G19" s="80"/>
      <c r="H19" s="80"/>
      <c r="I19" s="50">
        <v>135529815</v>
      </c>
      <c r="J19" s="59" t="s">
        <v>165</v>
      </c>
      <c r="K19" s="12">
        <v>0.8</v>
      </c>
      <c r="L19" s="52">
        <f t="shared" si="0"/>
        <v>108423852</v>
      </c>
    </row>
    <row r="20" spans="1:13" ht="117" customHeight="1" x14ac:dyDescent="0.3">
      <c r="B20" s="13">
        <v>13</v>
      </c>
      <c r="C20" s="80" t="s">
        <v>69</v>
      </c>
      <c r="D20" s="80"/>
      <c r="E20" s="80"/>
      <c r="F20" s="80"/>
      <c r="G20" s="80"/>
      <c r="H20" s="80"/>
      <c r="I20" s="50">
        <v>15113164</v>
      </c>
      <c r="J20" s="59" t="s">
        <v>166</v>
      </c>
      <c r="K20" s="12">
        <v>0.8</v>
      </c>
      <c r="L20" s="52">
        <f t="shared" si="0"/>
        <v>12090531.200000001</v>
      </c>
    </row>
    <row r="21" spans="1:13" ht="119.4" customHeight="1" x14ac:dyDescent="0.3">
      <c r="B21" s="13">
        <v>14</v>
      </c>
      <c r="C21" s="80" t="s">
        <v>70</v>
      </c>
      <c r="D21" s="80"/>
      <c r="E21" s="80"/>
      <c r="F21" s="80"/>
      <c r="G21" s="80"/>
      <c r="H21" s="80"/>
      <c r="I21" s="50">
        <v>25600000</v>
      </c>
      <c r="J21" s="108" t="s">
        <v>162</v>
      </c>
      <c r="K21" s="12">
        <v>0.8</v>
      </c>
      <c r="L21" s="52">
        <f t="shared" si="0"/>
        <v>20480000</v>
      </c>
    </row>
    <row r="22" spans="1:13" ht="110.4" customHeight="1" x14ac:dyDescent="0.3">
      <c r="B22" s="13">
        <v>15</v>
      </c>
      <c r="C22" s="80" t="s">
        <v>71</v>
      </c>
      <c r="D22" s="80"/>
      <c r="E22" s="80"/>
      <c r="F22" s="80"/>
      <c r="G22" s="80"/>
      <c r="H22" s="80"/>
      <c r="I22" s="50">
        <v>5465478</v>
      </c>
      <c r="J22" s="110"/>
      <c r="K22" s="12">
        <v>0.8</v>
      </c>
      <c r="L22" s="52">
        <f t="shared" si="0"/>
        <v>4372382.4000000004</v>
      </c>
    </row>
    <row r="23" spans="1:13" ht="62.4" customHeight="1" x14ac:dyDescent="0.3">
      <c r="B23" s="13">
        <v>16</v>
      </c>
      <c r="C23" s="88" t="s">
        <v>72</v>
      </c>
      <c r="D23" s="88"/>
      <c r="E23" s="88"/>
      <c r="F23" s="88"/>
      <c r="G23" s="88"/>
      <c r="H23" s="88"/>
      <c r="I23" s="50">
        <v>107356074</v>
      </c>
      <c r="J23" s="64" t="s">
        <v>152</v>
      </c>
      <c r="K23" s="12"/>
      <c r="L23" s="52">
        <v>142000000</v>
      </c>
      <c r="M23" s="92"/>
    </row>
    <row r="24" spans="1:13" ht="70.8" customHeight="1" x14ac:dyDescent="0.3">
      <c r="B24" s="13">
        <v>17</v>
      </c>
      <c r="C24" s="88" t="s">
        <v>73</v>
      </c>
      <c r="D24" s="88"/>
      <c r="E24" s="88"/>
      <c r="F24" s="88"/>
      <c r="G24" s="88"/>
      <c r="H24" s="88"/>
      <c r="I24" s="50">
        <v>11306700</v>
      </c>
      <c r="J24" s="64" t="s">
        <v>153</v>
      </c>
      <c r="K24" s="12">
        <v>1</v>
      </c>
      <c r="L24" s="52">
        <f t="shared" si="0"/>
        <v>11306700</v>
      </c>
      <c r="M24" s="92"/>
    </row>
    <row r="25" spans="1:13" ht="72" x14ac:dyDescent="0.3">
      <c r="A25" t="s">
        <v>121</v>
      </c>
      <c r="B25" s="13">
        <v>18</v>
      </c>
      <c r="C25" s="85" t="s">
        <v>78</v>
      </c>
      <c r="D25" s="86"/>
      <c r="E25" s="86"/>
      <c r="F25" s="86"/>
      <c r="G25" s="86"/>
      <c r="H25" s="87"/>
      <c r="I25" s="50">
        <v>78109135</v>
      </c>
      <c r="J25" s="60" t="s">
        <v>154</v>
      </c>
      <c r="K25" s="12"/>
      <c r="L25" s="52">
        <v>48400000</v>
      </c>
    </row>
    <row r="26" spans="1:13" ht="72" x14ac:dyDescent="0.3">
      <c r="A26" t="s">
        <v>120</v>
      </c>
      <c r="B26" s="13">
        <v>19</v>
      </c>
      <c r="C26" s="85" t="s">
        <v>74</v>
      </c>
      <c r="D26" s="86"/>
      <c r="E26" s="86"/>
      <c r="F26" s="86"/>
      <c r="G26" s="86"/>
      <c r="H26" s="87"/>
      <c r="I26" s="73">
        <v>93915854</v>
      </c>
      <c r="J26" s="60" t="s">
        <v>126</v>
      </c>
      <c r="K26" s="12"/>
      <c r="L26" s="52" t="s">
        <v>119</v>
      </c>
    </row>
    <row r="27" spans="1:13" ht="114" customHeight="1" x14ac:dyDescent="0.3">
      <c r="B27" s="13">
        <v>20</v>
      </c>
      <c r="C27" s="85" t="s">
        <v>75</v>
      </c>
      <c r="D27" s="86"/>
      <c r="E27" s="86"/>
      <c r="F27" s="86"/>
      <c r="G27" s="86"/>
      <c r="H27" s="87"/>
      <c r="I27" s="50">
        <v>61671125</v>
      </c>
      <c r="J27" s="59" t="s">
        <v>167</v>
      </c>
      <c r="K27" s="12">
        <v>0.8</v>
      </c>
      <c r="L27" s="52">
        <f t="shared" ref="L27:L29" si="1">I27*K27</f>
        <v>49336900</v>
      </c>
    </row>
    <row r="28" spans="1:13" ht="115.8" customHeight="1" x14ac:dyDescent="0.3">
      <c r="A28" t="s">
        <v>118</v>
      </c>
      <c r="B28" s="13">
        <v>21</v>
      </c>
      <c r="C28" s="85" t="s">
        <v>76</v>
      </c>
      <c r="D28" s="86"/>
      <c r="E28" s="86"/>
      <c r="F28" s="86"/>
      <c r="G28" s="86"/>
      <c r="H28" s="87"/>
      <c r="I28" s="50">
        <v>132443970</v>
      </c>
      <c r="J28" s="60" t="s">
        <v>168</v>
      </c>
      <c r="K28" s="12">
        <v>0.8</v>
      </c>
      <c r="L28" s="52">
        <f t="shared" si="1"/>
        <v>105955176</v>
      </c>
    </row>
    <row r="29" spans="1:13" ht="48" customHeight="1" x14ac:dyDescent="0.3">
      <c r="B29" s="13">
        <v>22</v>
      </c>
      <c r="C29" s="85" t="s">
        <v>77</v>
      </c>
      <c r="D29" s="86"/>
      <c r="E29" s="86"/>
      <c r="F29" s="86"/>
      <c r="G29" s="86"/>
      <c r="H29" s="87"/>
      <c r="I29" s="50">
        <v>739500000</v>
      </c>
      <c r="J29" s="60" t="s">
        <v>173</v>
      </c>
      <c r="K29" s="12">
        <v>1</v>
      </c>
      <c r="L29" s="52">
        <f t="shared" si="1"/>
        <v>739500000</v>
      </c>
    </row>
    <row r="30" spans="1:13" ht="17.399999999999999" customHeight="1" x14ac:dyDescent="0.3">
      <c r="B30" s="13"/>
      <c r="C30" s="89" t="s">
        <v>79</v>
      </c>
      <c r="D30" s="90"/>
      <c r="E30" s="90"/>
      <c r="F30" s="90"/>
      <c r="G30" s="90"/>
      <c r="H30" s="91"/>
      <c r="I30" s="53">
        <f>SUM(I8:I29)</f>
        <v>12499571673</v>
      </c>
      <c r="J30" s="59"/>
      <c r="L30" s="52"/>
    </row>
    <row r="31" spans="1:13" ht="17.399999999999999" customHeight="1" x14ac:dyDescent="0.3">
      <c r="B31" s="13" t="s">
        <v>80</v>
      </c>
      <c r="C31" s="89" t="s">
        <v>81</v>
      </c>
      <c r="D31" s="90"/>
      <c r="E31" s="90"/>
      <c r="F31" s="90"/>
      <c r="G31" s="90"/>
      <c r="H31" s="91"/>
      <c r="I31" s="40"/>
      <c r="J31" s="59"/>
      <c r="L31" s="52"/>
    </row>
    <row r="32" spans="1:13" ht="133.80000000000001" customHeight="1" x14ac:dyDescent="0.3">
      <c r="B32" s="13">
        <v>23</v>
      </c>
      <c r="C32" s="75" t="s">
        <v>82</v>
      </c>
      <c r="D32" s="76"/>
      <c r="E32" s="76"/>
      <c r="F32" s="76"/>
      <c r="G32" s="76"/>
      <c r="H32" s="77"/>
      <c r="I32" s="50">
        <v>687066411</v>
      </c>
      <c r="J32" s="60" t="s">
        <v>169</v>
      </c>
      <c r="K32" s="12">
        <v>0.8</v>
      </c>
      <c r="L32" s="52">
        <f t="shared" ref="L32:L38" si="2">I32*K32</f>
        <v>549653128.80000007</v>
      </c>
    </row>
    <row r="33" spans="2:12" ht="118.8" customHeight="1" x14ac:dyDescent="0.3">
      <c r="B33" s="13">
        <v>24</v>
      </c>
      <c r="C33" s="80" t="s">
        <v>83</v>
      </c>
      <c r="D33" s="80"/>
      <c r="E33" s="80"/>
      <c r="F33" s="80"/>
      <c r="G33" s="80"/>
      <c r="H33" s="80"/>
      <c r="I33" s="50">
        <v>269037488</v>
      </c>
      <c r="J33" s="59" t="s">
        <v>170</v>
      </c>
      <c r="K33" s="12">
        <v>0.8</v>
      </c>
      <c r="L33" s="52">
        <f t="shared" si="2"/>
        <v>215229990.40000001</v>
      </c>
    </row>
    <row r="34" spans="2:12" ht="118.8" customHeight="1" x14ac:dyDescent="0.3">
      <c r="B34" s="13">
        <v>25</v>
      </c>
      <c r="C34" s="80" t="s">
        <v>84</v>
      </c>
      <c r="D34" s="80"/>
      <c r="E34" s="80"/>
      <c r="F34" s="80"/>
      <c r="G34" s="80"/>
      <c r="H34" s="80"/>
      <c r="I34" s="50">
        <v>1775027678</v>
      </c>
      <c r="J34" s="60" t="s">
        <v>171</v>
      </c>
      <c r="K34" s="12">
        <v>0.8</v>
      </c>
      <c r="L34" s="52">
        <f t="shared" si="2"/>
        <v>1420022142.4000001</v>
      </c>
    </row>
    <row r="35" spans="2:12" ht="115.2" customHeight="1" x14ac:dyDescent="0.3">
      <c r="B35" s="13">
        <v>26</v>
      </c>
      <c r="C35" s="80" t="s">
        <v>85</v>
      </c>
      <c r="D35" s="80"/>
      <c r="E35" s="80"/>
      <c r="F35" s="80"/>
      <c r="G35" s="80"/>
      <c r="H35" s="80"/>
      <c r="I35" s="50">
        <v>67138991</v>
      </c>
      <c r="J35" s="59" t="s">
        <v>172</v>
      </c>
      <c r="K35" s="12">
        <v>0.8</v>
      </c>
      <c r="L35" s="52">
        <f t="shared" si="2"/>
        <v>53711192.800000004</v>
      </c>
    </row>
    <row r="36" spans="2:12" ht="120" customHeight="1" x14ac:dyDescent="0.3">
      <c r="B36" s="13">
        <v>27</v>
      </c>
      <c r="C36" s="80" t="s">
        <v>86</v>
      </c>
      <c r="D36" s="80"/>
      <c r="E36" s="80"/>
      <c r="F36" s="80"/>
      <c r="G36" s="80"/>
      <c r="H36" s="80"/>
      <c r="I36" s="50">
        <v>1728844393</v>
      </c>
      <c r="J36" s="108" t="s">
        <v>171</v>
      </c>
      <c r="K36" s="12">
        <v>0.8</v>
      </c>
      <c r="L36" s="52">
        <f t="shared" si="2"/>
        <v>1383075514.4000001</v>
      </c>
    </row>
    <row r="37" spans="2:12" ht="115.2" customHeight="1" x14ac:dyDescent="0.3">
      <c r="B37" s="13">
        <v>28</v>
      </c>
      <c r="C37" s="80" t="s">
        <v>87</v>
      </c>
      <c r="D37" s="80"/>
      <c r="E37" s="80"/>
      <c r="F37" s="80"/>
      <c r="G37" s="80"/>
      <c r="H37" s="80"/>
      <c r="I37" s="50">
        <v>4034651432</v>
      </c>
      <c r="J37" s="109"/>
      <c r="K37" s="12">
        <v>0.8</v>
      </c>
      <c r="L37" s="52">
        <f t="shared" si="2"/>
        <v>3227721145.6000004</v>
      </c>
    </row>
    <row r="38" spans="2:12" ht="117.6" customHeight="1" x14ac:dyDescent="0.3">
      <c r="B38" s="13">
        <v>29</v>
      </c>
      <c r="C38" s="80" t="s">
        <v>88</v>
      </c>
      <c r="D38" s="80"/>
      <c r="E38" s="80"/>
      <c r="F38" s="80"/>
      <c r="G38" s="80"/>
      <c r="H38" s="80"/>
      <c r="I38" s="50">
        <v>1678286842</v>
      </c>
      <c r="J38" s="110"/>
      <c r="K38" s="12">
        <v>0.8</v>
      </c>
      <c r="L38" s="52">
        <f t="shared" si="2"/>
        <v>1342629473.6000001</v>
      </c>
    </row>
    <row r="39" spans="2:12" s="56" customFormat="1" ht="27.6" customHeight="1" x14ac:dyDescent="0.3">
      <c r="B39" s="105">
        <v>30</v>
      </c>
      <c r="C39" s="80" t="s">
        <v>89</v>
      </c>
      <c r="D39" s="80"/>
      <c r="E39" s="80"/>
      <c r="F39" s="80"/>
      <c r="G39" s="80"/>
      <c r="H39" s="80"/>
      <c r="I39" s="106">
        <v>3195589333</v>
      </c>
      <c r="J39" s="99" t="s">
        <v>122</v>
      </c>
      <c r="K39" s="107"/>
      <c r="L39" s="96" t="s">
        <v>119</v>
      </c>
    </row>
    <row r="40" spans="2:12" ht="40.799999999999997" customHeight="1" x14ac:dyDescent="0.3">
      <c r="B40" s="13">
        <v>31</v>
      </c>
      <c r="C40" s="80" t="s">
        <v>90</v>
      </c>
      <c r="D40" s="80"/>
      <c r="E40" s="80"/>
      <c r="F40" s="80"/>
      <c r="G40" s="80"/>
      <c r="H40" s="80"/>
      <c r="I40" s="73">
        <v>7723471525</v>
      </c>
      <c r="J40" s="99"/>
      <c r="K40" s="12"/>
      <c r="L40" s="97"/>
    </row>
    <row r="41" spans="2:12" ht="31.2" customHeight="1" x14ac:dyDescent="0.3">
      <c r="B41" s="13">
        <v>32</v>
      </c>
      <c r="C41" s="80" t="s">
        <v>91</v>
      </c>
      <c r="D41" s="80"/>
      <c r="E41" s="80"/>
      <c r="F41" s="80"/>
      <c r="G41" s="80"/>
      <c r="H41" s="80"/>
      <c r="I41" s="73">
        <v>2355786000</v>
      </c>
      <c r="J41" s="99"/>
      <c r="K41" s="12"/>
      <c r="L41" s="97"/>
    </row>
    <row r="42" spans="2:12" ht="17.399999999999999" customHeight="1" x14ac:dyDescent="0.3">
      <c r="B42" s="13">
        <v>33</v>
      </c>
      <c r="C42" s="80" t="s">
        <v>92</v>
      </c>
      <c r="D42" s="80"/>
      <c r="E42" s="80"/>
      <c r="F42" s="80"/>
      <c r="G42" s="80"/>
      <c r="H42" s="80"/>
      <c r="I42" s="73">
        <v>33300000000</v>
      </c>
      <c r="J42" s="99"/>
      <c r="L42" s="97"/>
    </row>
    <row r="43" spans="2:12" ht="27.6" customHeight="1" x14ac:dyDescent="0.3">
      <c r="B43" s="13">
        <v>34</v>
      </c>
      <c r="C43" s="80" t="s">
        <v>93</v>
      </c>
      <c r="D43" s="80"/>
      <c r="E43" s="80"/>
      <c r="F43" s="80"/>
      <c r="G43" s="80"/>
      <c r="H43" s="80"/>
      <c r="I43" s="73">
        <v>2640310000</v>
      </c>
      <c r="J43" s="100"/>
      <c r="K43" s="12"/>
      <c r="L43" s="98"/>
    </row>
    <row r="44" spans="2:12" ht="118.2" customHeight="1" x14ac:dyDescent="0.3">
      <c r="B44" s="13">
        <v>35</v>
      </c>
      <c r="C44" s="80" t="s">
        <v>94</v>
      </c>
      <c r="D44" s="80"/>
      <c r="E44" s="80"/>
      <c r="F44" s="80"/>
      <c r="G44" s="80"/>
      <c r="H44" s="80"/>
      <c r="I44" s="50">
        <v>3785251346</v>
      </c>
      <c r="J44" s="108" t="s">
        <v>174</v>
      </c>
      <c r="K44" s="12">
        <v>0.8</v>
      </c>
      <c r="L44" s="52">
        <f t="shared" ref="L44:L45" si="3">I44*K44</f>
        <v>3028201076.8000002</v>
      </c>
    </row>
    <row r="45" spans="2:12" ht="30" customHeight="1" x14ac:dyDescent="0.3">
      <c r="B45" s="13">
        <v>36</v>
      </c>
      <c r="C45" s="80" t="s">
        <v>95</v>
      </c>
      <c r="D45" s="80"/>
      <c r="E45" s="80"/>
      <c r="F45" s="80"/>
      <c r="G45" s="80"/>
      <c r="H45" s="80"/>
      <c r="I45" s="50">
        <v>6906538954</v>
      </c>
      <c r="J45" s="110"/>
      <c r="K45" s="12">
        <v>0.8</v>
      </c>
      <c r="L45" s="52">
        <f t="shared" si="3"/>
        <v>5525231163.2000008</v>
      </c>
    </row>
    <row r="46" spans="2:12" ht="17.399999999999999" customHeight="1" x14ac:dyDescent="0.3">
      <c r="B46" s="13"/>
      <c r="C46" s="89" t="s">
        <v>96</v>
      </c>
      <c r="D46" s="90"/>
      <c r="E46" s="90"/>
      <c r="F46" s="90"/>
      <c r="G46" s="90"/>
      <c r="H46" s="91"/>
      <c r="I46" s="53">
        <f>SUM(I32:I41,I43:I45)</f>
        <v>36847000393</v>
      </c>
      <c r="J46" s="59"/>
      <c r="L46" s="54">
        <f>SUM(L8:L45)</f>
        <v>24087511715.200001</v>
      </c>
    </row>
    <row r="47" spans="2:12" ht="17.399999999999999" customHeight="1" x14ac:dyDescent="0.3">
      <c r="B47" s="13">
        <v>37</v>
      </c>
      <c r="C47" s="88" t="s">
        <v>97</v>
      </c>
      <c r="D47" s="88"/>
      <c r="E47" s="88"/>
      <c r="F47" s="88"/>
      <c r="G47" s="88"/>
      <c r="H47" s="88"/>
      <c r="I47" s="51" t="s">
        <v>100</v>
      </c>
      <c r="J47" s="59"/>
      <c r="L47" s="59"/>
    </row>
    <row r="48" spans="2:12" ht="17.399999999999999" customHeight="1" x14ac:dyDescent="0.3">
      <c r="B48" s="13">
        <v>38</v>
      </c>
      <c r="C48" s="88" t="s">
        <v>98</v>
      </c>
      <c r="D48" s="88"/>
      <c r="E48" s="88"/>
      <c r="F48" s="88"/>
      <c r="G48" s="88"/>
      <c r="H48" s="88"/>
      <c r="I48" s="51" t="s">
        <v>100</v>
      </c>
      <c r="J48" s="59"/>
      <c r="L48" s="59"/>
    </row>
    <row r="49" spans="2:12" ht="17.399999999999999" customHeight="1" x14ac:dyDescent="0.3">
      <c r="B49" s="13">
        <v>39</v>
      </c>
      <c r="C49" s="88" t="s">
        <v>99</v>
      </c>
      <c r="D49" s="88"/>
      <c r="E49" s="88"/>
      <c r="F49" s="88"/>
      <c r="G49" s="88"/>
      <c r="H49" s="88"/>
      <c r="I49" s="51" t="s">
        <v>100</v>
      </c>
      <c r="J49" s="59"/>
      <c r="L49" s="59"/>
    </row>
    <row r="50" spans="2:12" x14ac:dyDescent="0.3">
      <c r="B50" s="81" t="s">
        <v>19</v>
      </c>
      <c r="C50" s="81"/>
      <c r="D50" s="81"/>
      <c r="E50" s="81"/>
      <c r="F50" s="81"/>
      <c r="G50" s="81"/>
      <c r="H50" s="81"/>
      <c r="I50" s="54">
        <f>SUM(I30,I46)</f>
        <v>49346572066</v>
      </c>
      <c r="J50" s="59"/>
      <c r="L50" s="59"/>
    </row>
  </sheetData>
  <mergeCells count="54">
    <mergeCell ref="J36:J38"/>
    <mergeCell ref="J21:J22"/>
    <mergeCell ref="J14:J15"/>
    <mergeCell ref="J9:J11"/>
    <mergeCell ref="J44:J45"/>
    <mergeCell ref="L39:L43"/>
    <mergeCell ref="C49:H49"/>
    <mergeCell ref="C41:H41"/>
    <mergeCell ref="C42:H42"/>
    <mergeCell ref="C43:H43"/>
    <mergeCell ref="C44:H44"/>
    <mergeCell ref="C45:H45"/>
    <mergeCell ref="C39:H39"/>
    <mergeCell ref="C40:H40"/>
    <mergeCell ref="C46:H46"/>
    <mergeCell ref="C47:H47"/>
    <mergeCell ref="C48:H48"/>
    <mergeCell ref="J39:J43"/>
    <mergeCell ref="C34:H34"/>
    <mergeCell ref="C35:H35"/>
    <mergeCell ref="C36:H36"/>
    <mergeCell ref="C37:H37"/>
    <mergeCell ref="C38:H38"/>
    <mergeCell ref="B50:H50"/>
    <mergeCell ref="C22:H22"/>
    <mergeCell ref="C12:H12"/>
    <mergeCell ref="C14:H14"/>
    <mergeCell ref="C15:H15"/>
    <mergeCell ref="C16:H16"/>
    <mergeCell ref="C17:H17"/>
    <mergeCell ref="C13:H13"/>
    <mergeCell ref="C18:H18"/>
    <mergeCell ref="C19:H19"/>
    <mergeCell ref="C20:H20"/>
    <mergeCell ref="C21:H21"/>
    <mergeCell ref="C23:H23"/>
    <mergeCell ref="C24:H24"/>
    <mergeCell ref="C25:H25"/>
    <mergeCell ref="C27:H27"/>
    <mergeCell ref="M23:M24"/>
    <mergeCell ref="C11:H11"/>
    <mergeCell ref="B2:I2"/>
    <mergeCell ref="C6:H6"/>
    <mergeCell ref="C8:H8"/>
    <mergeCell ref="C9:H9"/>
    <mergeCell ref="C10:H10"/>
    <mergeCell ref="C7:H7"/>
    <mergeCell ref="C32:H32"/>
    <mergeCell ref="C33:H33"/>
    <mergeCell ref="C26:H26"/>
    <mergeCell ref="C28:H28"/>
    <mergeCell ref="C29:H29"/>
    <mergeCell ref="C30:H30"/>
    <mergeCell ref="C31:H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3B8E-5C8F-4C2F-92A4-4011E60A59F0}">
  <dimension ref="B2:M17"/>
  <sheetViews>
    <sheetView showGridLines="0" topLeftCell="B13" workbookViewId="0">
      <selection activeCell="J27" sqref="J27"/>
    </sheetView>
  </sheetViews>
  <sheetFormatPr defaultRowHeight="14.4" x14ac:dyDescent="0.3"/>
  <cols>
    <col min="9" max="9" width="19.5546875" customWidth="1"/>
    <col min="10" max="10" width="88.33203125" customWidth="1"/>
    <col min="11" max="12" width="8.88671875" hidden="1" customWidth="1"/>
    <col min="13" max="13" width="17.6640625" customWidth="1"/>
  </cols>
  <sheetData>
    <row r="2" spans="2:13" x14ac:dyDescent="0.3">
      <c r="B2" s="79" t="s">
        <v>31</v>
      </c>
      <c r="C2" s="79"/>
      <c r="D2" s="79"/>
      <c r="E2" s="79"/>
      <c r="F2" s="79"/>
      <c r="G2" s="79"/>
      <c r="H2" s="79"/>
      <c r="I2" s="79"/>
      <c r="J2" s="69"/>
      <c r="M2" s="69"/>
    </row>
    <row r="3" spans="2:13" ht="6" customHeight="1" x14ac:dyDescent="0.3"/>
    <row r="4" spans="2:13" x14ac:dyDescent="0.3">
      <c r="B4" s="3" t="s">
        <v>101</v>
      </c>
      <c r="C4" s="3"/>
      <c r="D4" s="3"/>
      <c r="E4" s="3"/>
      <c r="F4" s="1"/>
      <c r="G4" s="1"/>
      <c r="H4" s="1"/>
      <c r="I4" s="1"/>
      <c r="J4" s="11"/>
      <c r="M4" s="11"/>
    </row>
    <row r="5" spans="2:13" ht="10.5" customHeight="1" x14ac:dyDescent="0.3"/>
    <row r="6" spans="2:13" ht="30.6" customHeight="1" x14ac:dyDescent="0.3">
      <c r="B6" s="11" t="s">
        <v>17</v>
      </c>
      <c r="C6" s="78" t="s">
        <v>18</v>
      </c>
      <c r="D6" s="78"/>
      <c r="E6" s="78"/>
      <c r="F6" s="78"/>
      <c r="G6" s="78"/>
      <c r="H6" s="78"/>
      <c r="I6" s="112" t="s">
        <v>183</v>
      </c>
      <c r="J6" s="63" t="s">
        <v>3</v>
      </c>
      <c r="M6" s="63" t="s">
        <v>184</v>
      </c>
    </row>
    <row r="7" spans="2:13" ht="58.8" customHeight="1" x14ac:dyDescent="0.3">
      <c r="B7" s="13">
        <v>1</v>
      </c>
      <c r="C7" s="80" t="s">
        <v>102</v>
      </c>
      <c r="D7" s="80"/>
      <c r="E7" s="80"/>
      <c r="F7" s="80"/>
      <c r="G7" s="80"/>
      <c r="H7" s="80"/>
      <c r="I7" s="57">
        <v>9899618950</v>
      </c>
      <c r="J7" s="60" t="s">
        <v>123</v>
      </c>
      <c r="L7" s="12">
        <v>0</v>
      </c>
      <c r="M7" s="70">
        <f>I7*L7</f>
        <v>0</v>
      </c>
    </row>
    <row r="8" spans="2:13" ht="90" customHeight="1" x14ac:dyDescent="0.3">
      <c r="B8" s="13">
        <v>2</v>
      </c>
      <c r="C8" s="80" t="s">
        <v>103</v>
      </c>
      <c r="D8" s="80"/>
      <c r="E8" s="80"/>
      <c r="F8" s="80"/>
      <c r="G8" s="80"/>
      <c r="H8" s="80"/>
      <c r="I8" s="111">
        <f>301.35*10^7</f>
        <v>3013500000</v>
      </c>
      <c r="J8" s="60" t="s">
        <v>156</v>
      </c>
      <c r="L8" s="12">
        <v>0.5</v>
      </c>
      <c r="M8" s="52">
        <f t="shared" ref="M8:M14" si="0">I8*L8</f>
        <v>1506750000</v>
      </c>
    </row>
    <row r="9" spans="2:13" ht="60" customHeight="1" x14ac:dyDescent="0.3">
      <c r="B9" s="13">
        <v>3</v>
      </c>
      <c r="C9" s="80" t="s">
        <v>104</v>
      </c>
      <c r="D9" s="80"/>
      <c r="E9" s="80"/>
      <c r="F9" s="80"/>
      <c r="G9" s="80"/>
      <c r="H9" s="80"/>
      <c r="I9" s="52">
        <f>47593635+89.03133</f>
        <v>47593724.031329997</v>
      </c>
      <c r="J9" s="60" t="s">
        <v>177</v>
      </c>
      <c r="L9" s="12">
        <v>0.8</v>
      </c>
      <c r="M9" s="52">
        <f t="shared" si="0"/>
        <v>38074979.225064002</v>
      </c>
    </row>
    <row r="10" spans="2:13" ht="71.400000000000006" customHeight="1" x14ac:dyDescent="0.3">
      <c r="B10" s="13">
        <v>4</v>
      </c>
      <c r="C10" s="80" t="s">
        <v>105</v>
      </c>
      <c r="D10" s="80"/>
      <c r="E10" s="80"/>
      <c r="F10" s="80"/>
      <c r="G10" s="80"/>
      <c r="H10" s="80"/>
      <c r="I10" s="52">
        <f>192101881+8903133</f>
        <v>201005014</v>
      </c>
      <c r="J10" s="59" t="s">
        <v>178</v>
      </c>
      <c r="L10" s="12">
        <v>0.8</v>
      </c>
      <c r="M10" s="52">
        <f t="shared" si="0"/>
        <v>160804011.20000002</v>
      </c>
    </row>
    <row r="11" spans="2:13" ht="72.599999999999994" customHeight="1" x14ac:dyDescent="0.3">
      <c r="B11" s="13">
        <v>5</v>
      </c>
      <c r="C11" s="80" t="s">
        <v>106</v>
      </c>
      <c r="D11" s="80"/>
      <c r="E11" s="80"/>
      <c r="F11" s="80"/>
      <c r="G11" s="80"/>
      <c r="H11" s="80"/>
      <c r="I11" s="52">
        <f>51795635+41976598</f>
        <v>93772233</v>
      </c>
      <c r="J11" s="59" t="s">
        <v>179</v>
      </c>
      <c r="L11" s="12">
        <v>0.8</v>
      </c>
      <c r="M11" s="52">
        <f t="shared" si="0"/>
        <v>75017786.400000006</v>
      </c>
    </row>
    <row r="12" spans="2:13" ht="72" x14ac:dyDescent="0.3">
      <c r="B12" s="13">
        <v>6</v>
      </c>
      <c r="C12" s="80" t="s">
        <v>107</v>
      </c>
      <c r="D12" s="80"/>
      <c r="E12" s="80"/>
      <c r="F12" s="80"/>
      <c r="G12" s="80"/>
      <c r="H12" s="80"/>
      <c r="I12" s="52">
        <v>34400000</v>
      </c>
      <c r="J12" s="59" t="s">
        <v>180</v>
      </c>
      <c r="L12" s="12">
        <v>0.8</v>
      </c>
      <c r="M12" s="52">
        <f t="shared" si="0"/>
        <v>27520000</v>
      </c>
    </row>
    <row r="13" spans="2:13" ht="72" x14ac:dyDescent="0.3">
      <c r="B13" s="13">
        <v>7</v>
      </c>
      <c r="C13" s="80" t="s">
        <v>108</v>
      </c>
      <c r="D13" s="80"/>
      <c r="E13" s="80"/>
      <c r="F13" s="80"/>
      <c r="G13" s="80"/>
      <c r="H13" s="80"/>
      <c r="I13" s="52">
        <v>40821517</v>
      </c>
      <c r="J13" s="59" t="s">
        <v>181</v>
      </c>
      <c r="L13" s="12">
        <v>0.8</v>
      </c>
      <c r="M13" s="52">
        <f t="shared" si="0"/>
        <v>32657213.600000001</v>
      </c>
    </row>
    <row r="14" spans="2:13" ht="48" customHeight="1" x14ac:dyDescent="0.3">
      <c r="B14" s="13">
        <v>8</v>
      </c>
      <c r="C14" s="80" t="s">
        <v>109</v>
      </c>
      <c r="D14" s="80"/>
      <c r="E14" s="80"/>
      <c r="F14" s="80"/>
      <c r="G14" s="80"/>
      <c r="H14" s="80"/>
      <c r="I14" s="57">
        <f>(381.62+351.01+196.73+379.37)*10^7</f>
        <v>13087300000</v>
      </c>
      <c r="J14" s="59" t="s">
        <v>124</v>
      </c>
      <c r="L14" s="12">
        <v>0</v>
      </c>
      <c r="M14" s="52">
        <f t="shared" si="0"/>
        <v>0</v>
      </c>
    </row>
    <row r="15" spans="2:13" x14ac:dyDescent="0.3">
      <c r="B15" s="13">
        <v>9</v>
      </c>
      <c r="C15" s="80" t="s">
        <v>110</v>
      </c>
      <c r="D15" s="80"/>
      <c r="E15" s="80"/>
      <c r="F15" s="80"/>
      <c r="G15" s="80"/>
      <c r="H15" s="80"/>
      <c r="I15" s="40" t="s">
        <v>52</v>
      </c>
      <c r="J15" s="10"/>
      <c r="M15" s="41">
        <f>SUM(M7:M14)</f>
        <v>1840823990.4250641</v>
      </c>
    </row>
    <row r="16" spans="2:13" x14ac:dyDescent="0.3">
      <c r="B16" s="13">
        <v>10</v>
      </c>
      <c r="C16" s="80" t="s">
        <v>111</v>
      </c>
      <c r="D16" s="80"/>
      <c r="E16" s="80"/>
      <c r="F16" s="80"/>
      <c r="G16" s="80"/>
      <c r="H16" s="80"/>
      <c r="I16" s="40" t="s">
        <v>112</v>
      </c>
      <c r="J16" s="10"/>
      <c r="M16" s="10"/>
    </row>
    <row r="17" spans="2:13" x14ac:dyDescent="0.3">
      <c r="B17" s="81" t="s">
        <v>19</v>
      </c>
      <c r="C17" s="81"/>
      <c r="D17" s="81"/>
      <c r="E17" s="81"/>
      <c r="F17" s="81"/>
      <c r="G17" s="81"/>
      <c r="H17" s="81"/>
      <c r="I17" s="41">
        <f>SUM(I7:I14)</f>
        <v>26418011438.03133</v>
      </c>
      <c r="J17" s="10"/>
      <c r="M17" s="10"/>
    </row>
  </sheetData>
  <mergeCells count="13">
    <mergeCell ref="B17:H17"/>
    <mergeCell ref="C11:H11"/>
    <mergeCell ref="C12:H12"/>
    <mergeCell ref="C13:H13"/>
    <mergeCell ref="C14:H14"/>
    <mergeCell ref="C15:H15"/>
    <mergeCell ref="C16:H16"/>
    <mergeCell ref="C10:H10"/>
    <mergeCell ref="B2:I2"/>
    <mergeCell ref="C6:H6"/>
    <mergeCell ref="C7:H7"/>
    <mergeCell ref="C8:H8"/>
    <mergeCell ref="C9:H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1"/>
  <sheetViews>
    <sheetView showGridLines="0" tabSelected="1" workbookViewId="0">
      <selection activeCell="D21" sqref="D21"/>
    </sheetView>
  </sheetViews>
  <sheetFormatPr defaultRowHeight="14.4" x14ac:dyDescent="0.3"/>
  <cols>
    <col min="1" max="1" width="17.5546875" customWidth="1"/>
    <col min="2" max="2" width="44" customWidth="1"/>
    <col min="3" max="3" width="18.21875" customWidth="1"/>
    <col min="4" max="4" width="34.88671875" customWidth="1"/>
    <col min="5" max="5" width="13.88671875" bestFit="1" customWidth="1"/>
    <col min="6" max="6" width="19.6640625" customWidth="1"/>
    <col min="7" max="7" width="12.44140625" customWidth="1"/>
    <col min="8" max="8" width="10.44140625" customWidth="1"/>
    <col min="9" max="9" width="13" customWidth="1"/>
    <col min="10" max="10" width="10.44140625" customWidth="1"/>
    <col min="11" max="11" width="10.6640625" customWidth="1"/>
  </cols>
  <sheetData>
    <row r="2" spans="1:13" x14ac:dyDescent="0.3">
      <c r="B2" s="79" t="s">
        <v>31</v>
      </c>
      <c r="C2" s="79"/>
      <c r="D2" s="79"/>
    </row>
    <row r="4" spans="1:13" ht="18" customHeight="1" x14ac:dyDescent="0.3">
      <c r="B4" s="28" t="s">
        <v>1</v>
      </c>
      <c r="C4" s="20" t="s">
        <v>2</v>
      </c>
      <c r="D4" s="20" t="s">
        <v>3</v>
      </c>
      <c r="G4" t="s">
        <v>21</v>
      </c>
      <c r="H4" s="19">
        <v>7</v>
      </c>
      <c r="M4">
        <v>5</v>
      </c>
    </row>
    <row r="5" spans="1:13" ht="15.75" customHeight="1" x14ac:dyDescent="0.3">
      <c r="B5" s="46" t="s">
        <v>23</v>
      </c>
      <c r="C5" s="15">
        <f>'REL Claims'!L46/10^7</f>
        <v>2408.7511715200003</v>
      </c>
      <c r="D5" s="14"/>
      <c r="E5" s="58">
        <f>('REL Claims'!L46-'NHAI Claims'!M15-'EPC Claims'!L24)/10^7</f>
        <v>1553.8526646366936</v>
      </c>
      <c r="M5">
        <v>7</v>
      </c>
    </row>
    <row r="6" spans="1:13" ht="16.5" customHeight="1" x14ac:dyDescent="0.3">
      <c r="B6" s="46" t="s">
        <v>22</v>
      </c>
      <c r="C6" s="16">
        <v>0</v>
      </c>
      <c r="D6" s="14"/>
      <c r="G6" s="101" t="s">
        <v>13</v>
      </c>
      <c r="H6" s="101"/>
      <c r="I6" s="101"/>
    </row>
    <row r="7" spans="1:13" ht="18" customHeight="1" x14ac:dyDescent="0.3">
      <c r="B7" s="47" t="s">
        <v>28</v>
      </c>
      <c r="C7" s="18">
        <f>C5-C6</f>
        <v>2408.7511715200003</v>
      </c>
      <c r="D7" s="17"/>
      <c r="G7" s="102" t="s">
        <v>113</v>
      </c>
      <c r="H7" s="102"/>
      <c r="I7" s="38">
        <v>0.12</v>
      </c>
      <c r="J7" s="21" t="s">
        <v>6</v>
      </c>
    </row>
    <row r="8" spans="1:13" ht="20.25" customHeight="1" x14ac:dyDescent="0.3">
      <c r="B8" s="43" t="s">
        <v>20</v>
      </c>
      <c r="C8" s="15">
        <f>'EPC Claims'!L24/10^7</f>
        <v>670.8161078408001</v>
      </c>
      <c r="G8" s="102" t="s">
        <v>24</v>
      </c>
      <c r="H8" s="102"/>
      <c r="I8" s="36">
        <v>0.04</v>
      </c>
    </row>
    <row r="9" spans="1:13" ht="32.25" customHeight="1" x14ac:dyDescent="0.3">
      <c r="B9" s="43" t="s">
        <v>29</v>
      </c>
      <c r="C9" s="15">
        <f>'NHAI Claims'!M15/10^7</f>
        <v>184.08239904250641</v>
      </c>
      <c r="G9" s="103" t="s">
        <v>25</v>
      </c>
      <c r="H9" s="103"/>
      <c r="I9" s="37">
        <f>SUM(I7:I8)</f>
        <v>0.16</v>
      </c>
    </row>
    <row r="10" spans="1:13" ht="18" customHeight="1" x14ac:dyDescent="0.3">
      <c r="B10" s="47" t="s">
        <v>182</v>
      </c>
      <c r="C10" s="18">
        <f>C7-C8-C9</f>
        <v>1553.8526646366936</v>
      </c>
      <c r="D10" s="17"/>
    </row>
    <row r="11" spans="1:13" ht="37.5" customHeight="1" x14ac:dyDescent="0.3">
      <c r="A11" s="23">
        <v>0.9</v>
      </c>
      <c r="B11" s="42" t="s">
        <v>27</v>
      </c>
      <c r="C11" s="15">
        <f>C10*A11</f>
        <v>1398.4673981730243</v>
      </c>
      <c r="D11" s="26"/>
      <c r="E11" s="12"/>
      <c r="H11" s="15"/>
      <c r="I11" s="7"/>
    </row>
    <row r="12" spans="1:13" x14ac:dyDescent="0.3">
      <c r="A12" s="23"/>
      <c r="B12" s="46"/>
      <c r="C12" s="15"/>
      <c r="D12" s="25"/>
      <c r="E12" s="12"/>
      <c r="G12" s="35"/>
      <c r="H12" s="15"/>
    </row>
    <row r="13" spans="1:13" x14ac:dyDescent="0.3">
      <c r="B13" s="47" t="s">
        <v>115</v>
      </c>
      <c r="C13" s="18">
        <f>C11-C12</f>
        <v>1398.4673981730243</v>
      </c>
      <c r="D13" s="17"/>
    </row>
    <row r="14" spans="1:13" hidden="1" x14ac:dyDescent="0.3">
      <c r="B14" s="47" t="s">
        <v>7</v>
      </c>
      <c r="C14" s="22">
        <f>H12</f>
        <v>0</v>
      </c>
      <c r="D14" s="17" t="s">
        <v>5</v>
      </c>
    </row>
    <row r="15" spans="1:13" hidden="1" x14ac:dyDescent="0.3">
      <c r="B15" s="47" t="s">
        <v>4</v>
      </c>
      <c r="C15" s="22" t="e">
        <f>C14-#REF!</f>
        <v>#REF!</v>
      </c>
      <c r="D15" s="17" t="s">
        <v>8</v>
      </c>
    </row>
    <row r="16" spans="1:13" ht="19.5" hidden="1" customHeight="1" x14ac:dyDescent="0.3">
      <c r="B16" s="44" t="s">
        <v>0</v>
      </c>
      <c r="C16" s="24" t="e">
        <f>C15</f>
        <v>#REF!</v>
      </c>
      <c r="D16" s="2"/>
    </row>
    <row r="17" spans="1:13" x14ac:dyDescent="0.3">
      <c r="B17" s="45"/>
    </row>
    <row r="18" spans="1:13" ht="38.25" customHeight="1" x14ac:dyDescent="0.3">
      <c r="B18" s="34" t="s">
        <v>26</v>
      </c>
      <c r="C18" s="33">
        <f>G27</f>
        <v>578.21256798122249</v>
      </c>
      <c r="D18" s="27" t="s">
        <v>30</v>
      </c>
    </row>
    <row r="19" spans="1:13" x14ac:dyDescent="0.3">
      <c r="C19" s="6"/>
    </row>
    <row r="20" spans="1:13" ht="22.5" customHeight="1" x14ac:dyDescent="0.3">
      <c r="F20" s="4" t="s">
        <v>9</v>
      </c>
      <c r="G20" s="9">
        <v>1</v>
      </c>
      <c r="H20" s="9">
        <f>G20+1</f>
        <v>2</v>
      </c>
      <c r="I20" s="9">
        <f t="shared" ref="I20:K20" si="0">H20+1</f>
        <v>3</v>
      </c>
      <c r="J20" s="9">
        <f t="shared" si="0"/>
        <v>4</v>
      </c>
      <c r="K20" s="9">
        <f t="shared" si="0"/>
        <v>5</v>
      </c>
      <c r="L20" s="9">
        <f t="shared" ref="L20" si="1">K20+1</f>
        <v>6</v>
      </c>
      <c r="M20" s="9">
        <f t="shared" ref="M20" si="2">L20+1</f>
        <v>7</v>
      </c>
    </row>
    <row r="21" spans="1:13" ht="18" customHeight="1" x14ac:dyDescent="0.3">
      <c r="F21" s="5" t="s">
        <v>15</v>
      </c>
      <c r="G21" s="8">
        <f>C13</f>
        <v>1398.4673981730243</v>
      </c>
      <c r="H21" s="6"/>
      <c r="I21" s="6"/>
      <c r="J21" s="6"/>
      <c r="K21" s="6"/>
    </row>
    <row r="22" spans="1:13" ht="18" customHeight="1" x14ac:dyDescent="0.3">
      <c r="A22" s="28" t="s">
        <v>114</v>
      </c>
      <c r="B22" s="55">
        <f>C18</f>
        <v>578.21256798122249</v>
      </c>
      <c r="F22" s="5" t="s">
        <v>10</v>
      </c>
      <c r="G22" s="8">
        <v>0</v>
      </c>
      <c r="H22" s="8">
        <v>0</v>
      </c>
      <c r="I22" s="8">
        <v>0</v>
      </c>
      <c r="J22" s="8">
        <v>0</v>
      </c>
      <c r="K22" s="8">
        <f>$G$21/3</f>
        <v>466.15579939100809</v>
      </c>
      <c r="L22" s="8">
        <f>$G$21/3</f>
        <v>466.15579939100809</v>
      </c>
      <c r="M22" s="8">
        <f>$G$21/3</f>
        <v>466.15579939100809</v>
      </c>
    </row>
    <row r="23" spans="1:13" ht="18" customHeight="1" x14ac:dyDescent="0.3">
      <c r="A23" s="12">
        <v>0.9</v>
      </c>
      <c r="B23">
        <f t="dataTable" ref="B23:B26" dt2D="0" dtr="0" r1="A11"/>
        <v>578.21256798122249</v>
      </c>
      <c r="F23" s="5" t="s">
        <v>11</v>
      </c>
      <c r="G23" s="6">
        <v>1</v>
      </c>
      <c r="H23" s="6">
        <f>G23+1</f>
        <v>2</v>
      </c>
      <c r="I23" s="6">
        <f t="shared" ref="I23:K23" si="3">H23+1</f>
        <v>3</v>
      </c>
      <c r="J23" s="6">
        <f t="shared" si="3"/>
        <v>4</v>
      </c>
      <c r="K23" s="6">
        <f t="shared" si="3"/>
        <v>5</v>
      </c>
      <c r="L23" s="6">
        <f t="shared" ref="L23" si="4">K23+1</f>
        <v>6</v>
      </c>
      <c r="M23" s="6">
        <f t="shared" ref="M23" si="5">L23+1</f>
        <v>7</v>
      </c>
    </row>
    <row r="24" spans="1:13" ht="18" customHeight="1" x14ac:dyDescent="0.3">
      <c r="A24" s="12">
        <v>0.8</v>
      </c>
      <c r="B24">
        <v>513.96672709441998</v>
      </c>
      <c r="F24" s="5" t="s">
        <v>12</v>
      </c>
      <c r="G24" s="30">
        <f>1/(1+$G$25)^G23</f>
        <v>0.86206896551724144</v>
      </c>
      <c r="H24" s="30">
        <f>1/(1+$G$25)^H23</f>
        <v>0.74316290130796681</v>
      </c>
      <c r="I24" s="30">
        <f>1/(1+$G$25)^I23</f>
        <v>0.64065767354135073</v>
      </c>
      <c r="J24" s="30">
        <f>1/(1+$G$25)^J23</f>
        <v>0.5522910978804747</v>
      </c>
      <c r="K24" s="30">
        <f>1/(1+$G$25)^K23</f>
        <v>0.47611301541420237</v>
      </c>
      <c r="L24" s="30">
        <f t="shared" ref="L24:M24" si="6">1/(1+$G$25)^L23</f>
        <v>0.41044225466741585</v>
      </c>
      <c r="M24" s="30">
        <f t="shared" si="6"/>
        <v>0.35382952988570338</v>
      </c>
    </row>
    <row r="25" spans="1:13" ht="18" customHeight="1" x14ac:dyDescent="0.3">
      <c r="A25" s="12">
        <v>0.5</v>
      </c>
      <c r="B25">
        <v>321.2292044340125</v>
      </c>
      <c r="F25" s="5" t="s">
        <v>13</v>
      </c>
      <c r="G25" s="31">
        <f>I9</f>
        <v>0.16</v>
      </c>
      <c r="H25" s="6"/>
      <c r="I25" s="6"/>
      <c r="J25" s="6"/>
      <c r="K25" s="6"/>
    </row>
    <row r="26" spans="1:13" ht="18" customHeight="1" x14ac:dyDescent="0.3">
      <c r="A26" s="12">
        <v>0.3</v>
      </c>
      <c r="B26">
        <v>192.73752266040748</v>
      </c>
      <c r="F26" s="5" t="s">
        <v>14</v>
      </c>
      <c r="G26" s="8">
        <f>G22*G24</f>
        <v>0</v>
      </c>
      <c r="H26" s="8">
        <f t="shared" ref="H26:M26" si="7">H22*H24</f>
        <v>0</v>
      </c>
      <c r="I26" s="8">
        <f t="shared" si="7"/>
        <v>0</v>
      </c>
      <c r="J26" s="8">
        <f t="shared" si="7"/>
        <v>0</v>
      </c>
      <c r="K26" s="8">
        <f t="shared" si="7"/>
        <v>221.94284330087086</v>
      </c>
      <c r="L26" s="8">
        <f t="shared" si="7"/>
        <v>191.33003732833697</v>
      </c>
      <c r="M26" s="8">
        <f t="shared" si="7"/>
        <v>164.93968735201463</v>
      </c>
    </row>
    <row r="27" spans="1:13" ht="31.5" customHeight="1" x14ac:dyDescent="0.3">
      <c r="F27" s="32" t="s">
        <v>16</v>
      </c>
      <c r="G27" s="33">
        <f>SUM(G26:M26)</f>
        <v>578.21256798122249</v>
      </c>
      <c r="H27" s="4"/>
      <c r="I27" s="4"/>
      <c r="J27" s="4"/>
      <c r="K27" s="29"/>
      <c r="L27" s="29"/>
      <c r="M27" s="29"/>
    </row>
    <row r="28" spans="1:13" x14ac:dyDescent="0.3">
      <c r="A28" s="34" t="s">
        <v>26</v>
      </c>
      <c r="B28" s="33">
        <f>C18</f>
        <v>578.21256798122249</v>
      </c>
    </row>
    <row r="29" spans="1:13" x14ac:dyDescent="0.3">
      <c r="A29" t="s">
        <v>116</v>
      </c>
      <c r="B29" s="6">
        <v>2068.29</v>
      </c>
    </row>
    <row r="30" spans="1:13" x14ac:dyDescent="0.3">
      <c r="A30" t="s">
        <v>117</v>
      </c>
      <c r="B30" s="6">
        <f>73.95*20%</f>
        <v>14.790000000000001</v>
      </c>
    </row>
    <row r="31" spans="1:13" x14ac:dyDescent="0.3">
      <c r="A31" s="34" t="s">
        <v>0</v>
      </c>
      <c r="B31" s="33">
        <f>B28+B29+B30</f>
        <v>2661.2925679812224</v>
      </c>
    </row>
  </sheetData>
  <mergeCells count="5">
    <mergeCell ref="G6:I6"/>
    <mergeCell ref="G7:H7"/>
    <mergeCell ref="G8:H8"/>
    <mergeCell ref="G9:H9"/>
    <mergeCell ref="B2:D2"/>
  </mergeCells>
  <dataValidations count="2">
    <dataValidation type="list" allowBlank="1" showInputMessage="1" showErrorMessage="1" sqref="H4" xr:uid="{00000000-0002-0000-0600-000000000000}">
      <formula1>$M$4:$M$5</formula1>
    </dataValidation>
    <dataValidation type="list" allowBlank="1" showInputMessage="1" showErrorMessage="1" sqref="A11" xr:uid="{BDDAE26B-4840-4D9F-AA2B-BD1FEFD2C47C}">
      <formula1>$A$23:$A$26</formula1>
    </dataValidation>
  </dataValidations>
  <hyperlinks>
    <hyperlink ref="J7" r:id="rId1" xr:uid="{00000000-0004-0000-06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7C26-EC08-493B-A2EE-4B4874E95B22}">
  <dimension ref="A1:E20"/>
  <sheetViews>
    <sheetView topLeftCell="A4" workbookViewId="0">
      <selection activeCell="B20" sqref="B20"/>
    </sheetView>
  </sheetViews>
  <sheetFormatPr defaultRowHeight="14.4" x14ac:dyDescent="0.3"/>
  <cols>
    <col min="1" max="1" width="15.88671875" customWidth="1"/>
    <col min="2" max="2" width="28.33203125" customWidth="1"/>
    <col min="3" max="3" width="13.109375" customWidth="1"/>
    <col min="4" max="4" width="14.21875" customWidth="1"/>
    <col min="5" max="5" width="14.33203125" customWidth="1"/>
  </cols>
  <sheetData>
    <row r="1" spans="1:5" ht="23.25" customHeight="1" x14ac:dyDescent="0.3">
      <c r="A1" s="104" t="s">
        <v>134</v>
      </c>
      <c r="B1" s="104"/>
      <c r="C1" s="104"/>
      <c r="D1" s="104"/>
      <c r="E1" s="104"/>
    </row>
    <row r="2" spans="1:5" ht="43.2" x14ac:dyDescent="0.3">
      <c r="A2" s="11" t="s">
        <v>135</v>
      </c>
      <c r="B2" s="11" t="s">
        <v>136</v>
      </c>
      <c r="C2" s="63" t="s">
        <v>137</v>
      </c>
      <c r="D2" s="63" t="s">
        <v>138</v>
      </c>
      <c r="E2" s="63" t="s">
        <v>139</v>
      </c>
    </row>
    <row r="3" spans="1:5" ht="28.8" x14ac:dyDescent="0.3">
      <c r="A3" s="48">
        <v>1</v>
      </c>
      <c r="B3" s="65" t="s">
        <v>140</v>
      </c>
      <c r="C3" s="48">
        <v>34.840000000000003</v>
      </c>
      <c r="D3" s="48">
        <v>21.31</v>
      </c>
      <c r="E3" s="48">
        <v>0</v>
      </c>
    </row>
    <row r="4" spans="1:5" x14ac:dyDescent="0.3">
      <c r="A4" s="48">
        <v>2</v>
      </c>
      <c r="B4" s="48" t="s">
        <v>141</v>
      </c>
      <c r="C4" s="48">
        <v>66.290000000000006</v>
      </c>
      <c r="D4" s="48">
        <v>40.54</v>
      </c>
      <c r="E4" s="48">
        <v>0.29199999999999998</v>
      </c>
    </row>
    <row r="5" spans="1:5" x14ac:dyDescent="0.3">
      <c r="A5" s="48">
        <v>3</v>
      </c>
      <c r="B5" s="48" t="s">
        <v>142</v>
      </c>
      <c r="C5" s="48">
        <v>75.12</v>
      </c>
      <c r="D5" s="48">
        <v>45.94</v>
      </c>
      <c r="E5" s="48">
        <v>0.78200000000000003</v>
      </c>
    </row>
    <row r="6" spans="1:5" x14ac:dyDescent="0.3">
      <c r="A6" s="48">
        <v>4</v>
      </c>
      <c r="B6" s="48" t="s">
        <v>143</v>
      </c>
      <c r="C6" s="48">
        <v>99.59</v>
      </c>
      <c r="D6" s="48">
        <v>60.89</v>
      </c>
      <c r="E6" s="48">
        <v>3.8279999999999998</v>
      </c>
    </row>
    <row r="7" spans="1:5" x14ac:dyDescent="0.3">
      <c r="A7" s="48">
        <v>5</v>
      </c>
      <c r="B7" s="48" t="s">
        <v>144</v>
      </c>
      <c r="C7" s="48">
        <v>100.29</v>
      </c>
      <c r="D7" s="48">
        <v>61.34</v>
      </c>
      <c r="E7" s="48">
        <v>28.19</v>
      </c>
    </row>
    <row r="8" spans="1:5" x14ac:dyDescent="0.3">
      <c r="A8" s="48">
        <v>6</v>
      </c>
      <c r="B8" s="48" t="s">
        <v>145</v>
      </c>
      <c r="C8" s="48">
        <v>128.87</v>
      </c>
      <c r="D8" s="48">
        <v>78.819999999999993</v>
      </c>
      <c r="E8" s="48">
        <v>40.54</v>
      </c>
    </row>
    <row r="9" spans="1:5" x14ac:dyDescent="0.3">
      <c r="A9" s="48">
        <v>7</v>
      </c>
      <c r="B9" s="48" t="s">
        <v>146</v>
      </c>
      <c r="C9" s="48">
        <v>130.37</v>
      </c>
      <c r="D9" s="48">
        <v>79.739999999999995</v>
      </c>
      <c r="E9" s="48">
        <v>53.148000000000003</v>
      </c>
    </row>
    <row r="10" spans="1:5" x14ac:dyDescent="0.3">
      <c r="B10" s="6"/>
      <c r="C10" s="6"/>
      <c r="D10" s="6"/>
    </row>
    <row r="13" spans="1:5" x14ac:dyDescent="0.3">
      <c r="B13" s="66">
        <v>41247</v>
      </c>
    </row>
    <row r="14" spans="1:5" x14ac:dyDescent="0.3">
      <c r="B14" s="66">
        <v>43146</v>
      </c>
    </row>
    <row r="15" spans="1:5" x14ac:dyDescent="0.3">
      <c r="A15" t="s">
        <v>150</v>
      </c>
      <c r="B15">
        <f>B14-B13</f>
        <v>1899</v>
      </c>
    </row>
    <row r="16" spans="1:5" x14ac:dyDescent="0.3">
      <c r="B16" s="67" t="s">
        <v>147</v>
      </c>
    </row>
    <row r="17" spans="1:2" x14ac:dyDescent="0.3">
      <c r="A17" t="s">
        <v>148</v>
      </c>
      <c r="B17">
        <v>133.19999999999999</v>
      </c>
    </row>
    <row r="18" spans="1:2" x14ac:dyDescent="0.3">
      <c r="A18" t="s">
        <v>149</v>
      </c>
      <c r="B18">
        <f>133.2/180</f>
        <v>0.74</v>
      </c>
    </row>
    <row r="20" spans="1:2" x14ac:dyDescent="0.3">
      <c r="A20" t="s">
        <v>151</v>
      </c>
      <c r="B20">
        <f>B18*B15</f>
        <v>1405.26</v>
      </c>
    </row>
  </sheetData>
  <mergeCells count="1">
    <mergeCell ref="A1:E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EPC Claims</vt:lpstr>
      <vt:lpstr>REL Claims</vt:lpstr>
      <vt:lpstr>NHAI Claims</vt:lpstr>
      <vt:lpstr>Arbitration Method RK</vt:lpstr>
      <vt:lpstr>Physical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2023-09-25T11:09:06Z</dcterms:modified>
</cp:coreProperties>
</file>