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showInkAnnotation="0"/>
  <mc:AlternateContent xmlns:mc="http://schemas.openxmlformats.org/markup-compatibility/2006">
    <mc:Choice Requires="x15">
      <x15ac:absPath xmlns:x15ac="http://schemas.microsoft.com/office/spreadsheetml/2010/11/ac" url="Y:\Files For Review\Rajani Gupta Ma'am\June Month\VIS(2023-24)-PL115-098-114_Best Crop Science Pvt. Ltd\Report\"/>
    </mc:Choice>
  </mc:AlternateContent>
  <xr:revisionPtr revIDLastSave="0" documentId="13_ncr:1_{A8D9CC75-FB13-4580-ABA1-B94581CDFD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8" i="1" l="1"/>
  <c r="N18" i="2"/>
  <c r="N17" i="2"/>
  <c r="J20" i="2"/>
  <c r="K20" i="2" s="1"/>
  <c r="K22" i="2" s="1"/>
  <c r="E52" i="1"/>
  <c r="K24" i="2" l="1"/>
  <c r="K23" i="2"/>
  <c r="F27" i="1"/>
  <c r="J13" i="2"/>
  <c r="J15" i="2" s="1"/>
  <c r="J16" i="2" s="1"/>
  <c r="J8" i="2"/>
  <c r="J9" i="2" s="1"/>
  <c r="M7" i="2"/>
  <c r="D4" i="2"/>
  <c r="E5" i="2"/>
  <c r="D5" i="2" s="1"/>
  <c r="E50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G21" i="1"/>
  <c r="P21" i="1" s="1"/>
  <c r="G22" i="1"/>
  <c r="P22" i="1" s="1"/>
  <c r="G23" i="1"/>
  <c r="P23" i="1" s="1"/>
  <c r="G24" i="1"/>
  <c r="P24" i="1" s="1"/>
  <c r="G25" i="1"/>
  <c r="P25" i="1" s="1"/>
  <c r="G26" i="1"/>
  <c r="P26" i="1" s="1"/>
  <c r="G27" i="1"/>
  <c r="P27" i="1" s="1"/>
  <c r="G28" i="1"/>
  <c r="P28" i="1" s="1"/>
  <c r="G29" i="1"/>
  <c r="P29" i="1" s="1"/>
  <c r="G30" i="1"/>
  <c r="P30" i="1" s="1"/>
  <c r="G31" i="1"/>
  <c r="P31" i="1" s="1"/>
  <c r="G32" i="1"/>
  <c r="P32" i="1" s="1"/>
  <c r="G33" i="1"/>
  <c r="P33" i="1" s="1"/>
  <c r="G34" i="1"/>
  <c r="P34" i="1" s="1"/>
  <c r="G35" i="1"/>
  <c r="P35" i="1" s="1"/>
  <c r="G36" i="1"/>
  <c r="P36" i="1" s="1"/>
  <c r="G37" i="1"/>
  <c r="P37" i="1" s="1"/>
  <c r="K32" i="1"/>
  <c r="Q32" i="1" l="1"/>
  <c r="R32" i="1" s="1"/>
  <c r="T32" i="1" s="1"/>
  <c r="F20" i="1"/>
  <c r="G20" i="1" s="1"/>
  <c r="P20" i="1" s="1"/>
  <c r="G19" i="1"/>
  <c r="P19" i="1" s="1"/>
  <c r="G18" i="1"/>
  <c r="P18" i="1" s="1"/>
  <c r="G17" i="1"/>
  <c r="P17" i="1" s="1"/>
  <c r="G16" i="1"/>
  <c r="P16" i="1" s="1"/>
  <c r="G15" i="1"/>
  <c r="P15" i="1" s="1"/>
  <c r="G14" i="1"/>
  <c r="P14" i="1" s="1"/>
  <c r="G13" i="1"/>
  <c r="P13" i="1" s="1"/>
  <c r="G11" i="1"/>
  <c r="P11" i="1" s="1"/>
  <c r="G12" i="1"/>
  <c r="P12" i="1" s="1"/>
  <c r="G8" i="1"/>
  <c r="G9" i="1"/>
  <c r="P9" i="1" s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Q21" i="1" s="1"/>
  <c r="R21" i="1" s="1"/>
  <c r="T21" i="1" s="1"/>
  <c r="K22" i="1"/>
  <c r="Q22" i="1" s="1"/>
  <c r="R22" i="1" s="1"/>
  <c r="T22" i="1" s="1"/>
  <c r="K23" i="1"/>
  <c r="Q23" i="1" s="1"/>
  <c r="R23" i="1" s="1"/>
  <c r="T23" i="1" s="1"/>
  <c r="K24" i="1"/>
  <c r="Q24" i="1" s="1"/>
  <c r="R24" i="1" s="1"/>
  <c r="T24" i="1" s="1"/>
  <c r="K25" i="1"/>
  <c r="Q25" i="1" s="1"/>
  <c r="R25" i="1" s="1"/>
  <c r="T25" i="1" s="1"/>
  <c r="K26" i="1"/>
  <c r="Q26" i="1" s="1"/>
  <c r="R26" i="1" s="1"/>
  <c r="T26" i="1" s="1"/>
  <c r="K27" i="1"/>
  <c r="Q27" i="1" s="1"/>
  <c r="R27" i="1" s="1"/>
  <c r="T27" i="1" s="1"/>
  <c r="K28" i="1"/>
  <c r="Q28" i="1" s="1"/>
  <c r="R28" i="1" s="1"/>
  <c r="T28" i="1" s="1"/>
  <c r="K29" i="1"/>
  <c r="Q29" i="1" s="1"/>
  <c r="R29" i="1" s="1"/>
  <c r="T29" i="1" s="1"/>
  <c r="K30" i="1"/>
  <c r="Q30" i="1" s="1"/>
  <c r="R30" i="1" s="1"/>
  <c r="T30" i="1" s="1"/>
  <c r="K31" i="1"/>
  <c r="Q31" i="1" s="1"/>
  <c r="R31" i="1" s="1"/>
  <c r="T31" i="1" s="1"/>
  <c r="K33" i="1"/>
  <c r="Q33" i="1" s="1"/>
  <c r="R33" i="1" s="1"/>
  <c r="T33" i="1" s="1"/>
  <c r="K34" i="1"/>
  <c r="Q34" i="1" s="1"/>
  <c r="R34" i="1" s="1"/>
  <c r="T34" i="1" s="1"/>
  <c r="K35" i="1"/>
  <c r="Q35" i="1" s="1"/>
  <c r="R35" i="1" s="1"/>
  <c r="T35" i="1" s="1"/>
  <c r="K36" i="1"/>
  <c r="Q36" i="1" s="1"/>
  <c r="R36" i="1" s="1"/>
  <c r="T36" i="1" s="1"/>
  <c r="K37" i="1"/>
  <c r="Q37" i="1" s="1"/>
  <c r="R37" i="1" s="1"/>
  <c r="T37" i="1" s="1"/>
  <c r="F7" i="1"/>
  <c r="F38" i="1" s="1"/>
  <c r="Q16" i="1" l="1"/>
  <c r="R16" i="1" s="1"/>
  <c r="T16" i="1" s="1"/>
  <c r="Q20" i="1"/>
  <c r="R20" i="1" s="1"/>
  <c r="T20" i="1" s="1"/>
  <c r="Q14" i="1"/>
  <c r="R14" i="1" s="1"/>
  <c r="T14" i="1" s="1"/>
  <c r="Q18" i="1"/>
  <c r="R18" i="1" s="1"/>
  <c r="T18" i="1" s="1"/>
  <c r="Q11" i="1"/>
  <c r="R11" i="1" s="1"/>
  <c r="T11" i="1" s="1"/>
  <c r="Q9" i="1"/>
  <c r="R9" i="1" s="1"/>
  <c r="T9" i="1" s="1"/>
  <c r="Q12" i="1"/>
  <c r="R12" i="1" s="1"/>
  <c r="T12" i="1" s="1"/>
  <c r="Q13" i="1"/>
  <c r="R13" i="1" s="1"/>
  <c r="T13" i="1" s="1"/>
  <c r="Q15" i="1"/>
  <c r="R15" i="1" s="1"/>
  <c r="T15" i="1" s="1"/>
  <c r="Q17" i="1"/>
  <c r="R17" i="1" s="1"/>
  <c r="T17" i="1" s="1"/>
  <c r="Q19" i="1"/>
  <c r="R19" i="1" s="1"/>
  <c r="T19" i="1" s="1"/>
  <c r="H52" i="1"/>
  <c r="H53" i="1"/>
  <c r="N8" i="1"/>
  <c r="K6" i="1"/>
  <c r="K7" i="1"/>
  <c r="K8" i="1"/>
  <c r="P8" i="1"/>
  <c r="G7" i="1"/>
  <c r="P7" i="1" s="1"/>
  <c r="N7" i="1"/>
  <c r="H54" i="1" l="1"/>
  <c r="Q8" i="1"/>
  <c r="R8" i="1" s="1"/>
  <c r="T8" i="1" s="1"/>
  <c r="Q7" i="1"/>
  <c r="R7" i="1" s="1"/>
  <c r="T7" i="1" s="1"/>
  <c r="G5" i="1"/>
  <c r="G6" i="1" l="1"/>
  <c r="N6" i="1"/>
  <c r="N5" i="1"/>
  <c r="K5" i="1"/>
  <c r="P6" i="1" l="1"/>
  <c r="P5" i="1"/>
  <c r="Q6" i="1" l="1"/>
  <c r="R6" i="1" s="1"/>
  <c r="T6" i="1" s="1"/>
  <c r="Q5" i="1"/>
  <c r="R5" i="1" l="1"/>
  <c r="T5" i="1" l="1"/>
  <c r="G10" i="1" l="1"/>
  <c r="P10" i="1" l="1"/>
  <c r="G38" i="1"/>
  <c r="Q10" i="1" l="1"/>
  <c r="P38" i="1"/>
  <c r="R10" i="1" l="1"/>
  <c r="Q38" i="1"/>
  <c r="T10" i="1" l="1"/>
  <c r="T38" i="1" s="1"/>
  <c r="E51" i="1" s="1"/>
  <c r="R38" i="1"/>
  <c r="E53" i="1" l="1"/>
  <c r="E54" i="1" l="1"/>
  <c r="E55" i="1" s="1"/>
  <c r="E57" i="1" l="1"/>
  <c r="H55" i="1"/>
  <c r="E56" i="1"/>
</calcChain>
</file>

<file path=xl/sharedStrings.xml><?xml version="1.0" encoding="utf-8"?>
<sst xmlns="http://schemas.openxmlformats.org/spreadsheetml/2006/main" count="144" uniqueCount="100">
  <si>
    <t>SR. No.</t>
  </si>
  <si>
    <t>Floor</t>
  </si>
  <si>
    <t>Type of Structure</t>
  </si>
  <si>
    <r>
      <t xml:space="preserve">Area 
</t>
    </r>
    <r>
      <rPr>
        <b/>
        <i/>
        <sz val="10"/>
        <rFont val="Calibri"/>
        <family val="2"/>
        <scheme val="minor"/>
      </rPr>
      <t>(in sq.ft)</t>
    </r>
  </si>
  <si>
    <r>
      <t xml:space="preserve">Height </t>
    </r>
    <r>
      <rPr>
        <b/>
        <i/>
        <sz val="10"/>
        <rFont val="Calibri"/>
        <family val="2"/>
        <scheme val="minor"/>
      </rPr>
      <t>(in ft.)</t>
    </r>
  </si>
  <si>
    <t>Year of Construction</t>
  </si>
  <si>
    <t xml:space="preserve">Year of Valuation 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</si>
  <si>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</si>
  <si>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</si>
  <si>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Salvage value</t>
  </si>
  <si>
    <t>Depreciation Rate</t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</si>
  <si>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</si>
  <si>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Gross Replacement Value
(INR)</t>
  </si>
  <si>
    <t xml:space="preserve">Depreciation
(INR) </t>
  </si>
  <si>
    <t>Depreciated Value
(INR)</t>
  </si>
  <si>
    <t>Discounting Factor</t>
  </si>
  <si>
    <t>Depreciated Replacement Market Value
(INR)</t>
  </si>
  <si>
    <t>TOTAL</t>
  </si>
  <si>
    <t>Remarks:</t>
  </si>
  <si>
    <r>
      <t>Area</t>
    </r>
    <r>
      <rPr>
        <b/>
        <sz val="10"/>
        <rFont val="Calibri"/>
        <family val="2"/>
        <scheme val="minor"/>
      </rPr>
      <t xml:space="preserve"> (in sq. mtr.)</t>
    </r>
  </si>
  <si>
    <t>LAND</t>
  </si>
  <si>
    <t>BUILDING</t>
  </si>
  <si>
    <t>TOTAL FMV</t>
  </si>
  <si>
    <t>ROUND OFF</t>
  </si>
  <si>
    <t>RV</t>
  </si>
  <si>
    <t>DV</t>
  </si>
  <si>
    <t>circle rate</t>
  </si>
  <si>
    <t>land</t>
  </si>
  <si>
    <t>building</t>
  </si>
  <si>
    <t>Ground Floor</t>
  </si>
  <si>
    <t>Guard Room</t>
  </si>
  <si>
    <t>2. All the area details has been taken as per the existing covered area mentioned in the site plan.</t>
  </si>
  <si>
    <t>Total</t>
  </si>
  <si>
    <t>P.D.</t>
  </si>
  <si>
    <t xml:space="preserve">Buildung Name </t>
  </si>
  <si>
    <t xml:space="preserve">Office shed </t>
  </si>
  <si>
    <t>Security Block</t>
  </si>
  <si>
    <t>Administrative Block</t>
  </si>
  <si>
    <t>Ground &amp; First Floor</t>
  </si>
  <si>
    <t>Medical Room</t>
  </si>
  <si>
    <t>R &amp; D Block</t>
  </si>
  <si>
    <t xml:space="preserve">Ground Floor </t>
  </si>
  <si>
    <t>RCC framed beam column on RCC slab</t>
  </si>
  <si>
    <t>QC, R&amp;D Lab</t>
  </si>
  <si>
    <t>ETP Plant for Lab</t>
  </si>
  <si>
    <t xml:space="preserve">Insectiside formulation plant </t>
  </si>
  <si>
    <t>Tin shed on steel structure over brick wall</t>
  </si>
  <si>
    <t>Utility Building area phase II</t>
  </si>
  <si>
    <t xml:space="preserve">RCC framed structure </t>
  </si>
  <si>
    <t>MCC 2</t>
  </si>
  <si>
    <t xml:space="preserve">Hazardous waste collection area </t>
  </si>
  <si>
    <t>Tin shed over brick wall</t>
  </si>
  <si>
    <t xml:space="preserve">Site Office </t>
  </si>
  <si>
    <t>Workman change room</t>
  </si>
  <si>
    <t xml:space="preserve">Tin shed </t>
  </si>
  <si>
    <t>Pump House</t>
  </si>
  <si>
    <t xml:space="preserve">RCC structure </t>
  </si>
  <si>
    <t>Water tank area</t>
  </si>
  <si>
    <t>Insectiside &amp; fungisides line</t>
  </si>
  <si>
    <t xml:space="preserve">Ground +3 Floors </t>
  </si>
  <si>
    <t>Tin shed over steel structure</t>
  </si>
  <si>
    <t>Toilet (behind Hydrogenetion plant)</t>
  </si>
  <si>
    <t>Ground</t>
  </si>
  <si>
    <t>RCC shed over brick wall</t>
  </si>
  <si>
    <t>Work Shop</t>
  </si>
  <si>
    <t xml:space="preserve">GI shed over steel structure </t>
  </si>
  <si>
    <t xml:space="preserve">Raw Material Storage </t>
  </si>
  <si>
    <t>Packaging area</t>
  </si>
  <si>
    <t xml:space="preserve">Ground </t>
  </si>
  <si>
    <t>DG Room</t>
  </si>
  <si>
    <t xml:space="preserve">Herbicides Formulation &amp; Pilot Plant </t>
  </si>
  <si>
    <t>Boiler Room</t>
  </si>
  <si>
    <t>Tin shed over Steel Structure</t>
  </si>
  <si>
    <t>Meter Room</t>
  </si>
  <si>
    <t>Switch Gear Room</t>
  </si>
  <si>
    <t>Tin shed with steel structure</t>
  </si>
  <si>
    <t>DG Shed</t>
  </si>
  <si>
    <t>Utility Building area</t>
  </si>
  <si>
    <t>ETP Area with RO &amp; MEE Plant</t>
  </si>
  <si>
    <t>ETP Expansion area</t>
  </si>
  <si>
    <t>Ground+2 Floors</t>
  </si>
  <si>
    <t>Ground +1 Floor</t>
  </si>
  <si>
    <t>Vent Gas Scrubber room</t>
  </si>
  <si>
    <t>Solvent Pump Room</t>
  </si>
  <si>
    <t>Boundary wall</t>
  </si>
  <si>
    <t>VCB Room</t>
  </si>
  <si>
    <t>5.Building under name Expn: Phase III 1st, 2nd &amp; 3rd floor (N20A, N20B) is being used as scrap yard. Hence, not included in the building valuation.</t>
  </si>
  <si>
    <t>7. Age of the building has been adopted 2010 as per the information gathered during site survey.</t>
  </si>
  <si>
    <r>
      <t>8.</t>
    </r>
    <r>
      <rPr>
        <b/>
        <i/>
        <sz val="10"/>
        <color theme="1"/>
        <rFont val="Calibri"/>
        <family val="2"/>
        <scheme val="minor"/>
      </rPr>
      <t xml:space="preserve"> The valuation is done by considering the depreciated replacement cost approach.</t>
    </r>
  </si>
  <si>
    <t>Extra Services (~5% of construction cost)</t>
  </si>
  <si>
    <t>sq yds</t>
  </si>
  <si>
    <t>sq.mtr</t>
  </si>
  <si>
    <t>BUILDING VALUATION OF M/S. BEST CROP SCIENCE PVT. LTD.|GAJRAULA-II, AMROHA, U.P.</t>
  </si>
  <si>
    <t>3. All the structure that has been taken in the area statemnet belonging to M/s. Best Crop Science Pvt. Ltd.</t>
  </si>
  <si>
    <t>Asbestos sheet mounted on brick wall</t>
  </si>
  <si>
    <t xml:space="preserve">PEB steel structure </t>
  </si>
  <si>
    <t>RCC framed structure + Tin shed strcuture</t>
  </si>
  <si>
    <t>1. All the details pertaing to the building area statement such as area, floor, etc has been taken from the unapproved site plan provided by the client</t>
  </si>
  <si>
    <t>4. Expansion of Utility building(N10A), boiler house (N10B), MCC room(N10C), briquettes store(N10D) is proposed for future expansion. Hence not considered.</t>
  </si>
  <si>
    <t>6.Storage tank(E10, New above ground solvent tanks(N28), Rain harvesting unit(E19), Sludge drying bed-1(N21), Underground and above ground tank farm(N27, N28) do not comes under shed area and constcution cost included in site development cost on lumpsum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</si>
</sst>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[$₹-4009]\ * #,##0_ ;_ [$₹-4009]\ * \-#,##0_ ;_ [$₹-4009]\ * &quot;-&quot;??_ ;_ @_ "/>
    <numFmt numFmtId="167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4" borderId="4" xfId="0" applyFont="1" applyFill="1" applyBorder="1"/>
    <xf numFmtId="166" fontId="0" fillId="5" borderId="4" xfId="0" applyNumberFormat="1" applyFill="1" applyBorder="1"/>
    <xf numFmtId="0" fontId="2" fillId="4" borderId="4" xfId="0" applyFont="1" applyFill="1" applyBorder="1" applyAlignment="1">
      <alignment wrapText="1"/>
    </xf>
    <xf numFmtId="166" fontId="2" fillId="5" borderId="4" xfId="0" applyNumberFormat="1" applyFont="1" applyFill="1" applyBorder="1"/>
    <xf numFmtId="165" fontId="2" fillId="5" borderId="4" xfId="1" applyNumberFormat="1" applyFont="1" applyFill="1" applyBorder="1"/>
    <xf numFmtId="167" fontId="0" fillId="0" borderId="0" xfId="3" applyNumberFormat="1" applyFont="1"/>
    <xf numFmtId="43" fontId="0" fillId="0" borderId="0" xfId="0" applyNumberFormat="1"/>
    <xf numFmtId="1" fontId="0" fillId="0" borderId="0" xfId="0" applyNumberFormat="1"/>
    <xf numFmtId="43" fontId="0" fillId="0" borderId="0" xfId="3" applyFont="1"/>
    <xf numFmtId="0" fontId="2" fillId="4" borderId="0" xfId="0" applyFont="1" applyFill="1"/>
    <xf numFmtId="9" fontId="0" fillId="0" borderId="0" xfId="2" applyFont="1"/>
    <xf numFmtId="9" fontId="0" fillId="5" borderId="4" xfId="2" applyFont="1" applyFill="1" applyBorder="1"/>
    <xf numFmtId="2" fontId="0" fillId="0" borderId="4" xfId="0" applyNumberFormat="1" applyBorder="1" applyAlignment="1">
      <alignment horizontal="center" vertical="center" wrapText="1"/>
    </xf>
    <xf numFmtId="167" fontId="2" fillId="3" borderId="4" xfId="3" applyNumberFormat="1" applyFont="1" applyFill="1" applyBorder="1" applyAlignment="1">
      <alignment horizontal="center" vertical="center"/>
    </xf>
    <xf numFmtId="165" fontId="2" fillId="3" borderId="4" xfId="1" applyNumberFormat="1" applyFont="1" applyFill="1" applyBorder="1" applyAlignment="1">
      <alignment horizontal="center" vertical="center"/>
    </xf>
    <xf numFmtId="167" fontId="0" fillId="0" borderId="0" xfId="0" applyNumberFormat="1"/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4" fontId="0" fillId="0" borderId="0" xfId="0" applyNumberForma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X57"/>
  <sheetViews>
    <sheetView tabSelected="1" topLeftCell="A28" zoomScale="85" zoomScaleNormal="85" workbookViewId="0">
      <selection activeCell="D16" sqref="B16:T47"/>
    </sheetView>
  </sheetViews>
  <sheetFormatPr defaultRowHeight="15" x14ac:dyDescent="0.25"/>
  <cols>
    <col min="1" max="1" width="7.42578125" customWidth="1"/>
    <col min="2" max="2" width="6.5703125" customWidth="1"/>
    <col min="3" max="3" width="15.7109375" customWidth="1"/>
    <col min="4" max="4" width="15.28515625" customWidth="1"/>
    <col min="5" max="5" width="19.7109375" style="9" customWidth="1"/>
    <col min="6" max="6" width="10.5703125" style="9" customWidth="1"/>
    <col min="7" max="7" width="10.28515625" customWidth="1"/>
    <col min="8" max="8" width="13.85546875" customWidth="1"/>
    <col min="9" max="9" width="12.28515625" customWidth="1"/>
    <col min="10" max="10" width="12.140625" customWidth="1"/>
    <col min="11" max="11" width="10.5703125" hidden="1" customWidth="1"/>
    <col min="12" max="12" width="14.7109375" hidden="1" customWidth="1"/>
    <col min="13" max="13" width="11.140625" hidden="1" customWidth="1"/>
    <col min="14" max="14" width="12.140625" hidden="1" customWidth="1"/>
    <col min="15" max="15" width="10.5703125" customWidth="1"/>
    <col min="16" max="16" width="15.140625" customWidth="1"/>
    <col min="17" max="17" width="19.5703125" hidden="1" customWidth="1"/>
    <col min="18" max="18" width="21.28515625" hidden="1" customWidth="1"/>
    <col min="19" max="19" width="12.7109375" hidden="1" customWidth="1"/>
    <col min="20" max="20" width="16.85546875" customWidth="1"/>
    <col min="21" max="21" width="9.140625" customWidth="1"/>
    <col min="22" max="22" width="14.28515625" style="15" bestFit="1" customWidth="1"/>
    <col min="24" max="24" width="17" bestFit="1" customWidth="1"/>
  </cols>
  <sheetData>
    <row r="3" spans="2:20" ht="26.25" customHeight="1" x14ac:dyDescent="0.25">
      <c r="B3" s="30" t="s">
        <v>92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spans="2:20" ht="68.25" customHeight="1" x14ac:dyDescent="0.25">
      <c r="B4" s="1" t="s">
        <v>0</v>
      </c>
      <c r="C4" s="1" t="s">
        <v>34</v>
      </c>
      <c r="D4" s="1" t="s">
        <v>1</v>
      </c>
      <c r="E4" s="1" t="s">
        <v>2</v>
      </c>
      <c r="F4" s="1" t="s">
        <v>19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  <c r="R4" s="1" t="s">
        <v>14</v>
      </c>
      <c r="S4" s="1" t="s">
        <v>15</v>
      </c>
      <c r="T4" s="1" t="s">
        <v>16</v>
      </c>
    </row>
    <row r="5" spans="2:20" ht="50.25" customHeight="1" x14ac:dyDescent="0.25">
      <c r="B5" s="2">
        <v>1</v>
      </c>
      <c r="C5" s="2" t="s">
        <v>35</v>
      </c>
      <c r="D5" s="2" t="s">
        <v>29</v>
      </c>
      <c r="E5" s="3" t="s">
        <v>94</v>
      </c>
      <c r="F5" s="3">
        <v>121.68</v>
      </c>
      <c r="G5" s="4">
        <f>10.764*F5</f>
        <v>1309.76352</v>
      </c>
      <c r="H5" s="4">
        <v>8</v>
      </c>
      <c r="I5" s="2">
        <v>2010</v>
      </c>
      <c r="J5" s="2">
        <v>2023</v>
      </c>
      <c r="K5" s="2">
        <f>J5-I5</f>
        <v>13</v>
      </c>
      <c r="L5" s="2">
        <v>35</v>
      </c>
      <c r="M5" s="5">
        <v>0.1</v>
      </c>
      <c r="N5" s="6">
        <f>(1-M5)/L5</f>
        <v>2.5714285714285714E-2</v>
      </c>
      <c r="O5" s="7">
        <v>900</v>
      </c>
      <c r="P5" s="7">
        <f>O5*G5</f>
        <v>1178787.1680000001</v>
      </c>
      <c r="Q5" s="7">
        <f t="shared" ref="Q5:Q37" si="0">P5*N5*K5</f>
        <v>394051.7104457143</v>
      </c>
      <c r="R5" s="7">
        <f t="shared" ref="R5:R37" si="1">MAX(P5-Q5,0)</f>
        <v>784735.45755428576</v>
      </c>
      <c r="S5" s="8">
        <v>0</v>
      </c>
      <c r="T5" s="7">
        <f t="shared" ref="T5:T37" si="2">IF(R5&gt;M5*P5,R5*(1-S5),P5*M5)</f>
        <v>784735.45755428576</v>
      </c>
    </row>
    <row r="6" spans="2:20" ht="51" customHeight="1" x14ac:dyDescent="0.25">
      <c r="B6" s="2">
        <v>2</v>
      </c>
      <c r="C6" s="2" t="s">
        <v>36</v>
      </c>
      <c r="D6" s="3" t="s">
        <v>29</v>
      </c>
      <c r="E6" s="3" t="s">
        <v>94</v>
      </c>
      <c r="F6" s="3">
        <v>100</v>
      </c>
      <c r="G6" s="4">
        <f t="shared" ref="G6:G37" si="3">10.764*F6</f>
        <v>1076.3999999999999</v>
      </c>
      <c r="H6" s="4">
        <v>8</v>
      </c>
      <c r="I6" s="2">
        <v>2010</v>
      </c>
      <c r="J6" s="2">
        <v>2023</v>
      </c>
      <c r="K6" s="2">
        <f t="shared" ref="K6:K37" si="4">J6-I6</f>
        <v>13</v>
      </c>
      <c r="L6" s="2">
        <v>35</v>
      </c>
      <c r="M6" s="5">
        <v>0.1</v>
      </c>
      <c r="N6" s="6">
        <f>(1-M6)/L6</f>
        <v>2.5714285714285714E-2</v>
      </c>
      <c r="O6" s="7">
        <v>900</v>
      </c>
      <c r="P6" s="7">
        <f>O6*G6</f>
        <v>968759.99999999988</v>
      </c>
      <c r="Q6" s="7">
        <f t="shared" si="0"/>
        <v>323842.62857142853</v>
      </c>
      <c r="R6" s="7">
        <f t="shared" si="1"/>
        <v>644917.37142857141</v>
      </c>
      <c r="S6" s="8">
        <v>0</v>
      </c>
      <c r="T6" s="7">
        <f t="shared" si="2"/>
        <v>644917.37142857141</v>
      </c>
    </row>
    <row r="7" spans="2:20" ht="54" customHeight="1" x14ac:dyDescent="0.25">
      <c r="B7" s="2">
        <v>3</v>
      </c>
      <c r="C7" s="3" t="s">
        <v>37</v>
      </c>
      <c r="D7" s="3" t="s">
        <v>38</v>
      </c>
      <c r="E7" s="3" t="s">
        <v>42</v>
      </c>
      <c r="F7" s="3">
        <f>666.81+54.32</f>
        <v>721.13</v>
      </c>
      <c r="G7" s="4">
        <f t="shared" si="3"/>
        <v>7762.2433199999996</v>
      </c>
      <c r="H7" s="4">
        <v>10</v>
      </c>
      <c r="I7" s="2">
        <v>2010</v>
      </c>
      <c r="J7" s="2">
        <v>2023</v>
      </c>
      <c r="K7" s="2">
        <f t="shared" si="4"/>
        <v>13</v>
      </c>
      <c r="L7" s="2">
        <v>65</v>
      </c>
      <c r="M7" s="5">
        <v>0.1</v>
      </c>
      <c r="N7" s="6">
        <f t="shared" ref="N7:N37" si="5">(1-M7)/L7</f>
        <v>1.3846153846153847E-2</v>
      </c>
      <c r="O7" s="7">
        <v>1800</v>
      </c>
      <c r="P7" s="7">
        <f t="shared" ref="P7:P37" si="6">O7*G7</f>
        <v>13972037.976</v>
      </c>
      <c r="Q7" s="7">
        <f t="shared" si="0"/>
        <v>2514966.83568</v>
      </c>
      <c r="R7" s="7">
        <f t="shared" si="1"/>
        <v>11457071.140319999</v>
      </c>
      <c r="S7" s="8">
        <v>0</v>
      </c>
      <c r="T7" s="7">
        <f t="shared" si="2"/>
        <v>11457071.140319999</v>
      </c>
    </row>
    <row r="8" spans="2:20" ht="46.5" customHeight="1" x14ac:dyDescent="0.25">
      <c r="B8" s="2">
        <v>4</v>
      </c>
      <c r="C8" s="2" t="s">
        <v>39</v>
      </c>
      <c r="D8" s="2" t="s">
        <v>29</v>
      </c>
      <c r="E8" s="3" t="s">
        <v>42</v>
      </c>
      <c r="F8" s="3">
        <v>86.64</v>
      </c>
      <c r="G8" s="4">
        <f t="shared" si="3"/>
        <v>932.59295999999995</v>
      </c>
      <c r="H8" s="4">
        <v>10</v>
      </c>
      <c r="I8" s="2">
        <v>2010</v>
      </c>
      <c r="J8" s="2">
        <v>2023</v>
      </c>
      <c r="K8" s="2">
        <f t="shared" si="4"/>
        <v>13</v>
      </c>
      <c r="L8" s="2">
        <v>65</v>
      </c>
      <c r="M8" s="5">
        <v>0.1</v>
      </c>
      <c r="N8" s="6">
        <f t="shared" si="5"/>
        <v>1.3846153846153847E-2</v>
      </c>
      <c r="O8" s="7">
        <v>1800</v>
      </c>
      <c r="P8" s="7">
        <f t="shared" si="6"/>
        <v>1678667.328</v>
      </c>
      <c r="Q8" s="7">
        <f t="shared" si="0"/>
        <v>302160.11904000002</v>
      </c>
      <c r="R8" s="7">
        <f t="shared" si="1"/>
        <v>1376507.20896</v>
      </c>
      <c r="S8" s="8">
        <v>0</v>
      </c>
      <c r="T8" s="7">
        <f t="shared" si="2"/>
        <v>1376507.20896</v>
      </c>
    </row>
    <row r="9" spans="2:20" ht="45.75" customHeight="1" x14ac:dyDescent="0.25">
      <c r="B9" s="2">
        <v>5</v>
      </c>
      <c r="C9" s="2" t="s">
        <v>40</v>
      </c>
      <c r="D9" s="2" t="s">
        <v>41</v>
      </c>
      <c r="E9" s="3" t="s">
        <v>42</v>
      </c>
      <c r="F9" s="3">
        <v>258.11</v>
      </c>
      <c r="G9" s="4">
        <f t="shared" si="3"/>
        <v>2778.2960400000002</v>
      </c>
      <c r="H9" s="4">
        <v>10</v>
      </c>
      <c r="I9" s="2">
        <v>2010</v>
      </c>
      <c r="J9" s="2">
        <v>2023</v>
      </c>
      <c r="K9" s="2">
        <f t="shared" si="4"/>
        <v>13</v>
      </c>
      <c r="L9" s="2">
        <v>65</v>
      </c>
      <c r="M9" s="5">
        <v>0.1</v>
      </c>
      <c r="N9" s="6">
        <f t="shared" si="5"/>
        <v>1.3846153846153847E-2</v>
      </c>
      <c r="O9" s="7">
        <v>1800</v>
      </c>
      <c r="P9" s="7">
        <f t="shared" si="6"/>
        <v>5000932.8720000004</v>
      </c>
      <c r="Q9" s="7">
        <f t="shared" si="0"/>
        <v>900167.91696000006</v>
      </c>
      <c r="R9" s="7">
        <f t="shared" si="1"/>
        <v>4100764.9550400004</v>
      </c>
      <c r="S9" s="8">
        <v>0</v>
      </c>
      <c r="T9" s="7">
        <f t="shared" si="2"/>
        <v>4100764.9550400004</v>
      </c>
    </row>
    <row r="10" spans="2:20" ht="43.5" customHeight="1" x14ac:dyDescent="0.25">
      <c r="B10" s="2">
        <v>6</v>
      </c>
      <c r="C10" s="2" t="s">
        <v>43</v>
      </c>
      <c r="D10" s="2" t="s">
        <v>41</v>
      </c>
      <c r="E10" s="3" t="s">
        <v>42</v>
      </c>
      <c r="F10" s="22">
        <v>247.56</v>
      </c>
      <c r="G10" s="4">
        <f t="shared" si="3"/>
        <v>2664.7358399999998</v>
      </c>
      <c r="H10" s="4">
        <v>10</v>
      </c>
      <c r="I10" s="2">
        <v>2010</v>
      </c>
      <c r="J10" s="2">
        <v>2023</v>
      </c>
      <c r="K10" s="2">
        <f t="shared" si="4"/>
        <v>13</v>
      </c>
      <c r="L10" s="2">
        <v>65</v>
      </c>
      <c r="M10" s="5">
        <v>0.1</v>
      </c>
      <c r="N10" s="6">
        <f t="shared" si="5"/>
        <v>1.3846153846153847E-2</v>
      </c>
      <c r="O10" s="7">
        <v>1800</v>
      </c>
      <c r="P10" s="7">
        <f t="shared" si="6"/>
        <v>4796524.5120000001</v>
      </c>
      <c r="Q10" s="7">
        <f t="shared" si="0"/>
        <v>863374.41216000007</v>
      </c>
      <c r="R10" s="7">
        <f t="shared" si="1"/>
        <v>3933150.0998400003</v>
      </c>
      <c r="S10" s="8">
        <v>0</v>
      </c>
      <c r="T10" s="7">
        <f t="shared" si="2"/>
        <v>3933150.0998400003</v>
      </c>
    </row>
    <row r="11" spans="2:20" ht="48" customHeight="1" x14ac:dyDescent="0.25">
      <c r="B11" s="2">
        <v>7</v>
      </c>
      <c r="C11" s="2" t="s">
        <v>44</v>
      </c>
      <c r="D11" s="2" t="s">
        <v>41</v>
      </c>
      <c r="E11" s="3" t="s">
        <v>42</v>
      </c>
      <c r="F11" s="3">
        <v>67.56</v>
      </c>
      <c r="G11" s="4">
        <f t="shared" si="3"/>
        <v>727.21583999999996</v>
      </c>
      <c r="H11" s="4">
        <v>10</v>
      </c>
      <c r="I11" s="2">
        <v>2010</v>
      </c>
      <c r="J11" s="2">
        <v>2023</v>
      </c>
      <c r="K11" s="2">
        <f t="shared" si="4"/>
        <v>13</v>
      </c>
      <c r="L11" s="2">
        <v>65</v>
      </c>
      <c r="M11" s="5">
        <v>0.1</v>
      </c>
      <c r="N11" s="6">
        <f t="shared" si="5"/>
        <v>1.3846153846153847E-2</v>
      </c>
      <c r="O11" s="7">
        <v>800</v>
      </c>
      <c r="P11" s="7">
        <f t="shared" si="6"/>
        <v>581772.67200000002</v>
      </c>
      <c r="Q11" s="7">
        <f t="shared" si="0"/>
        <v>104719.08096000001</v>
      </c>
      <c r="R11" s="7">
        <f t="shared" si="1"/>
        <v>477053.59104000003</v>
      </c>
      <c r="S11" s="8">
        <v>0</v>
      </c>
      <c r="T11" s="7">
        <f t="shared" si="2"/>
        <v>477053.59104000003</v>
      </c>
    </row>
    <row r="12" spans="2:20" ht="48" customHeight="1" x14ac:dyDescent="0.25">
      <c r="B12" s="2">
        <v>8</v>
      </c>
      <c r="C12" s="3" t="s">
        <v>45</v>
      </c>
      <c r="D12" s="2" t="s">
        <v>29</v>
      </c>
      <c r="E12" s="3" t="s">
        <v>46</v>
      </c>
      <c r="F12" s="3">
        <v>1236.25</v>
      </c>
      <c r="G12" s="4">
        <f t="shared" si="3"/>
        <v>13306.994999999999</v>
      </c>
      <c r="H12" s="4">
        <v>30</v>
      </c>
      <c r="I12" s="2">
        <v>2010</v>
      </c>
      <c r="J12" s="2">
        <v>2023</v>
      </c>
      <c r="K12" s="2">
        <f t="shared" si="4"/>
        <v>13</v>
      </c>
      <c r="L12" s="2">
        <v>45</v>
      </c>
      <c r="M12" s="5">
        <v>0.1</v>
      </c>
      <c r="N12" s="6">
        <f t="shared" si="5"/>
        <v>0.02</v>
      </c>
      <c r="O12" s="7">
        <v>1250</v>
      </c>
      <c r="P12" s="7">
        <f t="shared" si="6"/>
        <v>16633743.749999998</v>
      </c>
      <c r="Q12" s="7">
        <f t="shared" si="0"/>
        <v>4324773.3749999991</v>
      </c>
      <c r="R12" s="7">
        <f t="shared" si="1"/>
        <v>12308970.375</v>
      </c>
      <c r="S12" s="8">
        <v>0</v>
      </c>
      <c r="T12" s="7">
        <f t="shared" si="2"/>
        <v>12308970.375</v>
      </c>
    </row>
    <row r="13" spans="2:20" ht="37.5" customHeight="1" x14ac:dyDescent="0.25">
      <c r="B13" s="2">
        <v>9</v>
      </c>
      <c r="C13" s="3" t="s">
        <v>47</v>
      </c>
      <c r="D13" s="2" t="s">
        <v>29</v>
      </c>
      <c r="E13" s="3" t="s">
        <v>48</v>
      </c>
      <c r="F13" s="3">
        <v>168</v>
      </c>
      <c r="G13" s="4">
        <f t="shared" si="3"/>
        <v>1808.3519999999999</v>
      </c>
      <c r="H13" s="4">
        <v>18</v>
      </c>
      <c r="I13" s="2">
        <v>2010</v>
      </c>
      <c r="J13" s="2">
        <v>2023</v>
      </c>
      <c r="K13" s="2">
        <f t="shared" si="4"/>
        <v>13</v>
      </c>
      <c r="L13" s="2">
        <v>65</v>
      </c>
      <c r="M13" s="5">
        <v>0.1</v>
      </c>
      <c r="N13" s="6">
        <f t="shared" si="5"/>
        <v>1.3846153846153847E-2</v>
      </c>
      <c r="O13" s="7">
        <v>1100</v>
      </c>
      <c r="P13" s="7">
        <f t="shared" si="6"/>
        <v>1989187.2</v>
      </c>
      <c r="Q13" s="7">
        <f t="shared" si="0"/>
        <v>358053.696</v>
      </c>
      <c r="R13" s="7">
        <f t="shared" si="1"/>
        <v>1631133.504</v>
      </c>
      <c r="S13" s="8">
        <v>0</v>
      </c>
      <c r="T13" s="7">
        <f t="shared" si="2"/>
        <v>1631133.504</v>
      </c>
    </row>
    <row r="14" spans="2:20" ht="32.25" customHeight="1" x14ac:dyDescent="0.25">
      <c r="B14" s="2">
        <v>10</v>
      </c>
      <c r="C14" s="2" t="s">
        <v>49</v>
      </c>
      <c r="D14" s="2" t="s">
        <v>29</v>
      </c>
      <c r="E14" s="3" t="s">
        <v>48</v>
      </c>
      <c r="F14" s="3">
        <v>39</v>
      </c>
      <c r="G14" s="4">
        <f t="shared" si="3"/>
        <v>419.79599999999999</v>
      </c>
      <c r="H14" s="4">
        <v>10</v>
      </c>
      <c r="I14" s="2">
        <v>2010</v>
      </c>
      <c r="J14" s="2">
        <v>2023</v>
      </c>
      <c r="K14" s="2">
        <f t="shared" si="4"/>
        <v>13</v>
      </c>
      <c r="L14" s="2">
        <v>65</v>
      </c>
      <c r="M14" s="5">
        <v>0.1</v>
      </c>
      <c r="N14" s="6">
        <f t="shared" si="5"/>
        <v>1.3846153846153847E-2</v>
      </c>
      <c r="O14" s="7">
        <v>1100</v>
      </c>
      <c r="P14" s="7">
        <f t="shared" si="6"/>
        <v>461775.6</v>
      </c>
      <c r="Q14" s="7">
        <f t="shared" si="0"/>
        <v>83119.607999999993</v>
      </c>
      <c r="R14" s="7">
        <f t="shared" si="1"/>
        <v>378655.99199999997</v>
      </c>
      <c r="S14" s="8">
        <v>0</v>
      </c>
      <c r="T14" s="7">
        <f t="shared" si="2"/>
        <v>378655.99199999997</v>
      </c>
    </row>
    <row r="15" spans="2:20" ht="46.5" customHeight="1" x14ac:dyDescent="0.25">
      <c r="B15" s="2">
        <v>11</v>
      </c>
      <c r="C15" s="3" t="s">
        <v>50</v>
      </c>
      <c r="D15" s="2" t="s">
        <v>29</v>
      </c>
      <c r="E15" s="3" t="s">
        <v>51</v>
      </c>
      <c r="F15" s="3">
        <v>47.5</v>
      </c>
      <c r="G15" s="4">
        <f t="shared" si="3"/>
        <v>511.28999999999996</v>
      </c>
      <c r="H15" s="4">
        <v>8</v>
      </c>
      <c r="I15" s="2">
        <v>2010</v>
      </c>
      <c r="J15" s="2">
        <v>2023</v>
      </c>
      <c r="K15" s="2">
        <f t="shared" si="4"/>
        <v>13</v>
      </c>
      <c r="L15" s="2">
        <v>45</v>
      </c>
      <c r="M15" s="5">
        <v>0.1</v>
      </c>
      <c r="N15" s="6">
        <f t="shared" si="5"/>
        <v>0.02</v>
      </c>
      <c r="O15" s="7">
        <v>800</v>
      </c>
      <c r="P15" s="7">
        <f t="shared" si="6"/>
        <v>409032</v>
      </c>
      <c r="Q15" s="7">
        <f t="shared" si="0"/>
        <v>106348.32</v>
      </c>
      <c r="R15" s="7">
        <f t="shared" si="1"/>
        <v>302683.68</v>
      </c>
      <c r="S15" s="8">
        <v>0</v>
      </c>
      <c r="T15" s="7">
        <f t="shared" si="2"/>
        <v>302683.68</v>
      </c>
    </row>
    <row r="16" spans="2:20" ht="32.25" customHeight="1" x14ac:dyDescent="0.25">
      <c r="B16" s="2">
        <v>12</v>
      </c>
      <c r="C16" s="2" t="s">
        <v>52</v>
      </c>
      <c r="D16" s="2" t="s">
        <v>29</v>
      </c>
      <c r="E16" s="3" t="s">
        <v>48</v>
      </c>
      <c r="F16" s="3">
        <v>40</v>
      </c>
      <c r="G16" s="4">
        <f t="shared" si="3"/>
        <v>430.55999999999995</v>
      </c>
      <c r="H16" s="4">
        <v>10</v>
      </c>
      <c r="I16" s="2">
        <v>2010</v>
      </c>
      <c r="J16" s="2">
        <v>2023</v>
      </c>
      <c r="K16" s="2">
        <f t="shared" si="4"/>
        <v>13</v>
      </c>
      <c r="L16" s="2">
        <v>65</v>
      </c>
      <c r="M16" s="5">
        <v>0.1</v>
      </c>
      <c r="N16" s="6">
        <f t="shared" si="5"/>
        <v>1.3846153846153847E-2</v>
      </c>
      <c r="O16" s="7">
        <v>1200</v>
      </c>
      <c r="P16" s="7">
        <f t="shared" si="6"/>
        <v>516671.99999999994</v>
      </c>
      <c r="Q16" s="7">
        <f t="shared" si="0"/>
        <v>93000.959999999992</v>
      </c>
      <c r="R16" s="7">
        <f t="shared" si="1"/>
        <v>423671.03999999992</v>
      </c>
      <c r="S16" s="8">
        <v>0</v>
      </c>
      <c r="T16" s="7">
        <f t="shared" si="2"/>
        <v>423671.03999999992</v>
      </c>
    </row>
    <row r="17" spans="2:20" ht="36.75" customHeight="1" x14ac:dyDescent="0.25">
      <c r="B17" s="2">
        <v>13</v>
      </c>
      <c r="C17" s="3" t="s">
        <v>53</v>
      </c>
      <c r="D17" s="2" t="s">
        <v>29</v>
      </c>
      <c r="E17" s="3" t="s">
        <v>54</v>
      </c>
      <c r="F17" s="3">
        <v>54</v>
      </c>
      <c r="G17" s="4">
        <f t="shared" si="3"/>
        <v>581.25599999999997</v>
      </c>
      <c r="H17" s="4">
        <v>10</v>
      </c>
      <c r="I17" s="2">
        <v>2010</v>
      </c>
      <c r="J17" s="2">
        <v>2023</v>
      </c>
      <c r="K17" s="2">
        <f t="shared" si="4"/>
        <v>13</v>
      </c>
      <c r="L17" s="2">
        <v>45</v>
      </c>
      <c r="M17" s="5">
        <v>0.1</v>
      </c>
      <c r="N17" s="6">
        <f t="shared" si="5"/>
        <v>0.02</v>
      </c>
      <c r="O17" s="7">
        <v>1000</v>
      </c>
      <c r="P17" s="7">
        <f t="shared" si="6"/>
        <v>581256</v>
      </c>
      <c r="Q17" s="7">
        <f t="shared" si="0"/>
        <v>151126.56</v>
      </c>
      <c r="R17" s="7">
        <f t="shared" si="1"/>
        <v>430129.44</v>
      </c>
      <c r="S17" s="8">
        <v>0</v>
      </c>
      <c r="T17" s="7">
        <f t="shared" si="2"/>
        <v>430129.44</v>
      </c>
    </row>
    <row r="18" spans="2:20" ht="27.75" customHeight="1" x14ac:dyDescent="0.25">
      <c r="B18" s="2">
        <v>14</v>
      </c>
      <c r="C18" s="2" t="s">
        <v>55</v>
      </c>
      <c r="D18" s="2" t="s">
        <v>29</v>
      </c>
      <c r="E18" s="3" t="s">
        <v>56</v>
      </c>
      <c r="F18" s="3">
        <v>103</v>
      </c>
      <c r="G18" s="4">
        <f t="shared" si="3"/>
        <v>1108.692</v>
      </c>
      <c r="H18" s="4">
        <v>12</v>
      </c>
      <c r="I18" s="2">
        <v>2010</v>
      </c>
      <c r="J18" s="2">
        <v>2023</v>
      </c>
      <c r="K18" s="2">
        <f t="shared" si="4"/>
        <v>13</v>
      </c>
      <c r="L18" s="2">
        <v>65</v>
      </c>
      <c r="M18" s="5">
        <v>0.1</v>
      </c>
      <c r="N18" s="6">
        <f t="shared" si="5"/>
        <v>1.3846153846153847E-2</v>
      </c>
      <c r="O18" s="7">
        <v>1200</v>
      </c>
      <c r="P18" s="7">
        <f t="shared" si="6"/>
        <v>1330430.3999999999</v>
      </c>
      <c r="Q18" s="7">
        <f t="shared" si="0"/>
        <v>239477.47200000001</v>
      </c>
      <c r="R18" s="7">
        <f t="shared" si="1"/>
        <v>1090952.9279999998</v>
      </c>
      <c r="S18" s="8">
        <v>0</v>
      </c>
      <c r="T18" s="7">
        <f t="shared" si="2"/>
        <v>1090952.9279999998</v>
      </c>
    </row>
    <row r="19" spans="2:20" ht="34.5" customHeight="1" x14ac:dyDescent="0.25">
      <c r="B19" s="2">
        <v>15</v>
      </c>
      <c r="C19" s="2" t="s">
        <v>57</v>
      </c>
      <c r="D19" s="2" t="s">
        <v>62</v>
      </c>
      <c r="E19" s="3" t="s">
        <v>56</v>
      </c>
      <c r="F19" s="3">
        <v>199.82</v>
      </c>
      <c r="G19" s="4">
        <f t="shared" si="3"/>
        <v>2150.8624799999998</v>
      </c>
      <c r="H19" s="4">
        <v>10</v>
      </c>
      <c r="I19" s="2">
        <v>2010</v>
      </c>
      <c r="J19" s="2">
        <v>2023</v>
      </c>
      <c r="K19" s="2">
        <f t="shared" si="4"/>
        <v>13</v>
      </c>
      <c r="L19" s="2">
        <v>65</v>
      </c>
      <c r="M19" s="5">
        <v>0.1</v>
      </c>
      <c r="N19" s="6">
        <f t="shared" si="5"/>
        <v>1.3846153846153847E-2</v>
      </c>
      <c r="O19" s="7">
        <v>1200</v>
      </c>
      <c r="P19" s="7">
        <f t="shared" si="6"/>
        <v>2581034.9759999998</v>
      </c>
      <c r="Q19" s="7">
        <f t="shared" si="0"/>
        <v>464586.29567999998</v>
      </c>
      <c r="R19" s="7">
        <f t="shared" si="1"/>
        <v>2116448.6803199998</v>
      </c>
      <c r="S19" s="8">
        <v>0</v>
      </c>
      <c r="T19" s="7">
        <f t="shared" si="2"/>
        <v>2116448.6803199998</v>
      </c>
    </row>
    <row r="20" spans="2:20" ht="35.25" customHeight="1" x14ac:dyDescent="0.25">
      <c r="B20" s="2">
        <v>16</v>
      </c>
      <c r="C20" s="3" t="s">
        <v>58</v>
      </c>
      <c r="D20" s="2" t="s">
        <v>59</v>
      </c>
      <c r="E20" s="3" t="s">
        <v>60</v>
      </c>
      <c r="F20" s="3">
        <f>657.07+227.3+566.84+1357.47+681.9+2115.18</f>
        <v>5605.76</v>
      </c>
      <c r="G20" s="4">
        <f t="shared" si="3"/>
        <v>60340.40064</v>
      </c>
      <c r="H20" s="4">
        <v>46</v>
      </c>
      <c r="I20" s="2">
        <v>2010</v>
      </c>
      <c r="J20" s="2">
        <v>2023</v>
      </c>
      <c r="K20" s="2">
        <f t="shared" si="4"/>
        <v>13</v>
      </c>
      <c r="L20" s="2">
        <v>45</v>
      </c>
      <c r="M20" s="5">
        <v>0.1</v>
      </c>
      <c r="N20" s="6">
        <f t="shared" si="5"/>
        <v>0.02</v>
      </c>
      <c r="O20" s="7">
        <v>1250</v>
      </c>
      <c r="P20" s="7">
        <f t="shared" si="6"/>
        <v>75425500.799999997</v>
      </c>
      <c r="Q20" s="7">
        <f t="shared" si="0"/>
        <v>19610630.208000001</v>
      </c>
      <c r="R20" s="7">
        <f t="shared" si="1"/>
        <v>55814870.591999993</v>
      </c>
      <c r="S20" s="8">
        <v>0</v>
      </c>
      <c r="T20" s="7">
        <f t="shared" si="2"/>
        <v>55814870.591999993</v>
      </c>
    </row>
    <row r="21" spans="2:20" ht="47.25" customHeight="1" x14ac:dyDescent="0.25">
      <c r="B21" s="2">
        <v>17</v>
      </c>
      <c r="C21" s="3" t="s">
        <v>61</v>
      </c>
      <c r="D21" s="2" t="s">
        <v>62</v>
      </c>
      <c r="E21" s="3" t="s">
        <v>63</v>
      </c>
      <c r="F21" s="3">
        <v>112.17</v>
      </c>
      <c r="G21" s="4">
        <f t="shared" si="3"/>
        <v>1207.39788</v>
      </c>
      <c r="H21" s="4">
        <v>8</v>
      </c>
      <c r="I21" s="2">
        <v>2010</v>
      </c>
      <c r="J21" s="2">
        <v>2023</v>
      </c>
      <c r="K21" s="2">
        <f t="shared" si="4"/>
        <v>13</v>
      </c>
      <c r="L21" s="2">
        <v>65</v>
      </c>
      <c r="M21" s="5">
        <v>0.1</v>
      </c>
      <c r="N21" s="6">
        <f t="shared" si="5"/>
        <v>1.3846153846153847E-2</v>
      </c>
      <c r="O21" s="7">
        <v>1000</v>
      </c>
      <c r="P21" s="7">
        <f t="shared" si="6"/>
        <v>1207397.8799999999</v>
      </c>
      <c r="Q21" s="7">
        <f t="shared" si="0"/>
        <v>217331.61840000001</v>
      </c>
      <c r="R21" s="7">
        <f t="shared" si="1"/>
        <v>990066.26159999985</v>
      </c>
      <c r="S21" s="8">
        <v>0</v>
      </c>
      <c r="T21" s="7">
        <f t="shared" si="2"/>
        <v>990066.26159999985</v>
      </c>
    </row>
    <row r="22" spans="2:20" ht="38.25" customHeight="1" x14ac:dyDescent="0.25">
      <c r="B22" s="2">
        <v>18</v>
      </c>
      <c r="C22" s="2" t="s">
        <v>64</v>
      </c>
      <c r="D22" s="2" t="s">
        <v>62</v>
      </c>
      <c r="E22" s="3" t="s">
        <v>65</v>
      </c>
      <c r="F22" s="3">
        <v>310</v>
      </c>
      <c r="G22" s="4">
        <f t="shared" si="3"/>
        <v>3336.8399999999997</v>
      </c>
      <c r="H22" s="4">
        <v>20</v>
      </c>
      <c r="I22" s="2">
        <v>2010</v>
      </c>
      <c r="J22" s="2">
        <v>2023</v>
      </c>
      <c r="K22" s="2">
        <f t="shared" si="4"/>
        <v>13</v>
      </c>
      <c r="L22" s="2">
        <v>45</v>
      </c>
      <c r="M22" s="5">
        <v>0.1</v>
      </c>
      <c r="N22" s="6">
        <f t="shared" si="5"/>
        <v>0.02</v>
      </c>
      <c r="O22" s="7">
        <v>900</v>
      </c>
      <c r="P22" s="7">
        <f t="shared" si="6"/>
        <v>3003155.9999999995</v>
      </c>
      <c r="Q22" s="7">
        <f t="shared" si="0"/>
        <v>780820.55999999994</v>
      </c>
      <c r="R22" s="7">
        <f t="shared" si="1"/>
        <v>2222335.4399999995</v>
      </c>
      <c r="S22" s="8">
        <v>0</v>
      </c>
      <c r="T22" s="7">
        <f t="shared" si="2"/>
        <v>2222335.4399999995</v>
      </c>
    </row>
    <row r="23" spans="2:20" ht="42.75" customHeight="1" x14ac:dyDescent="0.25">
      <c r="B23" s="2">
        <v>19</v>
      </c>
      <c r="C23" s="3" t="s">
        <v>66</v>
      </c>
      <c r="D23" s="2" t="s">
        <v>62</v>
      </c>
      <c r="E23" s="3" t="s">
        <v>95</v>
      </c>
      <c r="F23" s="3">
        <v>1162.05</v>
      </c>
      <c r="G23" s="4">
        <f t="shared" si="3"/>
        <v>12508.306199999999</v>
      </c>
      <c r="H23" s="4">
        <v>20</v>
      </c>
      <c r="I23" s="2">
        <v>2010</v>
      </c>
      <c r="J23" s="2">
        <v>2023</v>
      </c>
      <c r="K23" s="2">
        <f t="shared" si="4"/>
        <v>13</v>
      </c>
      <c r="L23" s="2">
        <v>45</v>
      </c>
      <c r="M23" s="5">
        <v>0.1</v>
      </c>
      <c r="N23" s="6">
        <f t="shared" si="5"/>
        <v>0.02</v>
      </c>
      <c r="O23" s="7">
        <v>1100</v>
      </c>
      <c r="P23" s="7">
        <f t="shared" si="6"/>
        <v>13759136.819999998</v>
      </c>
      <c r="Q23" s="7">
        <f t="shared" si="0"/>
        <v>3577375.5732</v>
      </c>
      <c r="R23" s="7">
        <f t="shared" si="1"/>
        <v>10181761.246799998</v>
      </c>
      <c r="S23" s="8">
        <v>0</v>
      </c>
      <c r="T23" s="7">
        <f t="shared" si="2"/>
        <v>10181761.246799998</v>
      </c>
    </row>
    <row r="24" spans="2:20" ht="46.5" customHeight="1" x14ac:dyDescent="0.25">
      <c r="B24" s="2">
        <v>20</v>
      </c>
      <c r="C24" s="2" t="s">
        <v>67</v>
      </c>
      <c r="D24" s="2" t="s">
        <v>62</v>
      </c>
      <c r="E24" s="3" t="s">
        <v>95</v>
      </c>
      <c r="F24" s="3">
        <v>831.44</v>
      </c>
      <c r="G24" s="4">
        <f t="shared" si="3"/>
        <v>8949.6201600000004</v>
      </c>
      <c r="H24" s="4">
        <v>20</v>
      </c>
      <c r="I24" s="2">
        <v>2010</v>
      </c>
      <c r="J24" s="2">
        <v>2023</v>
      </c>
      <c r="K24" s="2">
        <f t="shared" si="4"/>
        <v>13</v>
      </c>
      <c r="L24" s="2">
        <v>45</v>
      </c>
      <c r="M24" s="5">
        <v>0.1</v>
      </c>
      <c r="N24" s="6">
        <f t="shared" si="5"/>
        <v>0.02</v>
      </c>
      <c r="O24" s="7">
        <v>1100</v>
      </c>
      <c r="P24" s="7">
        <f t="shared" si="6"/>
        <v>9844582.1760000009</v>
      </c>
      <c r="Q24" s="7">
        <f t="shared" si="0"/>
        <v>2559591.36576</v>
      </c>
      <c r="R24" s="7">
        <f t="shared" si="1"/>
        <v>7284990.8102400005</v>
      </c>
      <c r="S24" s="8">
        <v>0</v>
      </c>
      <c r="T24" s="7">
        <f t="shared" si="2"/>
        <v>7284990.8102400005</v>
      </c>
    </row>
    <row r="25" spans="2:20" ht="38.25" customHeight="1" x14ac:dyDescent="0.25">
      <c r="B25" s="2">
        <v>21</v>
      </c>
      <c r="C25" s="2" t="s">
        <v>30</v>
      </c>
      <c r="D25" s="2" t="s">
        <v>68</v>
      </c>
      <c r="E25" s="3" t="s">
        <v>48</v>
      </c>
      <c r="F25" s="3">
        <v>49.5</v>
      </c>
      <c r="G25" s="4">
        <f t="shared" si="3"/>
        <v>532.81799999999998</v>
      </c>
      <c r="H25" s="4">
        <v>8</v>
      </c>
      <c r="I25" s="2">
        <v>2010</v>
      </c>
      <c r="J25" s="2">
        <v>2023</v>
      </c>
      <c r="K25" s="2">
        <f t="shared" si="4"/>
        <v>13</v>
      </c>
      <c r="L25" s="2">
        <v>65</v>
      </c>
      <c r="M25" s="5">
        <v>0.1</v>
      </c>
      <c r="N25" s="6">
        <f t="shared" si="5"/>
        <v>1.3846153846153847E-2</v>
      </c>
      <c r="O25" s="7">
        <v>1200</v>
      </c>
      <c r="P25" s="7">
        <f t="shared" si="6"/>
        <v>639381.6</v>
      </c>
      <c r="Q25" s="7">
        <f t="shared" si="0"/>
        <v>115088.68800000001</v>
      </c>
      <c r="R25" s="7">
        <f t="shared" si="1"/>
        <v>524292.91200000001</v>
      </c>
      <c r="S25" s="8">
        <v>0</v>
      </c>
      <c r="T25" s="7">
        <f t="shared" si="2"/>
        <v>524292.91200000001</v>
      </c>
    </row>
    <row r="26" spans="2:20" ht="32.25" customHeight="1" x14ac:dyDescent="0.25">
      <c r="B26" s="2">
        <v>22</v>
      </c>
      <c r="C26" s="2" t="s">
        <v>69</v>
      </c>
      <c r="D26" s="2" t="s">
        <v>68</v>
      </c>
      <c r="E26" s="3" t="s">
        <v>48</v>
      </c>
      <c r="F26" s="3">
        <v>106.01</v>
      </c>
      <c r="G26" s="4">
        <f t="shared" si="3"/>
        <v>1141.0916400000001</v>
      </c>
      <c r="H26" s="4">
        <v>8</v>
      </c>
      <c r="I26" s="2">
        <v>2010</v>
      </c>
      <c r="J26" s="2">
        <v>2023</v>
      </c>
      <c r="K26" s="2">
        <f t="shared" si="4"/>
        <v>13</v>
      </c>
      <c r="L26" s="2">
        <v>65</v>
      </c>
      <c r="M26" s="5">
        <v>0.1</v>
      </c>
      <c r="N26" s="6">
        <f t="shared" si="5"/>
        <v>1.3846153846153847E-2</v>
      </c>
      <c r="O26" s="7">
        <v>1200</v>
      </c>
      <c r="P26" s="7">
        <f t="shared" si="6"/>
        <v>1369309.9680000001</v>
      </c>
      <c r="Q26" s="7">
        <f t="shared" si="0"/>
        <v>246475.79424000002</v>
      </c>
      <c r="R26" s="7">
        <f t="shared" si="1"/>
        <v>1122834.1737600002</v>
      </c>
      <c r="S26" s="8">
        <v>0</v>
      </c>
      <c r="T26" s="7">
        <f t="shared" si="2"/>
        <v>1122834.1737600002</v>
      </c>
    </row>
    <row r="27" spans="2:20" ht="41.25" customHeight="1" x14ac:dyDescent="0.25">
      <c r="B27" s="2">
        <v>23</v>
      </c>
      <c r="C27" s="3" t="s">
        <v>70</v>
      </c>
      <c r="D27" s="3" t="s">
        <v>59</v>
      </c>
      <c r="E27" s="3" t="s">
        <v>96</v>
      </c>
      <c r="F27" s="3">
        <f>(4*90)+891</f>
        <v>1251</v>
      </c>
      <c r="G27" s="4">
        <f t="shared" si="3"/>
        <v>13465.763999999999</v>
      </c>
      <c r="H27" s="4">
        <v>10</v>
      </c>
      <c r="I27" s="2">
        <v>2010</v>
      </c>
      <c r="J27" s="2">
        <v>2023</v>
      </c>
      <c r="K27" s="2">
        <f t="shared" si="4"/>
        <v>13</v>
      </c>
      <c r="L27" s="2">
        <v>65</v>
      </c>
      <c r="M27" s="5">
        <v>0.1</v>
      </c>
      <c r="N27" s="6">
        <f t="shared" si="5"/>
        <v>1.3846153846153847E-2</v>
      </c>
      <c r="O27" s="7">
        <v>1100</v>
      </c>
      <c r="P27" s="7">
        <f t="shared" si="6"/>
        <v>14812340.399999999</v>
      </c>
      <c r="Q27" s="7">
        <f t="shared" si="0"/>
        <v>2666221.2719999999</v>
      </c>
      <c r="R27" s="7">
        <f t="shared" si="1"/>
        <v>12146119.127999999</v>
      </c>
      <c r="S27" s="8">
        <v>0</v>
      </c>
      <c r="T27" s="7">
        <f t="shared" si="2"/>
        <v>12146119.127999999</v>
      </c>
    </row>
    <row r="28" spans="2:20" ht="41.25" customHeight="1" x14ac:dyDescent="0.25">
      <c r="B28" s="2">
        <v>24</v>
      </c>
      <c r="C28" s="2" t="s">
        <v>71</v>
      </c>
      <c r="D28" s="2" t="s">
        <v>62</v>
      </c>
      <c r="E28" s="3" t="s">
        <v>72</v>
      </c>
      <c r="F28" s="3">
        <v>71.8</v>
      </c>
      <c r="G28" s="4">
        <f t="shared" si="3"/>
        <v>772.85519999999997</v>
      </c>
      <c r="H28" s="4">
        <v>25</v>
      </c>
      <c r="I28" s="2">
        <v>2010</v>
      </c>
      <c r="J28" s="2">
        <v>2023</v>
      </c>
      <c r="K28" s="2">
        <f t="shared" si="4"/>
        <v>13</v>
      </c>
      <c r="L28" s="2">
        <v>45</v>
      </c>
      <c r="M28" s="5">
        <v>0.1</v>
      </c>
      <c r="N28" s="6">
        <f t="shared" si="5"/>
        <v>0.02</v>
      </c>
      <c r="O28" s="7">
        <v>1250</v>
      </c>
      <c r="P28" s="7">
        <f t="shared" si="6"/>
        <v>966069</v>
      </c>
      <c r="Q28" s="7">
        <f t="shared" si="0"/>
        <v>251177.94</v>
      </c>
      <c r="R28" s="7">
        <f t="shared" si="1"/>
        <v>714891.06</v>
      </c>
      <c r="S28" s="8">
        <v>0</v>
      </c>
      <c r="T28" s="7">
        <f t="shared" si="2"/>
        <v>714891.06</v>
      </c>
    </row>
    <row r="29" spans="2:20" ht="28.5" customHeight="1" x14ac:dyDescent="0.25">
      <c r="B29" s="2">
        <v>25</v>
      </c>
      <c r="C29" s="2" t="s">
        <v>73</v>
      </c>
      <c r="D29" s="2" t="s">
        <v>68</v>
      </c>
      <c r="E29" s="3" t="s">
        <v>56</v>
      </c>
      <c r="F29" s="3">
        <v>11.55</v>
      </c>
      <c r="G29" s="4">
        <f t="shared" si="3"/>
        <v>124.3242</v>
      </c>
      <c r="H29" s="4">
        <v>8</v>
      </c>
      <c r="I29" s="2">
        <v>2010</v>
      </c>
      <c r="J29" s="2">
        <v>2023</v>
      </c>
      <c r="K29" s="2">
        <f t="shared" si="4"/>
        <v>13</v>
      </c>
      <c r="L29" s="2">
        <v>65</v>
      </c>
      <c r="M29" s="5">
        <v>0.1</v>
      </c>
      <c r="N29" s="6">
        <f t="shared" si="5"/>
        <v>1.3846153846153847E-2</v>
      </c>
      <c r="O29" s="7">
        <v>1100</v>
      </c>
      <c r="P29" s="7">
        <f t="shared" si="6"/>
        <v>136756.62</v>
      </c>
      <c r="Q29" s="7">
        <f t="shared" si="0"/>
        <v>24616.191600000002</v>
      </c>
      <c r="R29" s="7">
        <f t="shared" si="1"/>
        <v>112140.42839999999</v>
      </c>
      <c r="S29" s="8">
        <v>0</v>
      </c>
      <c r="T29" s="7">
        <f t="shared" si="2"/>
        <v>112140.42839999999</v>
      </c>
    </row>
    <row r="30" spans="2:20" ht="37.5" customHeight="1" x14ac:dyDescent="0.25">
      <c r="B30" s="2">
        <v>26</v>
      </c>
      <c r="C30" s="3" t="s">
        <v>74</v>
      </c>
      <c r="D30" s="2" t="s">
        <v>62</v>
      </c>
      <c r="E30" s="3" t="s">
        <v>75</v>
      </c>
      <c r="F30" s="3">
        <v>40</v>
      </c>
      <c r="G30" s="4">
        <f t="shared" si="3"/>
        <v>430.55999999999995</v>
      </c>
      <c r="H30" s="4">
        <v>8</v>
      </c>
      <c r="I30" s="2">
        <v>2010</v>
      </c>
      <c r="J30" s="2">
        <v>2023</v>
      </c>
      <c r="K30" s="2">
        <f t="shared" si="4"/>
        <v>13</v>
      </c>
      <c r="L30" s="2">
        <v>45</v>
      </c>
      <c r="M30" s="5">
        <v>0.1</v>
      </c>
      <c r="N30" s="6">
        <f t="shared" si="5"/>
        <v>0.02</v>
      </c>
      <c r="O30" s="7">
        <v>800</v>
      </c>
      <c r="P30" s="7">
        <f t="shared" si="6"/>
        <v>344447.99999999994</v>
      </c>
      <c r="Q30" s="7">
        <f t="shared" si="0"/>
        <v>89556.479999999981</v>
      </c>
      <c r="R30" s="7">
        <f t="shared" si="1"/>
        <v>254891.51999999996</v>
      </c>
      <c r="S30" s="8">
        <v>0</v>
      </c>
      <c r="T30" s="7">
        <f t="shared" si="2"/>
        <v>254891.51999999996</v>
      </c>
    </row>
    <row r="31" spans="2:20" ht="24" customHeight="1" x14ac:dyDescent="0.25">
      <c r="B31" s="2">
        <v>27</v>
      </c>
      <c r="C31" s="2" t="s">
        <v>76</v>
      </c>
      <c r="D31" s="2" t="s">
        <v>62</v>
      </c>
      <c r="E31" s="3" t="s">
        <v>54</v>
      </c>
      <c r="F31" s="3">
        <v>32</v>
      </c>
      <c r="G31" s="4">
        <f t="shared" si="3"/>
        <v>344.44799999999998</v>
      </c>
      <c r="H31" s="4">
        <v>8</v>
      </c>
      <c r="I31" s="2">
        <v>2010</v>
      </c>
      <c r="J31" s="2">
        <v>2023</v>
      </c>
      <c r="K31" s="2">
        <f t="shared" si="4"/>
        <v>13</v>
      </c>
      <c r="L31" s="2">
        <v>45</v>
      </c>
      <c r="M31" s="5">
        <v>0.1</v>
      </c>
      <c r="N31" s="6">
        <f t="shared" si="5"/>
        <v>0.02</v>
      </c>
      <c r="O31" s="7">
        <v>800</v>
      </c>
      <c r="P31" s="7">
        <f t="shared" si="6"/>
        <v>275558.39999999997</v>
      </c>
      <c r="Q31" s="7">
        <f t="shared" si="0"/>
        <v>71645.183999999994</v>
      </c>
      <c r="R31" s="7">
        <f t="shared" si="1"/>
        <v>203913.21599999996</v>
      </c>
      <c r="S31" s="8">
        <v>0</v>
      </c>
      <c r="T31" s="7">
        <f t="shared" si="2"/>
        <v>203913.21599999996</v>
      </c>
    </row>
    <row r="32" spans="2:20" ht="27" customHeight="1" x14ac:dyDescent="0.25">
      <c r="B32" s="2">
        <v>28</v>
      </c>
      <c r="C32" s="2" t="s">
        <v>85</v>
      </c>
      <c r="D32" s="2" t="s">
        <v>68</v>
      </c>
      <c r="E32" s="3" t="s">
        <v>56</v>
      </c>
      <c r="F32" s="3">
        <v>7</v>
      </c>
      <c r="G32" s="4">
        <f t="shared" si="3"/>
        <v>75.347999999999999</v>
      </c>
      <c r="H32" s="4">
        <v>8</v>
      </c>
      <c r="I32" s="2">
        <v>2010</v>
      </c>
      <c r="J32" s="2">
        <v>2023</v>
      </c>
      <c r="K32" s="2">
        <f t="shared" si="4"/>
        <v>13</v>
      </c>
      <c r="L32" s="2">
        <v>45</v>
      </c>
      <c r="M32" s="5">
        <v>0.1</v>
      </c>
      <c r="N32" s="6">
        <f t="shared" si="5"/>
        <v>0.02</v>
      </c>
      <c r="O32" s="7">
        <v>1200</v>
      </c>
      <c r="P32" s="7">
        <f t="shared" si="6"/>
        <v>90417.600000000006</v>
      </c>
      <c r="Q32" s="7">
        <f t="shared" si="0"/>
        <v>23508.576000000001</v>
      </c>
      <c r="R32" s="7">
        <f t="shared" si="1"/>
        <v>66909.024000000005</v>
      </c>
      <c r="S32" s="8">
        <v>0</v>
      </c>
      <c r="T32" s="7">
        <f t="shared" si="2"/>
        <v>66909.024000000005</v>
      </c>
    </row>
    <row r="33" spans="2:24" ht="30" customHeight="1" x14ac:dyDescent="0.25">
      <c r="B33" s="2">
        <v>29</v>
      </c>
      <c r="C33" s="3" t="s">
        <v>77</v>
      </c>
      <c r="D33" s="2" t="s">
        <v>68</v>
      </c>
      <c r="E33" s="3" t="s">
        <v>60</v>
      </c>
      <c r="F33" s="3">
        <v>411.84</v>
      </c>
      <c r="G33" s="4">
        <f t="shared" si="3"/>
        <v>4433.0457599999991</v>
      </c>
      <c r="H33" s="4">
        <v>12</v>
      </c>
      <c r="I33" s="2">
        <v>2010</v>
      </c>
      <c r="J33" s="2">
        <v>2023</v>
      </c>
      <c r="K33" s="2">
        <f t="shared" si="4"/>
        <v>13</v>
      </c>
      <c r="L33" s="2">
        <v>45</v>
      </c>
      <c r="M33" s="5">
        <v>0.1</v>
      </c>
      <c r="N33" s="6">
        <f t="shared" si="5"/>
        <v>0.02</v>
      </c>
      <c r="O33" s="7">
        <v>1000</v>
      </c>
      <c r="P33" s="7">
        <f t="shared" si="6"/>
        <v>4433045.7599999988</v>
      </c>
      <c r="Q33" s="7">
        <f t="shared" si="0"/>
        <v>1152591.8975999996</v>
      </c>
      <c r="R33" s="7">
        <f t="shared" si="1"/>
        <v>3280453.8623999991</v>
      </c>
      <c r="S33" s="8">
        <v>0</v>
      </c>
      <c r="T33" s="7">
        <f t="shared" si="2"/>
        <v>3280453.8623999991</v>
      </c>
    </row>
    <row r="34" spans="2:24" ht="44.25" customHeight="1" x14ac:dyDescent="0.25">
      <c r="B34" s="2">
        <v>30</v>
      </c>
      <c r="C34" s="3" t="s">
        <v>78</v>
      </c>
      <c r="D34" s="3" t="s">
        <v>81</v>
      </c>
      <c r="E34" s="3" t="s">
        <v>60</v>
      </c>
      <c r="F34" s="3">
        <v>398.4</v>
      </c>
      <c r="G34" s="4">
        <f t="shared" si="3"/>
        <v>4288.3775999999998</v>
      </c>
      <c r="H34" s="4">
        <v>20</v>
      </c>
      <c r="I34" s="2">
        <v>2010</v>
      </c>
      <c r="J34" s="2">
        <v>2023</v>
      </c>
      <c r="K34" s="2">
        <f t="shared" si="4"/>
        <v>13</v>
      </c>
      <c r="L34" s="2">
        <v>45</v>
      </c>
      <c r="M34" s="5">
        <v>0.1</v>
      </c>
      <c r="N34" s="6">
        <f t="shared" si="5"/>
        <v>0.02</v>
      </c>
      <c r="O34" s="7">
        <v>900</v>
      </c>
      <c r="P34" s="7">
        <f t="shared" si="6"/>
        <v>3859539.84</v>
      </c>
      <c r="Q34" s="7">
        <f t="shared" si="0"/>
        <v>1003480.3583999999</v>
      </c>
      <c r="R34" s="7">
        <f t="shared" si="1"/>
        <v>2856059.4816000001</v>
      </c>
      <c r="S34" s="8">
        <v>0</v>
      </c>
      <c r="T34" s="7">
        <f t="shared" si="2"/>
        <v>2856059.4816000001</v>
      </c>
    </row>
    <row r="35" spans="2:24" ht="33" customHeight="1" x14ac:dyDescent="0.25">
      <c r="B35" s="2">
        <v>31</v>
      </c>
      <c r="C35" s="3" t="s">
        <v>79</v>
      </c>
      <c r="D35" s="3" t="s">
        <v>80</v>
      </c>
      <c r="E35" s="3" t="s">
        <v>60</v>
      </c>
      <c r="F35" s="3">
        <v>445.14</v>
      </c>
      <c r="G35" s="4">
        <f t="shared" si="3"/>
        <v>4791.4869599999993</v>
      </c>
      <c r="H35" s="4">
        <v>28</v>
      </c>
      <c r="I35" s="2">
        <v>2010</v>
      </c>
      <c r="J35" s="2">
        <v>2023</v>
      </c>
      <c r="K35" s="2">
        <f t="shared" si="4"/>
        <v>13</v>
      </c>
      <c r="L35" s="2">
        <v>45</v>
      </c>
      <c r="M35" s="5">
        <v>0.1</v>
      </c>
      <c r="N35" s="6">
        <f t="shared" si="5"/>
        <v>0.02</v>
      </c>
      <c r="O35" s="7">
        <v>900</v>
      </c>
      <c r="P35" s="7">
        <f t="shared" si="6"/>
        <v>4312338.2639999995</v>
      </c>
      <c r="Q35" s="7">
        <f t="shared" si="0"/>
        <v>1121207.9486399998</v>
      </c>
      <c r="R35" s="7">
        <f t="shared" si="1"/>
        <v>3191130.3153599994</v>
      </c>
      <c r="S35" s="8">
        <v>0</v>
      </c>
      <c r="T35" s="7">
        <f t="shared" si="2"/>
        <v>3191130.3153599994</v>
      </c>
    </row>
    <row r="36" spans="2:24" ht="33.75" customHeight="1" x14ac:dyDescent="0.25">
      <c r="B36" s="2">
        <v>32</v>
      </c>
      <c r="C36" s="3" t="s">
        <v>82</v>
      </c>
      <c r="D36" s="2" t="s">
        <v>68</v>
      </c>
      <c r="E36" s="3" t="s">
        <v>60</v>
      </c>
      <c r="F36" s="3">
        <v>25</v>
      </c>
      <c r="G36" s="4">
        <f t="shared" si="3"/>
        <v>269.09999999999997</v>
      </c>
      <c r="H36" s="4">
        <v>8</v>
      </c>
      <c r="I36" s="2">
        <v>2010</v>
      </c>
      <c r="J36" s="2">
        <v>2023</v>
      </c>
      <c r="K36" s="2">
        <f t="shared" si="4"/>
        <v>13</v>
      </c>
      <c r="L36" s="2">
        <v>45</v>
      </c>
      <c r="M36" s="5">
        <v>0.1</v>
      </c>
      <c r="N36" s="6">
        <f t="shared" si="5"/>
        <v>0.02</v>
      </c>
      <c r="O36" s="7">
        <v>1000</v>
      </c>
      <c r="P36" s="7">
        <f t="shared" si="6"/>
        <v>269099.99999999994</v>
      </c>
      <c r="Q36" s="7">
        <f t="shared" si="0"/>
        <v>69965.999999999985</v>
      </c>
      <c r="R36" s="7">
        <f t="shared" si="1"/>
        <v>199133.99999999994</v>
      </c>
      <c r="S36" s="8">
        <v>0</v>
      </c>
      <c r="T36" s="7">
        <f t="shared" si="2"/>
        <v>199133.99999999994</v>
      </c>
    </row>
    <row r="37" spans="2:24" ht="29.25" customHeight="1" x14ac:dyDescent="0.25">
      <c r="B37" s="2">
        <v>33</v>
      </c>
      <c r="C37" s="3" t="s">
        <v>83</v>
      </c>
      <c r="D37" s="2" t="s">
        <v>68</v>
      </c>
      <c r="E37" s="3" t="s">
        <v>56</v>
      </c>
      <c r="F37" s="3">
        <v>40</v>
      </c>
      <c r="G37" s="4">
        <f t="shared" si="3"/>
        <v>430.55999999999995</v>
      </c>
      <c r="H37" s="4">
        <v>8</v>
      </c>
      <c r="I37" s="2">
        <v>2010</v>
      </c>
      <c r="J37" s="2">
        <v>2023</v>
      </c>
      <c r="K37" s="2">
        <f t="shared" si="4"/>
        <v>13</v>
      </c>
      <c r="L37" s="2">
        <v>65</v>
      </c>
      <c r="M37" s="5">
        <v>0.1</v>
      </c>
      <c r="N37" s="6">
        <f t="shared" si="5"/>
        <v>1.3846153846153847E-2</v>
      </c>
      <c r="O37" s="7">
        <v>1000</v>
      </c>
      <c r="P37" s="7">
        <f t="shared" si="6"/>
        <v>430559.99999999994</v>
      </c>
      <c r="Q37" s="7">
        <f t="shared" si="0"/>
        <v>77500.799999999988</v>
      </c>
      <c r="R37" s="7">
        <f t="shared" si="1"/>
        <v>353059.19999999995</v>
      </c>
      <c r="S37" s="8">
        <v>0</v>
      </c>
      <c r="T37" s="7">
        <f t="shared" si="2"/>
        <v>353059.19999999995</v>
      </c>
    </row>
    <row r="38" spans="2:24" ht="26.25" customHeight="1" x14ac:dyDescent="0.25">
      <c r="B38" s="28" t="s">
        <v>17</v>
      </c>
      <c r="C38" s="28"/>
      <c r="D38" s="28"/>
      <c r="E38" s="28"/>
      <c r="F38" s="23">
        <f>SUM(F5:F37)</f>
        <v>14400.909999999998</v>
      </c>
      <c r="G38" s="23">
        <f>SUM(G5:G37)</f>
        <v>155011.39524000004</v>
      </c>
      <c r="H38" s="28"/>
      <c r="I38" s="28"/>
      <c r="J38" s="28"/>
      <c r="K38" s="28"/>
      <c r="L38" s="28"/>
      <c r="M38" s="28"/>
      <c r="N38" s="28"/>
      <c r="O38" s="28"/>
      <c r="P38" s="24">
        <f>SUM(P5:P37)</f>
        <v>187859253.58199999</v>
      </c>
      <c r="Q38" s="24">
        <f>SUM(Q5:Q37)</f>
        <v>44882555.446337134</v>
      </c>
      <c r="R38" s="24">
        <f>SUM(R5:R37)</f>
        <v>142976698.13566282</v>
      </c>
      <c r="S38" s="24"/>
      <c r="T38" s="24">
        <f>SUM(T5:T37)</f>
        <v>142976698.13566282</v>
      </c>
      <c r="X38" s="34">
        <f>P38*80%</f>
        <v>150287402.86559999</v>
      </c>
    </row>
    <row r="39" spans="2:24" x14ac:dyDescent="0.25">
      <c r="B39" s="29" t="s">
        <v>18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2:24" x14ac:dyDescent="0.25">
      <c r="B40" s="29" t="s">
        <v>97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2:24" x14ac:dyDescent="0.25">
      <c r="B41" s="29" t="s">
        <v>31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2:24" ht="15" customHeight="1" x14ac:dyDescent="0.25">
      <c r="B42" s="29" t="s">
        <v>93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V42" s="18"/>
    </row>
    <row r="43" spans="2:24" ht="15" customHeight="1" x14ac:dyDescent="0.25">
      <c r="B43" s="29" t="s">
        <v>98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V43" s="18"/>
    </row>
    <row r="44" spans="2:24" ht="15" customHeight="1" x14ac:dyDescent="0.25">
      <c r="B44" s="29" t="s">
        <v>86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V44" s="18"/>
    </row>
    <row r="45" spans="2:24" ht="27" customHeight="1" x14ac:dyDescent="0.25">
      <c r="B45" s="33" t="s">
        <v>99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V45" s="18"/>
    </row>
    <row r="46" spans="2:24" ht="15.75" customHeight="1" x14ac:dyDescent="0.25">
      <c r="B46" s="33" t="s">
        <v>87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V46" s="18"/>
    </row>
    <row r="47" spans="2:24" ht="14.25" customHeight="1" x14ac:dyDescent="0.25">
      <c r="B47" s="29" t="s">
        <v>88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50" spans="4:11" x14ac:dyDescent="0.25">
      <c r="D50" s="12" t="s">
        <v>84</v>
      </c>
      <c r="E50" s="11">
        <f>ROUND(1.17*1000*5000,-6)</f>
        <v>6000000</v>
      </c>
    </row>
    <row r="51" spans="4:11" ht="13.5" customHeight="1" x14ac:dyDescent="0.25">
      <c r="D51" s="12" t="s">
        <v>89</v>
      </c>
      <c r="E51" s="11">
        <f>ROUND(T38*0.05,-6)</f>
        <v>7000000</v>
      </c>
      <c r="G51" s="26" t="s">
        <v>26</v>
      </c>
      <c r="H51" s="27"/>
    </row>
    <row r="52" spans="4:11" x14ac:dyDescent="0.25">
      <c r="D52" s="10" t="s">
        <v>20</v>
      </c>
      <c r="E52" s="11">
        <f>54891.39*4650</f>
        <v>255244963.5</v>
      </c>
      <c r="G52" s="10" t="s">
        <v>27</v>
      </c>
      <c r="H52" s="11">
        <f>1000*14000*1.05</f>
        <v>14700000</v>
      </c>
    </row>
    <row r="53" spans="4:11" x14ac:dyDescent="0.25">
      <c r="D53" s="10" t="s">
        <v>21</v>
      </c>
      <c r="E53" s="11">
        <f>T38</f>
        <v>142976698.13566282</v>
      </c>
      <c r="G53" s="10" t="s">
        <v>28</v>
      </c>
      <c r="H53" s="11">
        <f>(SUM(F5:F6)*10000*0.89+SUM(F7:F8)*10000)</f>
        <v>10050652</v>
      </c>
      <c r="K53" s="17"/>
    </row>
    <row r="54" spans="4:11" x14ac:dyDescent="0.25">
      <c r="D54" s="12" t="s">
        <v>22</v>
      </c>
      <c r="E54" s="13">
        <f>SUM(E50:E53)</f>
        <v>411221661.63566279</v>
      </c>
      <c r="G54" s="10" t="s">
        <v>32</v>
      </c>
      <c r="H54" s="11">
        <f>H53+H52</f>
        <v>24750652</v>
      </c>
      <c r="K54" s="17"/>
    </row>
    <row r="55" spans="4:11" x14ac:dyDescent="0.25">
      <c r="D55" s="12" t="s">
        <v>23</v>
      </c>
      <c r="E55" s="13">
        <f>ROUND(E54,-5)</f>
        <v>411200000</v>
      </c>
      <c r="G55" s="19" t="s">
        <v>33</v>
      </c>
      <c r="H55" s="21">
        <f>1-(H54/E55)</f>
        <v>0.93980872568093388</v>
      </c>
      <c r="K55" s="15"/>
    </row>
    <row r="56" spans="4:11" x14ac:dyDescent="0.25">
      <c r="D56" s="10" t="s">
        <v>24</v>
      </c>
      <c r="E56" s="14">
        <f>0.85*E55</f>
        <v>349520000</v>
      </c>
      <c r="J56" s="20"/>
      <c r="K56" s="16"/>
    </row>
    <row r="57" spans="4:11" x14ac:dyDescent="0.25">
      <c r="D57" s="10" t="s">
        <v>25</v>
      </c>
      <c r="E57" s="14">
        <f>0.75*E55</f>
        <v>308400000</v>
      </c>
    </row>
  </sheetData>
  <mergeCells count="13">
    <mergeCell ref="G51:H51"/>
    <mergeCell ref="H38:O38"/>
    <mergeCell ref="B41:T41"/>
    <mergeCell ref="B47:T47"/>
    <mergeCell ref="B3:T3"/>
    <mergeCell ref="B38:E38"/>
    <mergeCell ref="B39:T39"/>
    <mergeCell ref="B40:T40"/>
    <mergeCell ref="B42:T42"/>
    <mergeCell ref="B43:T43"/>
    <mergeCell ref="B44:T44"/>
    <mergeCell ref="B45:T45"/>
    <mergeCell ref="B46:T4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N24"/>
  <sheetViews>
    <sheetView workbookViewId="0">
      <selection activeCell="N18" sqref="N18"/>
    </sheetView>
  </sheetViews>
  <sheetFormatPr defaultRowHeight="15" x14ac:dyDescent="0.25"/>
  <cols>
    <col min="10" max="10" width="16.28515625" bestFit="1" customWidth="1"/>
    <col min="11" max="11" width="10" bestFit="1" customWidth="1"/>
    <col min="14" max="14" width="15.28515625" bestFit="1" customWidth="1"/>
  </cols>
  <sheetData>
    <row r="4" spans="3:14" x14ac:dyDescent="0.25">
      <c r="C4">
        <v>2800000</v>
      </c>
      <c r="D4">
        <f>C4/E4</f>
        <v>3703.7037037037039</v>
      </c>
      <c r="E4">
        <v>756</v>
      </c>
      <c r="F4" t="s">
        <v>90</v>
      </c>
    </row>
    <row r="5" spans="3:14" x14ac:dyDescent="0.25">
      <c r="D5">
        <f>C4/E5</f>
        <v>4425.9259259259261</v>
      </c>
      <c r="E5">
        <f>E4/1.195</f>
        <v>632.63598326359829</v>
      </c>
      <c r="F5" t="s">
        <v>91</v>
      </c>
    </row>
    <row r="7" spans="3:14" x14ac:dyDescent="0.25">
      <c r="J7" s="15">
        <v>20000000</v>
      </c>
      <c r="M7">
        <f>8000*1200</f>
        <v>9600000</v>
      </c>
    </row>
    <row r="8" spans="3:14" x14ac:dyDescent="0.25">
      <c r="J8" s="25">
        <f>J7-M7</f>
        <v>10400000</v>
      </c>
    </row>
    <row r="9" spans="3:14" x14ac:dyDescent="0.25">
      <c r="J9" s="16">
        <f>J8/1750</f>
        <v>5942.8571428571431</v>
      </c>
    </row>
    <row r="13" spans="3:14" x14ac:dyDescent="0.25">
      <c r="J13" s="15">
        <f>4000000</f>
        <v>4000000</v>
      </c>
    </row>
    <row r="14" spans="3:14" x14ac:dyDescent="0.25">
      <c r="J14">
        <v>756</v>
      </c>
    </row>
    <row r="15" spans="3:14" x14ac:dyDescent="0.25">
      <c r="J15" s="16">
        <f>J13/J14</f>
        <v>5291.0052910052909</v>
      </c>
    </row>
    <row r="16" spans="3:14" x14ac:dyDescent="0.25">
      <c r="J16" s="16">
        <f>J15*1.195</f>
        <v>6322.7513227513227</v>
      </c>
      <c r="N16">
        <v>314000000</v>
      </c>
    </row>
    <row r="17" spans="10:14" x14ac:dyDescent="0.25">
      <c r="N17" s="15">
        <f>N16*0.85</f>
        <v>266900000</v>
      </c>
    </row>
    <row r="18" spans="10:14" x14ac:dyDescent="0.25">
      <c r="N18" s="15">
        <f>N16*0.75</f>
        <v>235500000</v>
      </c>
    </row>
    <row r="20" spans="10:14" x14ac:dyDescent="0.25">
      <c r="J20">
        <f>ROUND(89250*0.98,-2)</f>
        <v>87500</v>
      </c>
      <c r="K20">
        <f>J20*3415</f>
        <v>298812500</v>
      </c>
    </row>
    <row r="21" spans="10:14" x14ac:dyDescent="0.25">
      <c r="K21">
        <v>15000000</v>
      </c>
    </row>
    <row r="22" spans="10:14" x14ac:dyDescent="0.25">
      <c r="K22">
        <f>SUM(K20:K21)</f>
        <v>313812500</v>
      </c>
    </row>
    <row r="23" spans="10:14" x14ac:dyDescent="0.25">
      <c r="K23">
        <f>K22*0.85</f>
        <v>266740625</v>
      </c>
    </row>
    <row r="24" spans="10:14" x14ac:dyDescent="0.25">
      <c r="K24">
        <f>K22*0.25</f>
        <v>78453125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Babul</dc:creator>
  <cp:lastModifiedBy>Rajani Gupta</cp:lastModifiedBy>
  <dcterms:created xsi:type="dcterms:W3CDTF">2022-11-04T05:05:51Z</dcterms:created>
  <dcterms:modified xsi:type="dcterms:W3CDTF">2023-06-16T13:43:25Z</dcterms:modified>
</cp:coreProperties>
</file>