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VIS(2023-24)-PL118-101-117\"/>
    </mc:Choice>
  </mc:AlternateContent>
  <bookViews>
    <workbookView showVerticalScroll="0" xWindow="0" yWindow="0" windowWidth="24000" windowHeight="9735"/>
  </bookViews>
  <sheets>
    <sheet name="Building" sheetId="4" r:id="rId1"/>
    <sheet name="Sheet1" sheetId="5" r:id="rId2"/>
    <sheet name="Land " sheetId="3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5" l="1"/>
  <c r="F20" i="3" l="1"/>
  <c r="I8" i="3"/>
  <c r="P36" i="5" l="1"/>
  <c r="T34" i="5" l="1"/>
  <c r="T36" i="5" s="1"/>
  <c r="U34" i="5" l="1"/>
  <c r="U36" i="5" s="1"/>
  <c r="J45" i="4"/>
  <c r="X7" i="5" l="1"/>
  <c r="F39" i="5"/>
  <c r="X20" i="4"/>
  <c r="R13" i="5"/>
  <c r="M14" i="5"/>
  <c r="X20" i="5"/>
  <c r="F37" i="5"/>
  <c r="F37" i="4"/>
  <c r="F36" i="5"/>
  <c r="F36" i="4"/>
  <c r="Y20" i="3"/>
  <c r="S22" i="5"/>
  <c r="S23" i="5" s="1"/>
  <c r="T22" i="3"/>
  <c r="T23" i="3" s="1"/>
  <c r="V30" i="4"/>
  <c r="V30" i="5"/>
  <c r="W28" i="3"/>
  <c r="V29" i="4"/>
  <c r="V29" i="5"/>
  <c r="W27" i="3"/>
  <c r="H6" i="4"/>
  <c r="H7" i="4"/>
  <c r="J23" i="3" l="1"/>
  <c r="I22" i="4"/>
  <c r="I22" i="5"/>
  <c r="J22" i="3"/>
  <c r="L38" i="5"/>
  <c r="L38" i="4"/>
  <c r="O31" i="4"/>
  <c r="I17" i="3" l="1"/>
  <c r="G16" i="3"/>
  <c r="I16" i="3" s="1"/>
  <c r="B16" i="3"/>
  <c r="G15" i="3"/>
  <c r="I15" i="3" s="1"/>
  <c r="I14" i="3"/>
  <c r="G14" i="3" s="1"/>
  <c r="B12" i="3"/>
  <c r="B11" i="3"/>
  <c r="C12" i="3"/>
  <c r="C11" i="3"/>
  <c r="E8" i="3"/>
  <c r="B8" i="3"/>
  <c r="Y15" i="3"/>
  <c r="AC13" i="3"/>
  <c r="R22" i="4"/>
  <c r="P22" i="4"/>
  <c r="L22" i="4"/>
  <c r="H9" i="4"/>
  <c r="P8" i="4"/>
  <c r="P7" i="4"/>
  <c r="L8" i="4"/>
  <c r="I8" i="4"/>
  <c r="R8" i="4" s="1"/>
  <c r="L7" i="4"/>
  <c r="I7" i="4"/>
  <c r="R7" i="4" s="1"/>
  <c r="P6" i="4"/>
  <c r="S8" i="4" l="1"/>
  <c r="T8" i="4" s="1"/>
  <c r="S22" i="4"/>
  <c r="T22" i="4" s="1"/>
  <c r="S7" i="4"/>
  <c r="L6" i="4"/>
  <c r="I6" i="4"/>
  <c r="I9" i="4" s="1"/>
  <c r="R21" i="3"/>
  <c r="M20" i="3"/>
  <c r="M19" i="3"/>
  <c r="R6" i="4" l="1"/>
  <c r="T7" i="4"/>
  <c r="S6" i="4" l="1"/>
  <c r="S9" i="4" s="1"/>
  <c r="R9" i="4"/>
  <c r="T6" i="4" l="1"/>
  <c r="T9" i="4" s="1"/>
  <c r="T23" i="4" s="1"/>
  <c r="T25" i="4" s="1"/>
  <c r="F31" i="4" l="1"/>
  <c r="F33" i="4" s="1"/>
  <c r="F39" i="4"/>
</calcChain>
</file>

<file path=xl/sharedStrings.xml><?xml version="1.0" encoding="utf-8"?>
<sst xmlns="http://schemas.openxmlformats.org/spreadsheetml/2006/main" count="77" uniqueCount="65">
  <si>
    <t>Depreciation</t>
  </si>
  <si>
    <t>S.NO</t>
  </si>
  <si>
    <t>TYPE OF CONSTRUCTION</t>
  </si>
  <si>
    <t>STRUCTURE CONDITION</t>
  </si>
  <si>
    <r>
      <t xml:space="preserve">TOTAL COVERED AREA
</t>
    </r>
    <r>
      <rPr>
        <b/>
        <i/>
        <sz val="10"/>
        <color indexed="9"/>
        <rFont val="Calibri"/>
        <family val="2"/>
      </rPr>
      <t>(SQ. MTR.)</t>
    </r>
  </si>
  <si>
    <r>
      <t xml:space="preserve">TOTAL COVERED AREA
</t>
    </r>
    <r>
      <rPr>
        <b/>
        <i/>
        <sz val="10"/>
        <color indexed="9"/>
        <rFont val="Calibri"/>
        <family val="2"/>
      </rPr>
      <t>( SQ. FT.)</t>
    </r>
  </si>
  <si>
    <t>YEAR OF CONSTRUCTION</t>
  </si>
  <si>
    <t>YEAR OF VALUATION</t>
  </si>
  <si>
    <r>
      <t xml:space="preserve">DEPRECIATED REPLACEMENT RATES ADOPTED </t>
    </r>
    <r>
      <rPr>
        <b/>
        <i/>
        <sz val="10"/>
        <color indexed="9"/>
        <rFont val="Calibri"/>
        <family val="2"/>
      </rPr>
      <t>(per sq. ft</t>
    </r>
    <r>
      <rPr>
        <b/>
        <sz val="10"/>
        <color indexed="9"/>
        <rFont val="Calibri"/>
        <family val="2"/>
      </rPr>
      <t>.)</t>
    </r>
  </si>
  <si>
    <t>SALVAGE VALUE</t>
  </si>
  <si>
    <t>DEPRECIATION RATE</t>
  </si>
  <si>
    <t>TOTAL ECONOMIC LIFE (in Yrs.)</t>
  </si>
  <si>
    <t>TOTAL CONSUMED LIFE (in Yrs.)</t>
  </si>
  <si>
    <t>PLINTH AREA RATE (in Sq.Ft.)</t>
  </si>
  <si>
    <t>GROSS REPLACEMENT VALUE</t>
  </si>
  <si>
    <t>DEPRECIATED REPLACEMENT VALUE</t>
  </si>
  <si>
    <t>round up</t>
  </si>
  <si>
    <t>FLOOR</t>
  </si>
  <si>
    <t>TYPE</t>
  </si>
  <si>
    <t>Ground</t>
  </si>
  <si>
    <t xml:space="preserve">1st </t>
  </si>
  <si>
    <t>2nd</t>
  </si>
  <si>
    <t>Residential Area</t>
  </si>
  <si>
    <t>RCC Struture with beam and column mounted on Brick wall</t>
  </si>
  <si>
    <t>Good</t>
  </si>
  <si>
    <t>Commercial Area</t>
  </si>
  <si>
    <t>Stilt Area</t>
  </si>
  <si>
    <t>Total</t>
  </si>
  <si>
    <t>`</t>
  </si>
  <si>
    <t>Length(mtr.)</t>
  </si>
  <si>
    <t>length(ft.)</t>
  </si>
  <si>
    <t>rate/mtr.</t>
  </si>
  <si>
    <t>sq.m</t>
  </si>
  <si>
    <t>sq.ft.</t>
  </si>
  <si>
    <t>acre</t>
  </si>
  <si>
    <t>katha</t>
  </si>
  <si>
    <t>value</t>
  </si>
  <si>
    <t>Area(in sq.mtr.)</t>
  </si>
  <si>
    <t>Area(sq.ft.)</t>
  </si>
  <si>
    <t>Area(sq.yd.)</t>
  </si>
  <si>
    <t>Subject property</t>
  </si>
  <si>
    <t>Comparable 1</t>
  </si>
  <si>
    <t>Comparable 2</t>
  </si>
  <si>
    <t>Rate/sq.m.</t>
  </si>
  <si>
    <t>Comparable 3</t>
  </si>
  <si>
    <t>rate/sq.ft.</t>
  </si>
  <si>
    <t>comparable 4</t>
  </si>
  <si>
    <t>comparable 5</t>
  </si>
  <si>
    <t>comparable 6</t>
  </si>
  <si>
    <t>Rate adaopted/ft.</t>
  </si>
  <si>
    <t>Building</t>
  </si>
  <si>
    <t>land</t>
  </si>
  <si>
    <t>Boundary wall &amp; misc.</t>
  </si>
  <si>
    <t>Boundary wall &amp; misc</t>
  </si>
  <si>
    <t xml:space="preserve">BUILDING/CIVIL STRUCTURE VALUATION |M/S TARACHAND INFRALOGISTICS SOLUTIONS LTD.,PALLAVI AVIDA, PLOT NO.6, SECTOR-10E, KALAMBOLI, TALUKA- PANVEL, DIST.- RAIGAD, NAVI MUMBAI </t>
  </si>
  <si>
    <t>Round up</t>
  </si>
  <si>
    <t>FMV</t>
  </si>
  <si>
    <t>RV</t>
  </si>
  <si>
    <t>DSV</t>
  </si>
  <si>
    <t>insurance
value</t>
  </si>
  <si>
    <t>Rate(in sq.mtr.)</t>
  </si>
  <si>
    <t>While 
considering lease
 factor</t>
  </si>
  <si>
    <t>lease exp.(in yrs.)</t>
  </si>
  <si>
    <t>total years(12/2/2017 to 11/02/50)</t>
  </si>
  <si>
    <t>lease left(in yrs.)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</si>
</sst>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00_ ;_ * \-#,##0.0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indexed="9"/>
      <name val="Calibri"/>
      <family val="2"/>
    </font>
    <font>
      <b/>
      <sz val="10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0" fillId="0" borderId="1" xfId="0" applyBorder="1"/>
    <xf numFmtId="165" fontId="0" fillId="0" borderId="1" xfId="0" applyNumberFormat="1" applyBorder="1"/>
    <xf numFmtId="43" fontId="0" fillId="0" borderId="1" xfId="0" applyNumberFormat="1" applyBorder="1"/>
    <xf numFmtId="9" fontId="0" fillId="0" borderId="1" xfId="0" applyNumberFormat="1" applyBorder="1"/>
    <xf numFmtId="44" fontId="0" fillId="0" borderId="1" xfId="0" applyNumberFormat="1" applyBorder="1"/>
    <xf numFmtId="166" fontId="4" fillId="2" borderId="1" xfId="2" applyNumberFormat="1" applyFont="1" applyFill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/>
    </xf>
    <xf numFmtId="166" fontId="0" fillId="0" borderId="1" xfId="2" applyNumberFormat="1" applyFont="1" applyBorder="1"/>
    <xf numFmtId="166" fontId="0" fillId="0" borderId="1" xfId="0" applyNumberFormat="1" applyBorder="1"/>
    <xf numFmtId="166" fontId="0" fillId="0" borderId="0" xfId="2" applyNumberFormat="1" applyFont="1" applyFill="1"/>
    <xf numFmtId="166" fontId="0" fillId="0" borderId="0" xfId="2" applyNumberFormat="1" applyFont="1" applyFill="1" applyAlignment="1">
      <alignment horizontal="center"/>
    </xf>
    <xf numFmtId="166" fontId="0" fillId="0" borderId="0" xfId="2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43" fontId="0" fillId="0" borderId="0" xfId="0" applyNumberFormat="1"/>
    <xf numFmtId="9" fontId="0" fillId="0" borderId="0" xfId="0" applyNumberFormat="1"/>
    <xf numFmtId="44" fontId="0" fillId="0" borderId="0" xfId="0" applyNumberFormat="1"/>
    <xf numFmtId="43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/>
    <xf numFmtId="43" fontId="0" fillId="0" borderId="0" xfId="2" applyFont="1"/>
    <xf numFmtId="43" fontId="0" fillId="0" borderId="1" xfId="2" applyFont="1" applyBorder="1"/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45"/>
  <sheetViews>
    <sheetView tabSelected="1" topLeftCell="A10" workbookViewId="0">
      <selection activeCell="F36" sqref="F36"/>
    </sheetView>
  </sheetViews>
  <sheetFormatPr defaultRowHeight="15" x14ac:dyDescent="0.25"/>
  <cols>
    <col min="3" max="3" width="4.85546875" customWidth="1"/>
    <col min="4" max="4" width="13.7109375" hidden="1" customWidth="1"/>
    <col min="5" max="5" width="15.7109375" bestFit="1" customWidth="1"/>
    <col min="6" max="6" width="22.7109375" customWidth="1"/>
    <col min="7" max="7" width="10.140625" hidden="1" customWidth="1"/>
    <col min="8" max="8" width="13.28515625" style="25" bestFit="1" customWidth="1"/>
    <col min="9" max="9" width="14.28515625" bestFit="1" customWidth="1"/>
    <col min="10" max="10" width="13" customWidth="1"/>
    <col min="11" max="11" width="11.42578125" hidden="1" customWidth="1"/>
    <col min="12" max="12" width="12.28515625" hidden="1" customWidth="1"/>
    <col min="13" max="13" width="11.5703125" hidden="1" customWidth="1"/>
    <col min="14" max="14" width="15.42578125" hidden="1" customWidth="1"/>
    <col min="15" max="15" width="9.140625" hidden="1" customWidth="1"/>
    <col min="16" max="16" width="14.7109375" customWidth="1"/>
    <col min="17" max="17" width="10" style="9" bestFit="1" customWidth="1"/>
    <col min="18" max="18" width="15.28515625" style="9" customWidth="1"/>
    <col min="19" max="19" width="15.85546875" hidden="1" customWidth="1"/>
    <col min="20" max="20" width="16.5703125" bestFit="1" customWidth="1"/>
  </cols>
  <sheetData>
    <row r="3" spans="3:20" x14ac:dyDescent="0.25">
      <c r="C3" s="46" t="s">
        <v>54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3:20" x14ac:dyDescent="0.25"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3:20" ht="54.75" customHeight="1" x14ac:dyDescent="0.25">
      <c r="C5" s="4" t="s">
        <v>1</v>
      </c>
      <c r="D5" s="7" t="s">
        <v>17</v>
      </c>
      <c r="E5" s="7" t="s">
        <v>18</v>
      </c>
      <c r="F5" s="5" t="s">
        <v>2</v>
      </c>
      <c r="G5" s="7" t="s">
        <v>3</v>
      </c>
      <c r="H5" s="19" t="s">
        <v>4</v>
      </c>
      <c r="I5" s="5" t="s">
        <v>5</v>
      </c>
      <c r="J5" s="6" t="s">
        <v>6</v>
      </c>
      <c r="K5" s="7" t="s">
        <v>7</v>
      </c>
      <c r="L5" s="6" t="s">
        <v>12</v>
      </c>
      <c r="M5" s="6" t="s">
        <v>11</v>
      </c>
      <c r="N5" s="7" t="s">
        <v>8</v>
      </c>
      <c r="O5" s="7" t="s">
        <v>9</v>
      </c>
      <c r="P5" s="7" t="s">
        <v>10</v>
      </c>
      <c r="Q5" s="8" t="s">
        <v>13</v>
      </c>
      <c r="R5" s="8" t="s">
        <v>14</v>
      </c>
      <c r="S5" s="7" t="s">
        <v>0</v>
      </c>
      <c r="T5" s="7" t="s">
        <v>15</v>
      </c>
    </row>
    <row r="6" spans="3:20" ht="45" x14ac:dyDescent="0.25">
      <c r="C6" s="26">
        <v>1</v>
      </c>
      <c r="D6" s="26" t="s">
        <v>19</v>
      </c>
      <c r="E6" s="26" t="s">
        <v>22</v>
      </c>
      <c r="F6" s="27" t="s">
        <v>23</v>
      </c>
      <c r="G6" s="26" t="s">
        <v>24</v>
      </c>
      <c r="H6" s="28">
        <f>40.145+144.056+40.145+27.452+(191.575+40.145+34.51)*8+149.254+81.075+34.301+164.184+40.145+30.401</f>
        <v>2880.998</v>
      </c>
      <c r="I6" s="29">
        <f>H6*10.76</f>
        <v>30999.538479999999</v>
      </c>
      <c r="J6" s="26">
        <v>2010</v>
      </c>
      <c r="K6" s="26">
        <v>2023</v>
      </c>
      <c r="L6" s="26">
        <f>K6-J6</f>
        <v>13</v>
      </c>
      <c r="M6" s="26">
        <v>60</v>
      </c>
      <c r="N6" s="26"/>
      <c r="O6" s="30">
        <v>0.1</v>
      </c>
      <c r="P6" s="31">
        <f>(1-O62)/M6</f>
        <v>1.6666666666666666E-2</v>
      </c>
      <c r="Q6" s="32">
        <v>1800</v>
      </c>
      <c r="R6" s="32">
        <f>Q6*I6</f>
        <v>55799169.263999999</v>
      </c>
      <c r="S6" s="32">
        <f>R6*P6*L6</f>
        <v>12089820.007200001</v>
      </c>
      <c r="T6" s="32">
        <f>R6-S6</f>
        <v>43709349.256799996</v>
      </c>
    </row>
    <row r="7" spans="3:20" ht="45" x14ac:dyDescent="0.25">
      <c r="C7" s="26">
        <v>2</v>
      </c>
      <c r="D7" s="26" t="s">
        <v>20</v>
      </c>
      <c r="E7" s="26" t="s">
        <v>25</v>
      </c>
      <c r="F7" s="27" t="s">
        <v>23</v>
      </c>
      <c r="G7" s="26" t="s">
        <v>24</v>
      </c>
      <c r="H7" s="28">
        <f>179.194+40.145+26.878</f>
        <v>246.21699999999998</v>
      </c>
      <c r="I7" s="29">
        <f t="shared" ref="I7:I8" si="0">H7*10.76</f>
        <v>2649.2949199999998</v>
      </c>
      <c r="J7" s="26">
        <v>2010</v>
      </c>
      <c r="K7" s="26">
        <v>2023</v>
      </c>
      <c r="L7" s="26">
        <f t="shared" ref="L7:L8" si="1">K7-J7</f>
        <v>13</v>
      </c>
      <c r="M7" s="26">
        <v>60</v>
      </c>
      <c r="N7" s="26"/>
      <c r="O7" s="30">
        <v>0.1</v>
      </c>
      <c r="P7" s="31">
        <f>(1-O63)/M7</f>
        <v>1.6666666666666666E-2</v>
      </c>
      <c r="Q7" s="32">
        <v>2200</v>
      </c>
      <c r="R7" s="32">
        <f t="shared" ref="R7:R8" si="2">Q7*I7</f>
        <v>5828448.824</v>
      </c>
      <c r="S7" s="32">
        <f t="shared" ref="S7:S8" si="3">R7*P7*L7</f>
        <v>1262830.5785333333</v>
      </c>
      <c r="T7" s="32">
        <f t="shared" ref="T7:T8" si="4">R7-S7</f>
        <v>4565618.2454666663</v>
      </c>
    </row>
    <row r="8" spans="3:20" x14ac:dyDescent="0.25">
      <c r="C8" s="26">
        <v>3</v>
      </c>
      <c r="D8" s="26" t="s">
        <v>21</v>
      </c>
      <c r="E8" s="26" t="s">
        <v>26</v>
      </c>
      <c r="F8" s="27">
        <v>9450</v>
      </c>
      <c r="G8" s="26" t="s">
        <v>24</v>
      </c>
      <c r="H8" s="28">
        <v>452.29899999999998</v>
      </c>
      <c r="I8" s="29">
        <f t="shared" si="0"/>
        <v>4866.7372399999995</v>
      </c>
      <c r="J8" s="26">
        <v>2010</v>
      </c>
      <c r="K8" s="26">
        <v>2023</v>
      </c>
      <c r="L8" s="26">
        <f t="shared" si="1"/>
        <v>13</v>
      </c>
      <c r="M8" s="26">
        <v>60</v>
      </c>
      <c r="N8" s="26"/>
      <c r="O8" s="30">
        <v>0.1</v>
      </c>
      <c r="P8" s="31">
        <f>(1-O64)/M8</f>
        <v>1.6666666666666666E-2</v>
      </c>
      <c r="Q8" s="32">
        <v>1450</v>
      </c>
      <c r="R8" s="32">
        <f t="shared" si="2"/>
        <v>7056768.9979999997</v>
      </c>
      <c r="S8" s="32">
        <f t="shared" si="3"/>
        <v>1528966.6162333332</v>
      </c>
      <c r="T8" s="32">
        <f t="shared" si="4"/>
        <v>5527802.3817666667</v>
      </c>
    </row>
    <row r="9" spans="3:20" x14ac:dyDescent="0.25">
      <c r="C9" s="48" t="s">
        <v>27</v>
      </c>
      <c r="D9" s="49"/>
      <c r="E9" s="49"/>
      <c r="F9" s="49"/>
      <c r="G9" s="50"/>
      <c r="H9" s="33">
        <f>SUM(H6:H8)</f>
        <v>3579.5140000000001</v>
      </c>
      <c r="I9" s="34">
        <f>SUM(I6:I8)</f>
        <v>38515.570639999998</v>
      </c>
      <c r="J9" s="35"/>
      <c r="K9" s="35"/>
      <c r="L9" s="35"/>
      <c r="M9" s="35"/>
      <c r="N9" s="35"/>
      <c r="O9" s="35"/>
      <c r="P9" s="35"/>
      <c r="Q9" s="36"/>
      <c r="R9" s="36">
        <f>SUM(R6:R8)</f>
        <v>68684387.085999995</v>
      </c>
      <c r="S9" s="36">
        <f>SUM(S6:S8)</f>
        <v>14881617.201966668</v>
      </c>
      <c r="T9" s="36">
        <f>SUM(T6:T8)</f>
        <v>53802769.88403333</v>
      </c>
    </row>
    <row r="10" spans="3:20" x14ac:dyDescent="0.25">
      <c r="C10" s="10"/>
      <c r="D10" s="10"/>
      <c r="E10" s="10"/>
      <c r="F10" s="10"/>
      <c r="G10" s="10"/>
      <c r="H10" s="2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10"/>
      <c r="T10" s="10"/>
    </row>
    <row r="11" spans="3:20" x14ac:dyDescent="0.25">
      <c r="C11" s="10"/>
      <c r="D11" s="10"/>
      <c r="E11" s="14"/>
      <c r="F11" s="14"/>
      <c r="G11" s="14"/>
      <c r="H11" s="21"/>
      <c r="I11" s="16"/>
      <c r="J11" s="14"/>
      <c r="K11" s="14"/>
      <c r="L11" s="14"/>
      <c r="M11" s="14"/>
      <c r="N11" s="14"/>
      <c r="O11" s="17"/>
      <c r="P11" s="14"/>
      <c r="Q11" s="15"/>
      <c r="R11" s="15"/>
      <c r="S11" s="15"/>
      <c r="T11" s="15"/>
    </row>
    <row r="12" spans="3:20" x14ac:dyDescent="0.25">
      <c r="C12" s="10"/>
      <c r="D12" s="10"/>
      <c r="E12" s="14"/>
      <c r="F12" s="14"/>
      <c r="G12" s="14"/>
      <c r="H12" s="21"/>
      <c r="I12" s="14"/>
      <c r="J12" s="14"/>
      <c r="K12" s="14"/>
      <c r="L12" s="14"/>
      <c r="M12" s="14"/>
      <c r="N12" s="14"/>
      <c r="O12" s="14"/>
      <c r="P12" s="14"/>
      <c r="Q12" s="15"/>
      <c r="R12" s="15"/>
      <c r="S12" s="14"/>
      <c r="T12" s="15"/>
    </row>
    <row r="13" spans="3:20" x14ac:dyDescent="0.25">
      <c r="C13" s="10"/>
      <c r="D13" s="10"/>
      <c r="E13" s="14"/>
      <c r="F13" s="14"/>
      <c r="G13" s="14"/>
      <c r="H13" s="21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4"/>
      <c r="T13" s="14"/>
    </row>
    <row r="14" spans="3:20" x14ac:dyDescent="0.25">
      <c r="C14" s="10"/>
      <c r="D14" s="10"/>
      <c r="E14" s="14"/>
      <c r="F14" s="14"/>
      <c r="G14" s="14"/>
      <c r="H14" s="21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14"/>
      <c r="T14" s="14"/>
    </row>
    <row r="15" spans="3:20" x14ac:dyDescent="0.25">
      <c r="C15" s="10"/>
      <c r="D15" s="10"/>
      <c r="E15" s="14"/>
      <c r="F15" s="14"/>
      <c r="G15" s="14"/>
      <c r="H15" s="22"/>
      <c r="I15" s="15"/>
      <c r="J15" s="14"/>
      <c r="K15" s="14"/>
      <c r="L15" s="14"/>
      <c r="M15" s="14"/>
      <c r="N15" s="14"/>
      <c r="O15" s="14"/>
      <c r="P15" s="14"/>
      <c r="Q15" s="15"/>
      <c r="R15" s="15"/>
      <c r="S15" s="14"/>
      <c r="T15" s="14"/>
    </row>
    <row r="16" spans="3:20" x14ac:dyDescent="0.25">
      <c r="C16" s="10"/>
      <c r="D16" s="10"/>
      <c r="E16" s="14"/>
      <c r="F16" s="14"/>
      <c r="G16" s="14"/>
      <c r="H16" s="21"/>
      <c r="I16" s="18"/>
      <c r="J16" s="14"/>
      <c r="K16" s="14"/>
      <c r="L16" s="14"/>
      <c r="M16" s="14"/>
      <c r="N16" s="14"/>
      <c r="O16" s="14"/>
      <c r="P16" s="14"/>
      <c r="Q16" s="15"/>
      <c r="R16" s="15"/>
      <c r="S16" s="14"/>
      <c r="T16" s="14"/>
    </row>
    <row r="17" spans="3:24" x14ac:dyDescent="0.25">
      <c r="C17" s="10"/>
      <c r="D17" s="10"/>
      <c r="E17" s="14"/>
      <c r="F17" s="14"/>
      <c r="G17" s="14"/>
      <c r="H17" s="21"/>
      <c r="I17" s="18"/>
      <c r="J17" s="14"/>
      <c r="K17" s="14"/>
      <c r="L17" s="14"/>
      <c r="M17" s="14"/>
      <c r="N17" s="14"/>
      <c r="O17" s="14"/>
      <c r="P17" s="14"/>
      <c r="Q17" s="15"/>
      <c r="R17" s="15"/>
      <c r="S17" s="14"/>
      <c r="T17" s="14"/>
    </row>
    <row r="18" spans="3:24" x14ac:dyDescent="0.25">
      <c r="C18" s="10"/>
      <c r="D18" s="10"/>
      <c r="E18" s="14"/>
      <c r="F18" s="14"/>
      <c r="G18" s="14"/>
      <c r="H18" s="21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4"/>
      <c r="T18" s="14"/>
    </row>
    <row r="19" spans="3:24" x14ac:dyDescent="0.25">
      <c r="C19" s="14"/>
      <c r="D19" s="14"/>
      <c r="E19" s="14"/>
      <c r="F19" s="14"/>
      <c r="G19" s="14"/>
      <c r="H19" s="21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4"/>
      <c r="T19" s="14"/>
    </row>
    <row r="20" spans="3:24" x14ac:dyDescent="0.25">
      <c r="C20" s="14"/>
      <c r="D20" s="14"/>
      <c r="E20" s="14"/>
      <c r="F20" s="14"/>
      <c r="G20" s="14"/>
      <c r="H20" s="21"/>
      <c r="I20" s="14"/>
      <c r="J20" s="14"/>
      <c r="K20" s="14"/>
      <c r="L20" s="14"/>
      <c r="M20" s="14"/>
      <c r="N20" s="14"/>
      <c r="O20" s="14"/>
      <c r="P20" s="14"/>
      <c r="Q20" s="15"/>
      <c r="R20" s="15"/>
      <c r="S20" s="44"/>
      <c r="T20" s="14"/>
      <c r="X20">
        <f>1.05*9000</f>
        <v>9450</v>
      </c>
    </row>
    <row r="21" spans="3:24" x14ac:dyDescent="0.25">
      <c r="H21" s="23" t="s">
        <v>29</v>
      </c>
      <c r="I21" t="s">
        <v>30</v>
      </c>
      <c r="Q21" s="9" t="s">
        <v>31</v>
      </c>
    </row>
    <row r="22" spans="3:24" ht="30" x14ac:dyDescent="0.25">
      <c r="E22" s="1" t="s">
        <v>53</v>
      </c>
      <c r="H22" s="23">
        <v>149.29</v>
      </c>
      <c r="I22" s="37">
        <f>1450*1.5</f>
        <v>2175</v>
      </c>
      <c r="J22">
        <v>2010</v>
      </c>
      <c r="K22">
        <v>2023</v>
      </c>
      <c r="L22">
        <f>K22-J22</f>
        <v>13</v>
      </c>
      <c r="M22">
        <v>60</v>
      </c>
      <c r="O22" s="38">
        <v>0.1</v>
      </c>
      <c r="P22">
        <f>(1-O22)/M22</f>
        <v>1.5000000000000001E-2</v>
      </c>
      <c r="Q22" s="9">
        <v>4500</v>
      </c>
      <c r="R22" s="9">
        <f>Q22*H22</f>
        <v>671805</v>
      </c>
      <c r="S22" s="39">
        <f>R22*P22*L22</f>
        <v>131001.97500000001</v>
      </c>
      <c r="T22" s="39">
        <f>R22-S22</f>
        <v>540803.02500000002</v>
      </c>
    </row>
    <row r="23" spans="3:24" x14ac:dyDescent="0.25">
      <c r="H23" s="23"/>
      <c r="M23" t="s">
        <v>28</v>
      </c>
      <c r="T23" s="39">
        <f>T9*10%</f>
        <v>5380276.9884033334</v>
      </c>
    </row>
    <row r="24" spans="3:24" x14ac:dyDescent="0.25">
      <c r="H24" s="23"/>
    </row>
    <row r="25" spans="3:24" x14ac:dyDescent="0.25">
      <c r="H25" s="23"/>
      <c r="T25" s="39">
        <f>SUM(T22:T24)</f>
        <v>5921080.0134033337</v>
      </c>
    </row>
    <row r="26" spans="3:24" x14ac:dyDescent="0.25">
      <c r="H26" s="23"/>
    </row>
    <row r="27" spans="3:24" x14ac:dyDescent="0.25">
      <c r="H27" s="23"/>
    </row>
    <row r="28" spans="3:24" x14ac:dyDescent="0.25">
      <c r="H28" s="24"/>
      <c r="V28">
        <v>14000000</v>
      </c>
    </row>
    <row r="29" spans="3:24" x14ac:dyDescent="0.25">
      <c r="E29" t="s">
        <v>27</v>
      </c>
      <c r="H29" s="23"/>
      <c r="V29">
        <f>0.8*V28</f>
        <v>11200000</v>
      </c>
    </row>
    <row r="30" spans="3:24" ht="30" x14ac:dyDescent="0.25">
      <c r="E30" s="1" t="s">
        <v>52</v>
      </c>
      <c r="F30" s="39">
        <v>6000000</v>
      </c>
      <c r="V30">
        <f>35*23</f>
        <v>805</v>
      </c>
    </row>
    <row r="31" spans="3:24" x14ac:dyDescent="0.25">
      <c r="E31" t="s">
        <v>50</v>
      </c>
      <c r="F31" s="9">
        <f>T9</f>
        <v>53802769.88403333</v>
      </c>
      <c r="O31">
        <f>4.5*3.28</f>
        <v>14.76</v>
      </c>
    </row>
    <row r="32" spans="3:24" x14ac:dyDescent="0.25">
      <c r="E32" t="s">
        <v>51</v>
      </c>
      <c r="F32" s="39">
        <v>112704545</v>
      </c>
    </row>
    <row r="33" spans="5:12" x14ac:dyDescent="0.25">
      <c r="F33" s="39">
        <f>SUM(F30:F32)</f>
        <v>172507314.88403332</v>
      </c>
    </row>
    <row r="35" spans="5:12" x14ac:dyDescent="0.25">
      <c r="E35" t="s">
        <v>55</v>
      </c>
      <c r="F35">
        <v>172500000</v>
      </c>
      <c r="G35" t="s">
        <v>56</v>
      </c>
    </row>
    <row r="36" spans="5:12" x14ac:dyDescent="0.25">
      <c r="F36">
        <f>0.85*F35</f>
        <v>146625000</v>
      </c>
      <c r="G36" t="s">
        <v>57</v>
      </c>
    </row>
    <row r="37" spans="5:12" x14ac:dyDescent="0.25">
      <c r="F37">
        <f>0.75*F35</f>
        <v>129375000</v>
      </c>
      <c r="G37" t="s">
        <v>58</v>
      </c>
    </row>
    <row r="38" spans="5:12" x14ac:dyDescent="0.25">
      <c r="L38">
        <f>3*3.28</f>
        <v>9.84</v>
      </c>
    </row>
    <row r="39" spans="5:12" ht="30" x14ac:dyDescent="0.25">
      <c r="F39" s="39">
        <f>0.85*T9</f>
        <v>45732354.401428327</v>
      </c>
      <c r="G39" s="1" t="s">
        <v>59</v>
      </c>
    </row>
    <row r="45" spans="5:12" x14ac:dyDescent="0.25">
      <c r="J45">
        <f>39509*1450</f>
        <v>57288050</v>
      </c>
    </row>
  </sheetData>
  <mergeCells count="3">
    <mergeCell ref="C3:T3"/>
    <mergeCell ref="C4:T4"/>
    <mergeCell ref="C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39"/>
  <sheetViews>
    <sheetView workbookViewId="0">
      <selection activeCell="P3" sqref="P3"/>
    </sheetView>
  </sheetViews>
  <sheetFormatPr defaultRowHeight="15" x14ac:dyDescent="0.25"/>
  <cols>
    <col min="7" max="7" width="0" hidden="1" customWidth="1"/>
    <col min="16" max="16" width="12" bestFit="1" customWidth="1"/>
    <col min="19" max="19" width="14.28515625" bestFit="1" customWidth="1"/>
    <col min="20" max="21" width="10" bestFit="1" customWidth="1"/>
  </cols>
  <sheetData>
    <row r="2" spans="3:24" x14ac:dyDescent="0.25">
      <c r="P2">
        <f>27/33*137750000</f>
        <v>112704545.45454547</v>
      </c>
    </row>
    <row r="5" spans="3:24" x14ac:dyDescent="0.25"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7" spans="3:24" x14ac:dyDescent="0.25">
      <c r="X7">
        <f>1.496*1450</f>
        <v>2169.1999999999998</v>
      </c>
    </row>
    <row r="8" spans="3:24" x14ac:dyDescent="0.25">
      <c r="F8">
        <v>9450</v>
      </c>
    </row>
    <row r="13" spans="3:24" x14ac:dyDescent="0.25">
      <c r="R13">
        <f>179.194+40.145+26.878+166.592</f>
        <v>412.80899999999997</v>
      </c>
    </row>
    <row r="14" spans="3:24" x14ac:dyDescent="0.25">
      <c r="M14">
        <f>164.184+40.145+30.401</f>
        <v>234.73000000000002</v>
      </c>
    </row>
    <row r="20" spans="9:24" x14ac:dyDescent="0.25">
      <c r="S20" s="43"/>
      <c r="X20">
        <f>1.05*9000</f>
        <v>9450</v>
      </c>
    </row>
    <row r="22" spans="9:24" x14ac:dyDescent="0.25">
      <c r="I22">
        <f>1450*1.5</f>
        <v>2175</v>
      </c>
      <c r="S22">
        <f>S21*S20</f>
        <v>0</v>
      </c>
    </row>
    <row r="23" spans="9:24" x14ac:dyDescent="0.25">
      <c r="S23">
        <f>S22/3</f>
        <v>0</v>
      </c>
    </row>
    <row r="28" spans="9:24" x14ac:dyDescent="0.25">
      <c r="V28">
        <v>14000000</v>
      </c>
    </row>
    <row r="29" spans="9:24" x14ac:dyDescent="0.25">
      <c r="V29">
        <f>0.8*V28</f>
        <v>11200000</v>
      </c>
    </row>
    <row r="30" spans="9:24" x14ac:dyDescent="0.25">
      <c r="V30">
        <f>35*23</f>
        <v>805</v>
      </c>
    </row>
    <row r="34" spans="5:21" x14ac:dyDescent="0.25">
      <c r="T34">
        <f>12.203+1.47</f>
        <v>13.673</v>
      </c>
      <c r="U34">
        <f>10.76*T34</f>
        <v>147.12147999999999</v>
      </c>
    </row>
    <row r="35" spans="5:21" x14ac:dyDescent="0.25">
      <c r="E35" t="s">
        <v>55</v>
      </c>
      <c r="F35">
        <v>200000000</v>
      </c>
      <c r="G35" t="s">
        <v>56</v>
      </c>
      <c r="T35">
        <v>1335902.1000000001</v>
      </c>
      <c r="U35">
        <v>1335902.1000000001</v>
      </c>
    </row>
    <row r="36" spans="5:21" x14ac:dyDescent="0.25">
      <c r="F36">
        <f>0.85*F35</f>
        <v>170000000</v>
      </c>
      <c r="G36" t="s">
        <v>57</v>
      </c>
      <c r="P36">
        <f>690*7246</f>
        <v>4999740</v>
      </c>
      <c r="T36">
        <f>T35/T34</f>
        <v>97703.656841951291</v>
      </c>
      <c r="U36">
        <f>U35/U34</f>
        <v>9080.2655057575557</v>
      </c>
    </row>
    <row r="37" spans="5:21" x14ac:dyDescent="0.25">
      <c r="F37">
        <f>0.75*F35</f>
        <v>150000000</v>
      </c>
      <c r="G37" t="s">
        <v>58</v>
      </c>
    </row>
    <row r="38" spans="5:21" x14ac:dyDescent="0.25">
      <c r="L38">
        <f>3*3.28</f>
        <v>9.84</v>
      </c>
    </row>
    <row r="39" spans="5:21" ht="45" x14ac:dyDescent="0.25">
      <c r="F39">
        <f>0.85*T9</f>
        <v>0</v>
      </c>
      <c r="G39" s="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C30"/>
  <sheetViews>
    <sheetView zoomScaleNormal="100" workbookViewId="0">
      <selection activeCell="G26" sqref="G26"/>
    </sheetView>
  </sheetViews>
  <sheetFormatPr defaultRowHeight="15" x14ac:dyDescent="0.25"/>
  <cols>
    <col min="1" max="1" width="15.85546875" bestFit="1" customWidth="1"/>
    <col min="2" max="2" width="11.140625" bestFit="1" customWidth="1"/>
    <col min="3" max="3" width="14.7109375" style="1" bestFit="1" customWidth="1"/>
    <col min="4" max="4" width="14.7109375" style="1" hidden="1" customWidth="1"/>
    <col min="5" max="5" width="11.85546875" style="1" bestFit="1" customWidth="1"/>
    <col min="6" max="6" width="11.85546875" style="1" customWidth="1"/>
    <col min="7" max="7" width="13.28515625" style="1" customWidth="1"/>
    <col min="8" max="8" width="10" style="3" hidden="1" customWidth="1"/>
    <col min="9" max="9" width="10" style="3" customWidth="1"/>
    <col min="10" max="10" width="10" bestFit="1" customWidth="1"/>
    <col min="11" max="11" width="12.28515625" bestFit="1" customWidth="1"/>
    <col min="13" max="13" width="0" hidden="1" customWidth="1"/>
    <col min="16" max="18" width="0" hidden="1" customWidth="1"/>
    <col min="19" max="19" width="16.28515625" bestFit="1" customWidth="1"/>
    <col min="20" max="20" width="14.28515625" bestFit="1" customWidth="1"/>
    <col min="21" max="21" width="12.5703125" hidden="1" customWidth="1"/>
  </cols>
  <sheetData>
    <row r="6" spans="1:29" ht="13.5" customHeight="1" x14ac:dyDescent="0.25"/>
    <row r="7" spans="1:29" ht="30" x14ac:dyDescent="0.25">
      <c r="B7" t="s">
        <v>38</v>
      </c>
      <c r="C7" s="1" t="s">
        <v>37</v>
      </c>
      <c r="E7" s="1" t="s">
        <v>39</v>
      </c>
      <c r="F7" s="1" t="s">
        <v>60</v>
      </c>
      <c r="G7" s="41" t="s">
        <v>49</v>
      </c>
      <c r="I7" s="3" t="s">
        <v>36</v>
      </c>
      <c r="P7" s="12"/>
      <c r="Q7" s="12"/>
      <c r="R7" s="12"/>
      <c r="S7" s="12"/>
      <c r="T7" s="13"/>
      <c r="U7" s="12"/>
      <c r="X7" t="s">
        <v>32</v>
      </c>
      <c r="Y7" t="s">
        <v>33</v>
      </c>
      <c r="Z7" t="s">
        <v>34</v>
      </c>
      <c r="AA7" t="s">
        <v>35</v>
      </c>
      <c r="AC7" t="s">
        <v>36</v>
      </c>
    </row>
    <row r="8" spans="1:29" x14ac:dyDescent="0.25">
      <c r="A8" t="s">
        <v>40</v>
      </c>
      <c r="B8">
        <f>10.76*C8</f>
        <v>15602</v>
      </c>
      <c r="C8" s="1">
        <v>1450</v>
      </c>
      <c r="E8" s="1">
        <f>1.1959*C8</f>
        <v>1734.0549999999998</v>
      </c>
      <c r="F8" s="1">
        <v>95000</v>
      </c>
      <c r="G8" s="1">
        <v>9450</v>
      </c>
      <c r="I8">
        <f>F8*C8</f>
        <v>137750000</v>
      </c>
      <c r="X8">
        <v>4046.86</v>
      </c>
      <c r="Y8">
        <v>43560</v>
      </c>
      <c r="Z8">
        <v>1</v>
      </c>
      <c r="AA8">
        <v>60</v>
      </c>
    </row>
    <row r="10" spans="1:29" x14ac:dyDescent="0.25">
      <c r="G10" s="1" t="s">
        <v>43</v>
      </c>
      <c r="I10" s="3" t="s">
        <v>45</v>
      </c>
      <c r="J10" t="s">
        <v>36</v>
      </c>
    </row>
    <row r="11" spans="1:29" x14ac:dyDescent="0.25">
      <c r="A11" t="s">
        <v>41</v>
      </c>
      <c r="B11">
        <f>9*E11</f>
        <v>1071</v>
      </c>
      <c r="C11" s="1">
        <f>E11/1.1959</f>
        <v>99.50664771301949</v>
      </c>
      <c r="E11" s="1">
        <v>119</v>
      </c>
      <c r="G11" s="1">
        <v>85000</v>
      </c>
    </row>
    <row r="12" spans="1:29" x14ac:dyDescent="0.25">
      <c r="A12" t="s">
        <v>42</v>
      </c>
      <c r="B12">
        <f>9*E12</f>
        <v>1215</v>
      </c>
      <c r="C12" s="1">
        <f>E12/1.1959</f>
        <v>112.88569278367757</v>
      </c>
      <c r="E12" s="1">
        <v>135</v>
      </c>
      <c r="G12" s="1">
        <v>88495</v>
      </c>
      <c r="X12">
        <v>1</v>
      </c>
      <c r="AC12">
        <v>85000</v>
      </c>
    </row>
    <row r="13" spans="1:29" x14ac:dyDescent="0.25">
      <c r="X13">
        <v>66.89</v>
      </c>
      <c r="AC13">
        <f>AC12*X13</f>
        <v>5685650</v>
      </c>
    </row>
    <row r="14" spans="1:29" x14ac:dyDescent="0.25">
      <c r="A14" t="s">
        <v>44</v>
      </c>
      <c r="B14">
        <v>1000</v>
      </c>
      <c r="G14" s="40">
        <f>I14*10.76</f>
        <v>129120</v>
      </c>
      <c r="I14" s="3">
        <f>J14/B14</f>
        <v>12000</v>
      </c>
      <c r="J14">
        <v>12000000</v>
      </c>
    </row>
    <row r="15" spans="1:29" x14ac:dyDescent="0.25">
      <c r="A15" t="s">
        <v>46</v>
      </c>
      <c r="C15" s="1">
        <v>2000</v>
      </c>
      <c r="G15" s="1">
        <f>J15/C15</f>
        <v>100000</v>
      </c>
      <c r="I15" s="3">
        <f>G15/10.76</f>
        <v>9293.6802973977701</v>
      </c>
      <c r="J15">
        <v>200000000</v>
      </c>
      <c r="X15">
        <v>85000</v>
      </c>
      <c r="Y15">
        <f>X15/10.76</f>
        <v>7899.628252788104</v>
      </c>
    </row>
    <row r="16" spans="1:29" x14ac:dyDescent="0.25">
      <c r="A16" t="s">
        <v>47</v>
      </c>
      <c r="B16">
        <f>10.76*C16</f>
        <v>1076</v>
      </c>
      <c r="C16" s="1">
        <v>100</v>
      </c>
      <c r="G16" s="1">
        <f>J16/C16</f>
        <v>150000</v>
      </c>
      <c r="I16" s="3">
        <f>G16/10.76</f>
        <v>13940.520446096654</v>
      </c>
      <c r="J16">
        <v>15000000</v>
      </c>
    </row>
    <row r="17" spans="1:25" x14ac:dyDescent="0.25">
      <c r="A17" t="s">
        <v>48</v>
      </c>
      <c r="B17">
        <v>1000</v>
      </c>
      <c r="I17" s="3">
        <f>J17/B17</f>
        <v>10000</v>
      </c>
      <c r="J17">
        <v>10000000</v>
      </c>
      <c r="M17" t="s">
        <v>16</v>
      </c>
    </row>
    <row r="18" spans="1:25" x14ac:dyDescent="0.25">
      <c r="M18">
        <v>6257000</v>
      </c>
    </row>
    <row r="19" spans="1:25" ht="60" x14ac:dyDescent="0.25">
      <c r="A19" s="45" t="s">
        <v>61</v>
      </c>
      <c r="B19" s="1" t="s">
        <v>63</v>
      </c>
      <c r="C19" s="1" t="s">
        <v>62</v>
      </c>
      <c r="E19" s="1" t="s">
        <v>64</v>
      </c>
      <c r="F19" s="1" t="s">
        <v>36</v>
      </c>
      <c r="M19">
        <f>0.85*M18</f>
        <v>5318450</v>
      </c>
    </row>
    <row r="20" spans="1:25" x14ac:dyDescent="0.25">
      <c r="B20">
        <v>33</v>
      </c>
      <c r="C20" s="1">
        <v>6</v>
      </c>
      <c r="E20" s="1">
        <v>27</v>
      </c>
      <c r="F20" s="1">
        <f>I8*27/33</f>
        <v>112704545.45454545</v>
      </c>
      <c r="M20">
        <f>0.75*M18</f>
        <v>4692750</v>
      </c>
      <c r="T20" s="43">
        <v>3500000</v>
      </c>
      <c r="Y20">
        <f>1.05*9000</f>
        <v>9450</v>
      </c>
    </row>
    <row r="21" spans="1:25" x14ac:dyDescent="0.25">
      <c r="R21">
        <f>0.9*10000</f>
        <v>9000</v>
      </c>
      <c r="T21">
        <v>23</v>
      </c>
    </row>
    <row r="22" spans="1:25" x14ac:dyDescent="0.25">
      <c r="J22">
        <f>1450*1.5</f>
        <v>2175</v>
      </c>
      <c r="P22" s="2"/>
      <c r="T22" s="37">
        <f>T21*T20</f>
        <v>80500000</v>
      </c>
    </row>
    <row r="23" spans="1:25" x14ac:dyDescent="0.25">
      <c r="J23">
        <f>2174.985*10.76</f>
        <v>23402.838599999999</v>
      </c>
      <c r="O23" s="51"/>
      <c r="P23" s="51"/>
      <c r="Q23" s="51"/>
      <c r="R23" s="51"/>
      <c r="T23" s="37">
        <f>T22/3</f>
        <v>26833333.333333332</v>
      </c>
    </row>
    <row r="26" spans="1:25" x14ac:dyDescent="0.25">
      <c r="W26">
        <v>14000000</v>
      </c>
    </row>
    <row r="27" spans="1:25" x14ac:dyDescent="0.25">
      <c r="W27">
        <f>0.8*W26</f>
        <v>11200000</v>
      </c>
    </row>
    <row r="28" spans="1:25" x14ac:dyDescent="0.25">
      <c r="W28">
        <f>35*23</f>
        <v>805</v>
      </c>
    </row>
    <row r="29" spans="1:25" x14ac:dyDescent="0.25">
      <c r="P29" s="51"/>
      <c r="Q29" s="51"/>
      <c r="R29" s="51"/>
    </row>
    <row r="30" spans="1:25" x14ac:dyDescent="0.25">
      <c r="P30" s="12"/>
      <c r="Q30" s="12"/>
      <c r="R30" s="12"/>
      <c r="S30" s="12"/>
    </row>
  </sheetData>
  <mergeCells count="2">
    <mergeCell ref="O23:R23"/>
    <mergeCell ref="P29:R29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</vt:lpstr>
      <vt:lpstr>Sheet1</vt:lpstr>
      <vt:lpstr>Land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Anirban Roy</cp:lastModifiedBy>
  <cp:lastPrinted>2022-01-07T08:12:53Z</cp:lastPrinted>
  <dcterms:created xsi:type="dcterms:W3CDTF">2021-09-16T11:33:35Z</dcterms:created>
  <dcterms:modified xsi:type="dcterms:W3CDTF">2023-07-04T13:04:28Z</dcterms:modified>
</cp:coreProperties>
</file>