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filterPrivacy="1" defaultThemeVersion="124226"/>
  <xr:revisionPtr revIDLastSave="0" documentId="13_ncr:1_{B0E17FEF-1E7A-4B37-9F45-7BFA8A967D30}" xr6:coauthVersionLast="47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Sheet2" sheetId="2" r:id="rId1"/>
    <sheet name="Shendra Land Valuation" sheetId="3" r:id="rId2"/>
    <sheet name="Building" sheetId="4" r:id="rId3"/>
  </sheets>
  <definedNames>
    <definedName name="_xlnm._FilterDatabase" localSheetId="2" hidden="1">Building!$B$3:$W$64</definedName>
  </definedNames>
  <calcPr calcId="181029"/>
</workbook>
</file>

<file path=xl/calcChain.xml><?xml version="1.0" encoding="utf-8"?>
<calcChain xmlns="http://schemas.openxmlformats.org/spreadsheetml/2006/main">
  <c r="N74" i="4" l="1"/>
  <c r="M55" i="3"/>
  <c r="I90" i="4"/>
  <c r="I88" i="4"/>
  <c r="I89" i="4" s="1"/>
  <c r="I91" i="4" l="1"/>
  <c r="I74" i="4"/>
  <c r="M49" i="3"/>
  <c r="M50" i="3" s="1"/>
  <c r="M52" i="3" s="1"/>
  <c r="N76" i="4" s="1"/>
  <c r="M44" i="3"/>
  <c r="K51" i="3"/>
  <c r="K49" i="3"/>
  <c r="K50" i="3" s="1"/>
  <c r="K43" i="3"/>
  <c r="K42" i="3"/>
  <c r="K41" i="3"/>
  <c r="K52" i="3" l="1"/>
  <c r="N80" i="4"/>
  <c r="N79" i="4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I73" i="4" l="1"/>
  <c r="L73" i="4" s="1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N64" i="4"/>
  <c r="P64" i="4" s="1"/>
  <c r="N63" i="4"/>
  <c r="P63" i="4" s="1"/>
  <c r="N62" i="4"/>
  <c r="P62" i="4" s="1"/>
  <c r="N61" i="4"/>
  <c r="P61" i="4" s="1"/>
  <c r="N60" i="4"/>
  <c r="P60" i="4" s="1"/>
  <c r="N59" i="4"/>
  <c r="P59" i="4" s="1"/>
  <c r="N58" i="4"/>
  <c r="P58" i="4" s="1"/>
  <c r="N57" i="4"/>
  <c r="N56" i="4"/>
  <c r="P56" i="4" s="1"/>
  <c r="N55" i="4"/>
  <c r="P55" i="4" s="1"/>
  <c r="N54" i="4"/>
  <c r="P54" i="4" s="1"/>
  <c r="N53" i="4"/>
  <c r="P53" i="4" s="1"/>
  <c r="N52" i="4"/>
  <c r="P52" i="4" s="1"/>
  <c r="N51" i="4"/>
  <c r="P51" i="4" s="1"/>
  <c r="N50" i="4"/>
  <c r="P50" i="4" s="1"/>
  <c r="N49" i="4"/>
  <c r="P49" i="4" s="1"/>
  <c r="N48" i="4"/>
  <c r="P48" i="4" s="1"/>
  <c r="N47" i="4"/>
  <c r="P47" i="4" s="1"/>
  <c r="N46" i="4"/>
  <c r="P46" i="4" s="1"/>
  <c r="N45" i="4"/>
  <c r="P45" i="4" s="1"/>
  <c r="N44" i="4"/>
  <c r="P44" i="4" s="1"/>
  <c r="N43" i="4"/>
  <c r="P43" i="4" s="1"/>
  <c r="N42" i="4"/>
  <c r="P42" i="4" s="1"/>
  <c r="N41" i="4"/>
  <c r="N40" i="4"/>
  <c r="P40" i="4" s="1"/>
  <c r="N39" i="4"/>
  <c r="P39" i="4" s="1"/>
  <c r="N38" i="4"/>
  <c r="P38" i="4" s="1"/>
  <c r="N37" i="4"/>
  <c r="P37" i="4" s="1"/>
  <c r="N36" i="4"/>
  <c r="P36" i="4" s="1"/>
  <c r="N35" i="4"/>
  <c r="P35" i="4" s="1"/>
  <c r="N34" i="4"/>
  <c r="P34" i="4" s="1"/>
  <c r="N33" i="4"/>
  <c r="P33" i="4" s="1"/>
  <c r="N32" i="4"/>
  <c r="P32" i="4" s="1"/>
  <c r="N31" i="4"/>
  <c r="P31" i="4" s="1"/>
  <c r="N30" i="4"/>
  <c r="P30" i="4" s="1"/>
  <c r="N29" i="4"/>
  <c r="P29" i="4" s="1"/>
  <c r="N28" i="4"/>
  <c r="P28" i="4" s="1"/>
  <c r="N27" i="4"/>
  <c r="P27" i="4" s="1"/>
  <c r="N26" i="4"/>
  <c r="P26" i="4" s="1"/>
  <c r="N25" i="4"/>
  <c r="N24" i="4"/>
  <c r="P24" i="4" s="1"/>
  <c r="N23" i="4"/>
  <c r="P23" i="4" s="1"/>
  <c r="N22" i="4"/>
  <c r="P22" i="4" s="1"/>
  <c r="N21" i="4"/>
  <c r="P21" i="4" s="1"/>
  <c r="N20" i="4"/>
  <c r="P20" i="4" s="1"/>
  <c r="N19" i="4"/>
  <c r="P19" i="4" s="1"/>
  <c r="N18" i="4"/>
  <c r="P18" i="4" s="1"/>
  <c r="N17" i="4"/>
  <c r="P17" i="4" s="1"/>
  <c r="N16" i="4"/>
  <c r="P16" i="4" s="1"/>
  <c r="N15" i="4"/>
  <c r="P15" i="4" s="1"/>
  <c r="N14" i="4"/>
  <c r="P14" i="4" s="1"/>
  <c r="N13" i="4"/>
  <c r="P13" i="4" s="1"/>
  <c r="N12" i="4"/>
  <c r="P12" i="4" s="1"/>
  <c r="N11" i="4"/>
  <c r="P11" i="4" s="1"/>
  <c r="N10" i="4"/>
  <c r="P10" i="4" s="1"/>
  <c r="N9" i="4"/>
  <c r="N8" i="4"/>
  <c r="P8" i="4" s="1"/>
  <c r="N7" i="4"/>
  <c r="P7" i="4" s="1"/>
  <c r="N6" i="4"/>
  <c r="P6" i="4" s="1"/>
  <c r="N5" i="4"/>
  <c r="P5" i="4" s="1"/>
  <c r="N4" i="4"/>
  <c r="P4" i="4" s="1"/>
  <c r="I64" i="4"/>
  <c r="U64" i="4" s="1"/>
  <c r="I63" i="4"/>
  <c r="U63" i="4" s="1"/>
  <c r="I62" i="4"/>
  <c r="U62" i="4" s="1"/>
  <c r="I61" i="4"/>
  <c r="U61" i="4" s="1"/>
  <c r="I60" i="4"/>
  <c r="U60" i="4" s="1"/>
  <c r="I59" i="4"/>
  <c r="U59" i="4" s="1"/>
  <c r="I58" i="4"/>
  <c r="U58" i="4" s="1"/>
  <c r="I57" i="4"/>
  <c r="U57" i="4" s="1"/>
  <c r="I56" i="4"/>
  <c r="U56" i="4" s="1"/>
  <c r="I55" i="4"/>
  <c r="U55" i="4" s="1"/>
  <c r="I54" i="4"/>
  <c r="U54" i="4" s="1"/>
  <c r="I53" i="4"/>
  <c r="U53" i="4" s="1"/>
  <c r="I52" i="4"/>
  <c r="U52" i="4" s="1"/>
  <c r="I51" i="4"/>
  <c r="U51" i="4" s="1"/>
  <c r="I50" i="4"/>
  <c r="U50" i="4" s="1"/>
  <c r="I49" i="4"/>
  <c r="U49" i="4" s="1"/>
  <c r="I48" i="4"/>
  <c r="U48" i="4" s="1"/>
  <c r="I47" i="4"/>
  <c r="U47" i="4" s="1"/>
  <c r="I46" i="4"/>
  <c r="U46" i="4" s="1"/>
  <c r="I45" i="4"/>
  <c r="U45" i="4" s="1"/>
  <c r="I44" i="4"/>
  <c r="U44" i="4" s="1"/>
  <c r="I43" i="4"/>
  <c r="U43" i="4" s="1"/>
  <c r="I42" i="4"/>
  <c r="U42" i="4" s="1"/>
  <c r="I41" i="4"/>
  <c r="U41" i="4" s="1"/>
  <c r="I40" i="4"/>
  <c r="U40" i="4" s="1"/>
  <c r="I39" i="4"/>
  <c r="U39" i="4" s="1"/>
  <c r="I38" i="4"/>
  <c r="U38" i="4" s="1"/>
  <c r="I37" i="4"/>
  <c r="U37" i="4" s="1"/>
  <c r="I36" i="4"/>
  <c r="U36" i="4" s="1"/>
  <c r="I35" i="4"/>
  <c r="U35" i="4" s="1"/>
  <c r="I34" i="4"/>
  <c r="U34" i="4" s="1"/>
  <c r="I33" i="4"/>
  <c r="U33" i="4" s="1"/>
  <c r="I32" i="4"/>
  <c r="U32" i="4" s="1"/>
  <c r="I31" i="4"/>
  <c r="U31" i="4" s="1"/>
  <c r="H30" i="4"/>
  <c r="I30" i="4" s="1"/>
  <c r="U30" i="4" s="1"/>
  <c r="H29" i="4"/>
  <c r="I29" i="4" s="1"/>
  <c r="U29" i="4" s="1"/>
  <c r="H28" i="4"/>
  <c r="I28" i="4" s="1"/>
  <c r="U28" i="4" s="1"/>
  <c r="H27" i="4"/>
  <c r="I27" i="4" s="1"/>
  <c r="U27" i="4" s="1"/>
  <c r="H26" i="4"/>
  <c r="I26" i="4" s="1"/>
  <c r="U26" i="4" s="1"/>
  <c r="H25" i="4"/>
  <c r="I25" i="4" s="1"/>
  <c r="U25" i="4" s="1"/>
  <c r="H24" i="4"/>
  <c r="I24" i="4" s="1"/>
  <c r="U24" i="4" s="1"/>
  <c r="H23" i="4"/>
  <c r="I23" i="4" s="1"/>
  <c r="U23" i="4" s="1"/>
  <c r="H22" i="4"/>
  <c r="I22" i="4" s="1"/>
  <c r="U22" i="4" s="1"/>
  <c r="H21" i="4"/>
  <c r="I21" i="4" s="1"/>
  <c r="U21" i="4" s="1"/>
  <c r="H20" i="4"/>
  <c r="I20" i="4" s="1"/>
  <c r="U20" i="4" s="1"/>
  <c r="H19" i="4"/>
  <c r="I19" i="4" s="1"/>
  <c r="U19" i="4" s="1"/>
  <c r="H18" i="4"/>
  <c r="I18" i="4" s="1"/>
  <c r="U18" i="4" s="1"/>
  <c r="H17" i="4"/>
  <c r="I17" i="4" s="1"/>
  <c r="U17" i="4" s="1"/>
  <c r="H16" i="4"/>
  <c r="I16" i="4" s="1"/>
  <c r="U16" i="4" s="1"/>
  <c r="H15" i="4"/>
  <c r="I15" i="4" s="1"/>
  <c r="U15" i="4" s="1"/>
  <c r="H14" i="4"/>
  <c r="I14" i="4" s="1"/>
  <c r="U14" i="4" s="1"/>
  <c r="H13" i="4"/>
  <c r="I13" i="4" s="1"/>
  <c r="U13" i="4" s="1"/>
  <c r="H12" i="4"/>
  <c r="I12" i="4" s="1"/>
  <c r="U12" i="4" s="1"/>
  <c r="H11" i="4"/>
  <c r="I11" i="4" s="1"/>
  <c r="U11" i="4" s="1"/>
  <c r="H10" i="4"/>
  <c r="I10" i="4" s="1"/>
  <c r="U10" i="4" s="1"/>
  <c r="H9" i="4"/>
  <c r="I9" i="4" s="1"/>
  <c r="U9" i="4" s="1"/>
  <c r="H8" i="4"/>
  <c r="I8" i="4" s="1"/>
  <c r="U8" i="4" s="1"/>
  <c r="H7" i="4"/>
  <c r="I7" i="4" s="1"/>
  <c r="U7" i="4" s="1"/>
  <c r="H6" i="4"/>
  <c r="I6" i="4" s="1"/>
  <c r="U6" i="4" s="1"/>
  <c r="H5" i="4"/>
  <c r="I5" i="4" s="1"/>
  <c r="U5" i="4" s="1"/>
  <c r="H4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M73" i="4" l="1"/>
  <c r="V10" i="4"/>
  <c r="W10" i="4" s="1"/>
  <c r="V14" i="4"/>
  <c r="W14" i="4" s="1"/>
  <c r="V18" i="4"/>
  <c r="W18" i="4" s="1"/>
  <c r="V26" i="4"/>
  <c r="W26" i="4" s="1"/>
  <c r="V30" i="4"/>
  <c r="W30" i="4" s="1"/>
  <c r="V34" i="4"/>
  <c r="W34" i="4" s="1"/>
  <c r="V42" i="4"/>
  <c r="W42" i="4" s="1"/>
  <c r="V46" i="4"/>
  <c r="W46" i="4" s="1"/>
  <c r="V50" i="4"/>
  <c r="W50" i="4" s="1"/>
  <c r="V58" i="4"/>
  <c r="W58" i="4" s="1"/>
  <c r="V62" i="4"/>
  <c r="W62" i="4" s="1"/>
  <c r="P9" i="4"/>
  <c r="P25" i="4"/>
  <c r="P41" i="4"/>
  <c r="V41" i="4" s="1"/>
  <c r="W41" i="4" s="1"/>
  <c r="P57" i="4"/>
  <c r="V57" i="4" s="1"/>
  <c r="W57" i="4" s="1"/>
  <c r="V17" i="4"/>
  <c r="V49" i="4"/>
  <c r="V8" i="4"/>
  <c r="W8" i="4" s="1"/>
  <c r="V16" i="4"/>
  <c r="W16" i="4" s="1"/>
  <c r="V20" i="4"/>
  <c r="W20" i="4" s="1"/>
  <c r="V24" i="4"/>
  <c r="W24" i="4" s="1"/>
  <c r="V32" i="4"/>
  <c r="W32" i="4" s="1"/>
  <c r="V40" i="4"/>
  <c r="W40" i="4" s="1"/>
  <c r="V48" i="4"/>
  <c r="W48" i="4" s="1"/>
  <c r="V52" i="4"/>
  <c r="W52" i="4" s="1"/>
  <c r="V56" i="4"/>
  <c r="W56" i="4" s="1"/>
  <c r="V64" i="4"/>
  <c r="W64" i="4" s="1"/>
  <c r="V5" i="4"/>
  <c r="W5" i="4" s="1"/>
  <c r="V21" i="4"/>
  <c r="W21" i="4" s="1"/>
  <c r="V37" i="4"/>
  <c r="V45" i="4"/>
  <c r="W45" i="4" s="1"/>
  <c r="V61" i="4"/>
  <c r="W61" i="4" s="1"/>
  <c r="V12" i="4"/>
  <c r="W12" i="4" s="1"/>
  <c r="V28" i="4"/>
  <c r="W28" i="4" s="1"/>
  <c r="V44" i="4"/>
  <c r="W44" i="4" s="1"/>
  <c r="V7" i="4"/>
  <c r="W7" i="4" s="1"/>
  <c r="V11" i="4"/>
  <c r="W11" i="4" s="1"/>
  <c r="V15" i="4"/>
  <c r="W15" i="4" s="1"/>
  <c r="V19" i="4"/>
  <c r="W19" i="4" s="1"/>
  <c r="V23" i="4"/>
  <c r="W23" i="4" s="1"/>
  <c r="V27" i="4"/>
  <c r="W27" i="4" s="1"/>
  <c r="V31" i="4"/>
  <c r="W31" i="4" s="1"/>
  <c r="V35" i="4"/>
  <c r="W35" i="4" s="1"/>
  <c r="V39" i="4"/>
  <c r="W39" i="4" s="1"/>
  <c r="V43" i="4"/>
  <c r="W43" i="4" s="1"/>
  <c r="V47" i="4"/>
  <c r="W47" i="4" s="1"/>
  <c r="V55" i="4"/>
  <c r="W55" i="4" s="1"/>
  <c r="V59" i="4"/>
  <c r="W59" i="4" s="1"/>
  <c r="V63" i="4"/>
  <c r="W63" i="4" s="1"/>
  <c r="V6" i="4"/>
  <c r="W6" i="4" s="1"/>
  <c r="V22" i="4"/>
  <c r="W22" i="4" s="1"/>
  <c r="V38" i="4"/>
  <c r="W38" i="4" s="1"/>
  <c r="V54" i="4"/>
  <c r="W54" i="4" s="1"/>
  <c r="V53" i="4"/>
  <c r="W53" i="4" s="1"/>
  <c r="V60" i="4"/>
  <c r="W60" i="4" s="1"/>
  <c r="V36" i="4"/>
  <c r="V13" i="4"/>
  <c r="W13" i="4" s="1"/>
  <c r="V29" i="4"/>
  <c r="W29" i="4" s="1"/>
  <c r="V51" i="4"/>
  <c r="W51" i="4" s="1"/>
  <c r="V33" i="4"/>
  <c r="W33" i="4" s="1"/>
  <c r="H2" i="4"/>
  <c r="G2" i="4"/>
  <c r="I4" i="4"/>
  <c r="U4" i="4" s="1"/>
  <c r="H43" i="3"/>
  <c r="H42" i="3"/>
  <c r="H41" i="3"/>
  <c r="G59" i="3"/>
  <c r="G60" i="3" s="1"/>
  <c r="P31" i="3"/>
  <c r="N14" i="2"/>
  <c r="H48" i="3"/>
  <c r="N6" i="2"/>
  <c r="O10" i="2"/>
  <c r="O9" i="2"/>
  <c r="H50" i="3" s="1"/>
  <c r="H51" i="3" s="1"/>
  <c r="O14" i="2" s="1"/>
  <c r="M32" i="3"/>
  <c r="F40" i="3"/>
  <c r="E40" i="3"/>
  <c r="F39" i="3"/>
  <c r="G39" i="3" s="1"/>
  <c r="D39" i="3"/>
  <c r="F38" i="3"/>
  <c r="G38" i="3" s="1"/>
  <c r="E38" i="3"/>
  <c r="E37" i="3"/>
  <c r="F37" i="3"/>
  <c r="G37" i="3" s="1"/>
  <c r="M19" i="2"/>
  <c r="H37" i="3" l="1"/>
  <c r="K37" i="3"/>
  <c r="H38" i="3"/>
  <c r="K38" i="3"/>
  <c r="H39" i="3"/>
  <c r="K39" i="3"/>
  <c r="O11" i="2"/>
  <c r="O12" i="2" s="1"/>
  <c r="G40" i="3"/>
  <c r="W17" i="4"/>
  <c r="V25" i="4"/>
  <c r="W25" i="4" s="1"/>
  <c r="V9" i="4"/>
  <c r="W9" i="4" s="1"/>
  <c r="W49" i="4"/>
  <c r="W37" i="4"/>
  <c r="W36" i="4"/>
  <c r="I2" i="4"/>
  <c r="U2" i="4"/>
  <c r="N10" i="2"/>
  <c r="M10" i="2"/>
  <c r="H40" i="3" l="1"/>
  <c r="H44" i="3" s="1"/>
  <c r="K40" i="3"/>
  <c r="K44" i="3" s="1"/>
  <c r="G44" i="3"/>
  <c r="V4" i="4"/>
  <c r="V2" i="4" s="1"/>
  <c r="W4" i="4" l="1"/>
  <c r="W2" i="4" s="1"/>
  <c r="N75" i="4" s="1"/>
  <c r="N77" i="4" s="1"/>
</calcChain>
</file>

<file path=xl/sharedStrings.xml><?xml version="1.0" encoding="utf-8"?>
<sst xmlns="http://schemas.openxmlformats.org/spreadsheetml/2006/main" count="205" uniqueCount="114">
  <si>
    <t>https://www.99acres.com/industrial-land-plot-for-sale-in-shendra-midc-aurangabad-19444-sq-yard-r2-spid-Y54260888</t>
  </si>
  <si>
    <t>sqm</t>
  </si>
  <si>
    <t>sqft</t>
  </si>
  <si>
    <t>https://www.magicbricks.com/propertyDetails/2-Acre-Industrial-Land-FOR-Sale-Shendra-MIDC-in-Aurangabad&amp;id=4d423636333332383133</t>
  </si>
  <si>
    <t>https://www.realestateindia.com/property-detail/industrial-land-plot-for-sale-in-shendra-midc-aurangabad-14000-sq-ft-1-51-cr-1163156.htm</t>
  </si>
  <si>
    <t>https://www.horizonpune.co.in/sell/industrial-land-plot-shendra-midc-aurangabad_1065484.htm</t>
  </si>
  <si>
    <t>permium</t>
  </si>
  <si>
    <t>permium/sqm</t>
  </si>
  <si>
    <t>Say</t>
  </si>
  <si>
    <t>Discount on Size</t>
  </si>
  <si>
    <t>Shape</t>
  </si>
  <si>
    <t>Total</t>
  </si>
  <si>
    <t>Arrived Rate</t>
  </si>
  <si>
    <t>Land Area</t>
  </si>
  <si>
    <t>Land Value</t>
  </si>
  <si>
    <t>Average</t>
  </si>
  <si>
    <t>Proposed FSI Area - Ind.</t>
  </si>
  <si>
    <t>Double HT. FSI Area</t>
  </si>
  <si>
    <t>Stair</t>
  </si>
  <si>
    <t>Total FSI Area sqm</t>
  </si>
  <si>
    <t>Total BUA Sqm</t>
  </si>
  <si>
    <t>Total BUA Sqft</t>
  </si>
  <si>
    <t>Admin Building</t>
  </si>
  <si>
    <t>Canteen building</t>
  </si>
  <si>
    <t>security cabin and time office</t>
  </si>
  <si>
    <t>receiver &amp; storage section</t>
  </si>
  <si>
    <t>distillation plant</t>
  </si>
  <si>
    <t>bottling hall</t>
  </si>
  <si>
    <t>MCC control room</t>
  </si>
  <si>
    <t>fermentation section</t>
  </si>
  <si>
    <t>boiler house</t>
  </si>
  <si>
    <t>trubine &amp; control building</t>
  </si>
  <si>
    <t>toiler block near turbine</t>
  </si>
  <si>
    <t>toiler block-1 bottling hall</t>
  </si>
  <si>
    <t>raw water storage tank</t>
  </si>
  <si>
    <t>water treatment plant</t>
  </si>
  <si>
    <t>cooling tower U-912</t>
  </si>
  <si>
    <t>cooling tower U-913</t>
  </si>
  <si>
    <t>storage building</t>
  </si>
  <si>
    <t>bulk molasses storage section</t>
  </si>
  <si>
    <t>molassis MCC room</t>
  </si>
  <si>
    <t>R.O. Plant</t>
  </si>
  <si>
    <t>biogass MCC room &amp; lab</t>
  </si>
  <si>
    <t>RO Feed tank</t>
  </si>
  <si>
    <t>spent wash tank</t>
  </si>
  <si>
    <t>diagestors</t>
  </si>
  <si>
    <t>lamella clarifier</t>
  </si>
  <si>
    <t>pre-aeration tank</t>
  </si>
  <si>
    <t>clarifier</t>
  </si>
  <si>
    <t>sludge  tank</t>
  </si>
  <si>
    <t>bagass shed</t>
  </si>
  <si>
    <t>molassis PIT</t>
  </si>
  <si>
    <t>Phase</t>
  </si>
  <si>
    <t>Residential</t>
  </si>
  <si>
    <t>Guest House</t>
  </si>
  <si>
    <t>2BHK Unit</t>
  </si>
  <si>
    <t>1BHK Unit</t>
  </si>
  <si>
    <t>security cabin &amp; panel Room</t>
  </si>
  <si>
    <t>Molasses Spirit Plant</t>
  </si>
  <si>
    <t>Grain Spirit Plant</t>
  </si>
  <si>
    <t>YoC</t>
  </si>
  <si>
    <t xml:space="preserve"> Buildig</t>
  </si>
  <si>
    <t xml:space="preserve"> Lequefaction and and Fermentation</t>
  </si>
  <si>
    <t xml:space="preserve"> Distilation and MSDH</t>
  </si>
  <si>
    <t xml:space="preserve"> Evaporation section</t>
  </si>
  <si>
    <t xml:space="preserve"> Product Storage-1 PESO</t>
  </si>
  <si>
    <t xml:space="preserve"> Product Storage-2</t>
  </si>
  <si>
    <t xml:space="preserve"> Coal Storage Shed</t>
  </si>
  <si>
    <t xml:space="preserve"> Lean to Shed 1 </t>
  </si>
  <si>
    <t xml:space="preserve"> TG Hall </t>
  </si>
  <si>
    <t xml:space="preserve"> Bageese Storage Shed </t>
  </si>
  <si>
    <t xml:space="preserve"> Construction office </t>
  </si>
  <si>
    <t xml:space="preserve"> Platform </t>
  </si>
  <si>
    <t xml:space="preserve"> Boiler </t>
  </si>
  <si>
    <t xml:space="preserve"> Excise Office </t>
  </si>
  <si>
    <t xml:space="preserve"> DDGS Godown </t>
  </si>
  <si>
    <t xml:space="preserve"> Grain Silo-A and B </t>
  </si>
  <si>
    <t xml:space="preserve"> Canteen </t>
  </si>
  <si>
    <t xml:space="preserve"> Admin Office </t>
  </si>
  <si>
    <t xml:space="preserve"> Toilet Block </t>
  </si>
  <si>
    <t xml:space="preserve"> Store Room </t>
  </si>
  <si>
    <t xml:space="preserve"> Ethenol Storage Area </t>
  </si>
  <si>
    <t xml:space="preserve"> Shed 5 </t>
  </si>
  <si>
    <t xml:space="preserve"> Digester </t>
  </si>
  <si>
    <t>Type</t>
  </si>
  <si>
    <t>Shed</t>
  </si>
  <si>
    <t>RCC+Shed</t>
  </si>
  <si>
    <t>Building</t>
  </si>
  <si>
    <t>RCC</t>
  </si>
  <si>
    <t>CPWD Rate/sqm</t>
  </si>
  <si>
    <t>CPWD Rate/sqft</t>
  </si>
  <si>
    <t>Considered Rate/sqft</t>
  </si>
  <si>
    <t>Adjustment</t>
  </si>
  <si>
    <t>EL</t>
  </si>
  <si>
    <t>Age</t>
  </si>
  <si>
    <t>SV</t>
  </si>
  <si>
    <t>GCRC</t>
  </si>
  <si>
    <t>Dep.</t>
  </si>
  <si>
    <t>DRC</t>
  </si>
  <si>
    <t xml:space="preserve"> Grain Milling and Flour Handling System</t>
  </si>
  <si>
    <t>Boundary</t>
  </si>
  <si>
    <t>Mtr</t>
  </si>
  <si>
    <t>Land</t>
  </si>
  <si>
    <t>S. No.</t>
  </si>
  <si>
    <t>Asking</t>
  </si>
  <si>
    <t>Size</t>
  </si>
  <si>
    <t>per sqm</t>
  </si>
  <si>
    <t>Rate/sqft</t>
  </si>
  <si>
    <t>Height</t>
  </si>
  <si>
    <t xml:space="preserve"> Lean to Shed 2</t>
  </si>
  <si>
    <t xml:space="preserve"> Lean to Shed 3</t>
  </si>
  <si>
    <t xml:space="preserve"> Lean to Shed 4</t>
  </si>
  <si>
    <t xml:space="preserve"> Toilet-6</t>
  </si>
  <si>
    <t>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</si>
</sst>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202124"/>
      <name val="Arial"/>
      <family val="2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2" fillId="0" borderId="0" xfId="1" applyNumberFormat="1" applyFont="1" applyAlignment="1">
      <alignment horizontal="center" vertical="center"/>
    </xf>
    <xf numFmtId="0" fontId="2" fillId="0" borderId="0" xfId="0" applyFont="1"/>
    <xf numFmtId="164" fontId="2" fillId="0" borderId="0" xfId="1" applyNumberFormat="1" applyFont="1"/>
    <xf numFmtId="0" fontId="3" fillId="0" borderId="0" xfId="0" applyFont="1"/>
    <xf numFmtId="43" fontId="0" fillId="0" borderId="0" xfId="0" applyNumberFormat="1"/>
    <xf numFmtId="164" fontId="0" fillId="0" borderId="0" xfId="0" applyNumberFormat="1"/>
    <xf numFmtId="9" fontId="0" fillId="0" borderId="0" xfId="0" applyNumberFormat="1"/>
    <xf numFmtId="43" fontId="2" fillId="0" borderId="0" xfId="1" applyFont="1"/>
    <xf numFmtId="0" fontId="0" fillId="0" borderId="0" xfId="0" applyAlignment="1">
      <alignment horizontal="center" vertical="center"/>
    </xf>
    <xf numFmtId="0" fontId="0" fillId="0" borderId="1" xfId="0" applyBorder="1"/>
    <xf numFmtId="43" fontId="0" fillId="0" borderId="1" xfId="1" applyFont="1" applyBorder="1" applyAlignment="1"/>
    <xf numFmtId="43" fontId="0" fillId="2" borderId="1" xfId="1" applyFont="1" applyFill="1" applyBorder="1" applyAlignment="1"/>
    <xf numFmtId="43" fontId="2" fillId="0" borderId="1" xfId="1" applyFont="1" applyBorder="1" applyAlignment="1">
      <alignment horizontal="center" vertical="center" wrapText="1"/>
    </xf>
    <xf numFmtId="43" fontId="2" fillId="0" borderId="2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164" fontId="0" fillId="0" borderId="0" xfId="1" applyNumberFormat="1" applyFont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43" fontId="4" fillId="3" borderId="0" xfId="1" applyFont="1" applyFill="1" applyAlignment="1">
      <alignment horizontal="center" vertical="center" wrapText="1"/>
    </xf>
    <xf numFmtId="164" fontId="4" fillId="3" borderId="0" xfId="1" applyNumberFormat="1" applyFont="1" applyFill="1" applyAlignment="1">
      <alignment horizontal="center" vertical="center" wrapText="1"/>
    </xf>
    <xf numFmtId="43" fontId="2" fillId="0" borderId="0" xfId="1" applyFont="1" applyAlignment="1">
      <alignment horizontal="center" vertical="center"/>
    </xf>
    <xf numFmtId="43" fontId="0" fillId="2" borderId="0" xfId="1" applyFont="1" applyFill="1"/>
    <xf numFmtId="0" fontId="0" fillId="2" borderId="1" xfId="0" applyFill="1" applyBorder="1"/>
    <xf numFmtId="164" fontId="0" fillId="2" borderId="0" xfId="1" applyNumberFormat="1" applyFont="1" applyFill="1"/>
    <xf numFmtId="0" fontId="0" fillId="0" borderId="0" xfId="0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323850</xdr:colOff>
      <xdr:row>25</xdr:row>
      <xdr:rowOff>48280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743" t="8937" r="26578" b="6161"/>
        <a:stretch/>
      </xdr:blipFill>
      <xdr:spPr>
        <a:xfrm>
          <a:off x="0" y="0"/>
          <a:ext cx="5810250" cy="48107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9</xdr:col>
      <xdr:colOff>485775</xdr:colOff>
      <xdr:row>30</xdr:row>
      <xdr:rowOff>176589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56" t="12465" r="43378" b="6396"/>
        <a:stretch/>
      </xdr:blipFill>
      <xdr:spPr>
        <a:xfrm>
          <a:off x="28575" y="28575"/>
          <a:ext cx="7086600" cy="5863014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447675</xdr:colOff>
      <xdr:row>0</xdr:row>
      <xdr:rowOff>0</xdr:rowOff>
    </xdr:from>
    <xdr:to>
      <xdr:col>19</xdr:col>
      <xdr:colOff>342900</xdr:colOff>
      <xdr:row>24</xdr:row>
      <xdr:rowOff>31086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29" t="17169" r="42718" b="16039"/>
        <a:stretch/>
      </xdr:blipFill>
      <xdr:spPr>
        <a:xfrm>
          <a:off x="7077075" y="0"/>
          <a:ext cx="6953250" cy="4603086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476250</xdr:colOff>
      <xdr:row>0</xdr:row>
      <xdr:rowOff>0</xdr:rowOff>
    </xdr:from>
    <xdr:to>
      <xdr:col>31</xdr:col>
      <xdr:colOff>457200</xdr:colOff>
      <xdr:row>21</xdr:row>
      <xdr:rowOff>74610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233" r="15995" b="4750"/>
        <a:stretch/>
      </xdr:blipFill>
      <xdr:spPr>
        <a:xfrm>
          <a:off x="14030325" y="0"/>
          <a:ext cx="6686550" cy="40751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"/>
  <sheetViews>
    <sheetView workbookViewId="0">
      <selection activeCell="L15" sqref="L15"/>
    </sheetView>
  </sheetViews>
  <sheetFormatPr defaultRowHeight="15" x14ac:dyDescent="0.25"/>
  <cols>
    <col min="13" max="13" width="11.5703125" style="2" bestFit="1" customWidth="1"/>
    <col min="14" max="14" width="12.5703125" style="2" bestFit="1" customWidth="1"/>
    <col min="15" max="15" width="16.85546875" bestFit="1" customWidth="1"/>
  </cols>
  <sheetData>
    <row r="1" spans="1:15" x14ac:dyDescent="0.25">
      <c r="A1" s="6"/>
    </row>
    <row r="6" spans="1:15" x14ac:dyDescent="0.25">
      <c r="N6" s="2">
        <f>N7/N9</f>
        <v>100</v>
      </c>
      <c r="O6" t="s">
        <v>7</v>
      </c>
    </row>
    <row r="7" spans="1:15" x14ac:dyDescent="0.25">
      <c r="N7" s="2">
        <v>36960600</v>
      </c>
      <c r="O7" t="s">
        <v>6</v>
      </c>
    </row>
    <row r="9" spans="1:15" x14ac:dyDescent="0.25">
      <c r="M9" s="2">
        <v>369279.57</v>
      </c>
      <c r="N9" s="2">
        <v>369606</v>
      </c>
      <c r="O9" s="7">
        <f>N9*10.764</f>
        <v>3978438.9839999997</v>
      </c>
    </row>
    <row r="10" spans="1:15" x14ac:dyDescent="0.25">
      <c r="M10" s="1">
        <f>M9/4046.84</f>
        <v>91.251339316602582</v>
      </c>
      <c r="N10" s="1">
        <f>N9/4046.84</f>
        <v>91.332002253610227</v>
      </c>
      <c r="O10">
        <f>'Shendra Land Valuation'!L40</f>
        <v>0</v>
      </c>
    </row>
    <row r="11" spans="1:15" x14ac:dyDescent="0.25">
      <c r="O11" s="8">
        <f>O10*O9</f>
        <v>0</v>
      </c>
    </row>
    <row r="12" spans="1:15" x14ac:dyDescent="0.25">
      <c r="O12" s="7">
        <f>O11/10^7</f>
        <v>0</v>
      </c>
    </row>
    <row r="13" spans="1:15" x14ac:dyDescent="0.25">
      <c r="N13" s="2">
        <v>2480</v>
      </c>
    </row>
    <row r="14" spans="1:15" x14ac:dyDescent="0.25">
      <c r="N14" s="2">
        <f>N13*N9</f>
        <v>916622880</v>
      </c>
      <c r="O14" s="2">
        <f>Building!N76</f>
        <v>1704807674.9999998</v>
      </c>
    </row>
    <row r="18" spans="13:13" x14ac:dyDescent="0.25">
      <c r="M18" s="2">
        <v>850</v>
      </c>
    </row>
    <row r="19" spans="13:13" x14ac:dyDescent="0.25">
      <c r="M19" s="2">
        <f>M18*10.764</f>
        <v>9149.4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0:P60"/>
  <sheetViews>
    <sheetView topLeftCell="A31" workbookViewId="0">
      <selection activeCell="M55" sqref="M55"/>
    </sheetView>
  </sheetViews>
  <sheetFormatPr defaultRowHeight="15" x14ac:dyDescent="0.25"/>
  <cols>
    <col min="4" max="4" width="11.5703125" bestFit="1" customWidth="1"/>
    <col min="5" max="5" width="15.28515625" bestFit="1" customWidth="1"/>
    <col min="6" max="6" width="12.5703125" bestFit="1" customWidth="1"/>
    <col min="8" max="8" width="14.28515625" bestFit="1" customWidth="1"/>
    <col min="11" max="11" width="14.28515625" bestFit="1" customWidth="1"/>
    <col min="12" max="12" width="7.42578125" bestFit="1" customWidth="1"/>
    <col min="13" max="13" width="16.85546875" bestFit="1" customWidth="1"/>
    <col min="15" max="15" width="10" bestFit="1" customWidth="1"/>
    <col min="16" max="16" width="11.5703125" bestFit="1" customWidth="1"/>
  </cols>
  <sheetData>
    <row r="30" spans="13:16" x14ac:dyDescent="0.25">
      <c r="P30">
        <v>1870</v>
      </c>
    </row>
    <row r="31" spans="13:16" x14ac:dyDescent="0.25">
      <c r="M31">
        <v>2060</v>
      </c>
      <c r="P31" s="1">
        <f>P30/10.764</f>
        <v>173.72723894463027</v>
      </c>
    </row>
    <row r="32" spans="13:16" x14ac:dyDescent="0.25">
      <c r="M32" s="2">
        <f>M31/10.764</f>
        <v>191.37866963953923</v>
      </c>
    </row>
    <row r="35" spans="3:16" x14ac:dyDescent="0.25">
      <c r="D35" s="2"/>
      <c r="E35" s="2"/>
      <c r="F35" s="2"/>
    </row>
    <row r="36" spans="3:16" x14ac:dyDescent="0.25">
      <c r="D36" s="7" t="s">
        <v>1</v>
      </c>
      <c r="E36" t="s">
        <v>2</v>
      </c>
      <c r="F36" s="7"/>
      <c r="G36" t="s">
        <v>107</v>
      </c>
      <c r="K36" t="s">
        <v>106</v>
      </c>
    </row>
    <row r="37" spans="3:16" x14ac:dyDescent="0.25">
      <c r="C37" t="s">
        <v>0</v>
      </c>
      <c r="D37" s="2">
        <v>16263.94</v>
      </c>
      <c r="E37" s="2">
        <f>D37*10.764</f>
        <v>175065.05015999998</v>
      </c>
      <c r="F37" s="2">
        <f>20.97*10^7</f>
        <v>209700000</v>
      </c>
      <c r="G37" s="2">
        <f>F37/E37</f>
        <v>1197.840458780011</v>
      </c>
      <c r="H37" s="7">
        <f>G37*0.8</f>
        <v>958.27236702400887</v>
      </c>
      <c r="K37" s="2">
        <f t="shared" ref="K37:K43" si="0">G37*10.764</f>
        <v>12893.554698308037</v>
      </c>
      <c r="L37" s="2"/>
      <c r="M37" s="2"/>
    </row>
    <row r="38" spans="3:16" x14ac:dyDescent="0.25">
      <c r="C38" t="s">
        <v>3</v>
      </c>
      <c r="D38" s="2">
        <v>8094</v>
      </c>
      <c r="E38" s="2">
        <f>D38*10.764</f>
        <v>87123.815999999992</v>
      </c>
      <c r="F38" s="2">
        <f>6.09*10^7</f>
        <v>60900000</v>
      </c>
      <c r="G38" s="2">
        <f>F38/E38</f>
        <v>699.00519508925095</v>
      </c>
      <c r="H38" s="7">
        <f t="shared" ref="H38:H43" si="1">G38*0.8</f>
        <v>559.2041560714008</v>
      </c>
      <c r="K38" s="2">
        <f t="shared" si="0"/>
        <v>7524.0919199406972</v>
      </c>
      <c r="L38" s="2"/>
      <c r="M38" s="2">
        <v>7524.0919199406972</v>
      </c>
    </row>
    <row r="39" spans="3:16" x14ac:dyDescent="0.25">
      <c r="C39" t="s">
        <v>4</v>
      </c>
      <c r="D39" s="2">
        <f>E39/10.764</f>
        <v>1300.6317354143441</v>
      </c>
      <c r="E39" s="2">
        <v>14000</v>
      </c>
      <c r="F39" s="2">
        <f>1.51*10^7</f>
        <v>15100000</v>
      </c>
      <c r="G39" s="2">
        <f>F39/E39</f>
        <v>1078.5714285714287</v>
      </c>
      <c r="H39" s="7">
        <f t="shared" si="1"/>
        <v>862.857142857143</v>
      </c>
      <c r="K39" s="2">
        <f t="shared" si="0"/>
        <v>11609.742857142857</v>
      </c>
      <c r="L39" s="2"/>
      <c r="M39" s="2">
        <v>11609.742857142857</v>
      </c>
    </row>
    <row r="40" spans="3:16" x14ac:dyDescent="0.25">
      <c r="C40" t="s">
        <v>5</v>
      </c>
      <c r="D40" s="2">
        <v>297.60000000000002</v>
      </c>
      <c r="E40" s="2">
        <f>D40*10.764</f>
        <v>3203.3663999999999</v>
      </c>
      <c r="F40" s="2">
        <f>38.4*10^5</f>
        <v>3840000</v>
      </c>
      <c r="G40" s="2">
        <f>F40/E40</f>
        <v>1198.738926649165</v>
      </c>
      <c r="H40" s="7">
        <f t="shared" si="1"/>
        <v>958.99114131933209</v>
      </c>
      <c r="K40" s="2">
        <f t="shared" si="0"/>
        <v>12903.225806451612</v>
      </c>
      <c r="L40" s="2"/>
      <c r="M40" s="2"/>
    </row>
    <row r="41" spans="3:16" x14ac:dyDescent="0.25">
      <c r="D41" s="2"/>
      <c r="E41" s="2"/>
      <c r="F41" s="2"/>
      <c r="G41" s="2">
        <v>850</v>
      </c>
      <c r="H41" s="7">
        <f t="shared" si="1"/>
        <v>680</v>
      </c>
      <c r="K41" s="2">
        <f t="shared" si="0"/>
        <v>9149.4</v>
      </c>
      <c r="L41" s="2"/>
      <c r="M41" s="2">
        <v>9149.4</v>
      </c>
    </row>
    <row r="42" spans="3:16" x14ac:dyDescent="0.25">
      <c r="D42" s="2"/>
      <c r="E42" s="2"/>
      <c r="F42" s="2"/>
      <c r="G42" s="2">
        <v>1100</v>
      </c>
      <c r="H42" s="7">
        <f t="shared" si="1"/>
        <v>880</v>
      </c>
      <c r="K42" s="2">
        <f t="shared" si="0"/>
        <v>11840.4</v>
      </c>
      <c r="L42" s="2"/>
      <c r="M42" s="2">
        <v>11840.4</v>
      </c>
    </row>
    <row r="43" spans="3:16" x14ac:dyDescent="0.25">
      <c r="G43" s="2">
        <v>1040</v>
      </c>
      <c r="H43" s="7">
        <f t="shared" si="1"/>
        <v>832</v>
      </c>
      <c r="K43" s="2">
        <f t="shared" si="0"/>
        <v>11194.56</v>
      </c>
      <c r="L43" s="2"/>
      <c r="M43" s="2">
        <v>11194.56</v>
      </c>
      <c r="P43" s="2"/>
    </row>
    <row r="44" spans="3:16" x14ac:dyDescent="0.25">
      <c r="F44" s="4" t="s">
        <v>15</v>
      </c>
      <c r="G44" s="5">
        <f>AVERAGE(G37:G43)</f>
        <v>1023.4508584414079</v>
      </c>
      <c r="H44" s="10">
        <f>AVERAGE(H37:H43)</f>
        <v>818.76068675312649</v>
      </c>
      <c r="K44" s="5">
        <f>AVERAGE(K37:K43)</f>
        <v>11016.425040263315</v>
      </c>
      <c r="L44" s="5"/>
      <c r="M44" s="5">
        <f>AVERAGE(M37:M43)</f>
        <v>10263.638955416711</v>
      </c>
      <c r="P44" s="2"/>
    </row>
    <row r="45" spans="3:16" x14ac:dyDescent="0.25">
      <c r="F45" s="4" t="s">
        <v>8</v>
      </c>
      <c r="G45" s="5">
        <v>1025</v>
      </c>
      <c r="H45" s="5">
        <v>820</v>
      </c>
      <c r="K45" s="2">
        <v>11000</v>
      </c>
      <c r="L45" s="2"/>
      <c r="M45" s="2">
        <v>10250</v>
      </c>
    </row>
    <row r="46" spans="3:16" x14ac:dyDescent="0.25">
      <c r="F46" t="s">
        <v>9</v>
      </c>
      <c r="H46" s="9">
        <v>0.3</v>
      </c>
      <c r="J46" t="s">
        <v>104</v>
      </c>
      <c r="K46" s="9">
        <v>0.2</v>
      </c>
      <c r="L46" s="9"/>
      <c r="M46" s="9">
        <v>0.15</v>
      </c>
    </row>
    <row r="47" spans="3:16" x14ac:dyDescent="0.25">
      <c r="F47" t="s">
        <v>10</v>
      </c>
      <c r="H47" s="9">
        <v>0.2</v>
      </c>
      <c r="J47" t="s">
        <v>10</v>
      </c>
      <c r="K47" s="9">
        <v>0.1</v>
      </c>
      <c r="L47" s="9"/>
      <c r="M47" s="9">
        <v>0.1</v>
      </c>
    </row>
    <row r="48" spans="3:16" x14ac:dyDescent="0.25">
      <c r="F48" t="s">
        <v>11</v>
      </c>
      <c r="H48" s="9">
        <f>H47+H46</f>
        <v>0.5</v>
      </c>
      <c r="J48" t="s">
        <v>105</v>
      </c>
      <c r="K48" s="9">
        <v>0.3</v>
      </c>
      <c r="L48" s="9"/>
      <c r="M48" s="9">
        <v>0.3</v>
      </c>
    </row>
    <row r="49" spans="6:15" x14ac:dyDescent="0.25">
      <c r="F49" t="s">
        <v>12</v>
      </c>
      <c r="H49" s="8">
        <v>420</v>
      </c>
      <c r="J49" t="s">
        <v>12</v>
      </c>
      <c r="K49" s="9">
        <f>SUM(K46:K48)</f>
        <v>0.60000000000000009</v>
      </c>
      <c r="M49" s="9">
        <f>SUM(M46:M48)</f>
        <v>0.55000000000000004</v>
      </c>
      <c r="O49" s="1"/>
    </row>
    <row r="50" spans="6:15" x14ac:dyDescent="0.25">
      <c r="F50" t="s">
        <v>13</v>
      </c>
      <c r="H50" s="2">
        <f>Sheet2!O9</f>
        <v>3978438.9839999997</v>
      </c>
      <c r="I50" t="s">
        <v>2</v>
      </c>
      <c r="K50" s="2">
        <f>K45*(1-K49)</f>
        <v>4399.9999999999991</v>
      </c>
      <c r="L50" s="1"/>
      <c r="M50" s="2">
        <f>M45*(1-M49)</f>
        <v>4612.4999999999991</v>
      </c>
      <c r="N50" s="1"/>
    </row>
    <row r="51" spans="6:15" x14ac:dyDescent="0.25">
      <c r="F51" s="27" t="s">
        <v>14</v>
      </c>
      <c r="G51" s="27"/>
      <c r="H51" s="5">
        <f>H50*H49</f>
        <v>1670944373.28</v>
      </c>
      <c r="K51" s="2">
        <f>Sheet2!N9</f>
        <v>369606</v>
      </c>
      <c r="M51" s="2">
        <v>369606</v>
      </c>
    </row>
    <row r="52" spans="6:15" x14ac:dyDescent="0.25">
      <c r="H52" s="2"/>
      <c r="K52" s="2">
        <f>K51*K50</f>
        <v>1626266399.9999998</v>
      </c>
      <c r="M52" s="2">
        <f>M51*M50</f>
        <v>1704807674.9999998</v>
      </c>
    </row>
    <row r="53" spans="6:15" x14ac:dyDescent="0.25">
      <c r="H53" s="2"/>
      <c r="K53" s="2"/>
    </row>
    <row r="54" spans="6:15" x14ac:dyDescent="0.25">
      <c r="H54" s="2"/>
      <c r="K54" s="1"/>
      <c r="M54">
        <v>2480</v>
      </c>
    </row>
    <row r="55" spans="6:15" x14ac:dyDescent="0.25">
      <c r="G55">
        <v>1200</v>
      </c>
      <c r="H55" s="2"/>
      <c r="M55" s="8">
        <f>M54*M51</f>
        <v>916622880</v>
      </c>
    </row>
    <row r="56" spans="6:15" x14ac:dyDescent="0.25">
      <c r="G56" s="9">
        <v>0.15</v>
      </c>
    </row>
    <row r="57" spans="6:15" x14ac:dyDescent="0.25">
      <c r="G57" s="9">
        <v>0.2</v>
      </c>
    </row>
    <row r="58" spans="6:15" x14ac:dyDescent="0.25">
      <c r="G58" s="9">
        <v>0.3</v>
      </c>
    </row>
    <row r="59" spans="6:15" x14ac:dyDescent="0.25">
      <c r="G59" s="9">
        <f>SUM(G56:G58)</f>
        <v>0.64999999999999991</v>
      </c>
    </row>
    <row r="60" spans="6:15" x14ac:dyDescent="0.25">
      <c r="G60">
        <f>G55*(1-G59)</f>
        <v>420.00000000000011</v>
      </c>
    </row>
  </sheetData>
  <mergeCells count="1">
    <mergeCell ref="F51:G51"/>
  </mergeCells>
  <pageMargins left="0.7" right="0.7" top="0.75" bottom="0.75" header="0.3" footer="0.3"/>
  <pageSetup orientation="portrait" r:id="rId1"/>
  <ignoredErrors>
    <ignoredError sqref="M49 K49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91"/>
  <sheetViews>
    <sheetView tabSelected="1" topLeftCell="B80" zoomScaleNormal="100" workbookViewId="0">
      <selection activeCell="I73" sqref="I73"/>
    </sheetView>
  </sheetViews>
  <sheetFormatPr defaultRowHeight="15" x14ac:dyDescent="0.25"/>
  <cols>
    <col min="1" max="1" width="9.140625" style="11"/>
    <col min="2" max="2" width="19.5703125" bestFit="1" customWidth="1"/>
    <col min="3" max="3" width="36.5703125" bestFit="1" customWidth="1"/>
    <col min="4" max="4" width="23.28515625" style="1" hidden="1" customWidth="1"/>
    <col min="5" max="5" width="19.42578125" style="1" hidden="1" customWidth="1"/>
    <col min="6" max="6" width="7.42578125" style="1" hidden="1" customWidth="1"/>
    <col min="7" max="7" width="15.140625" style="1" hidden="1" customWidth="1"/>
    <col min="8" max="8" width="11.85546875" hidden="1" customWidth="1"/>
    <col min="9" max="9" width="12.140625" style="2" customWidth="1"/>
    <col min="10" max="10" width="12.140625" style="1" customWidth="1"/>
    <col min="12" max="12" width="11.5703125" bestFit="1" customWidth="1"/>
    <col min="13" max="13" width="11.42578125" style="2" customWidth="1"/>
    <col min="14" max="14" width="14.28515625" style="2" customWidth="1"/>
    <col min="15" max="15" width="9.140625" customWidth="1"/>
    <col min="16" max="17" width="11.140625" style="2" customWidth="1"/>
    <col min="19" max="20" width="9.140625" customWidth="1"/>
    <col min="21" max="21" width="14.28515625" bestFit="1" customWidth="1"/>
    <col min="22" max="22" width="12.5703125" hidden="1" customWidth="1"/>
    <col min="23" max="23" width="14.28515625" bestFit="1" customWidth="1"/>
  </cols>
  <sheetData>
    <row r="2" spans="1:23" x14ac:dyDescent="0.25">
      <c r="G2" s="7">
        <f>SUM(G4:G30)</f>
        <v>32955.440000000002</v>
      </c>
      <c r="H2" s="8">
        <f>SUBTOTAL(9,H4:H64)</f>
        <v>70602.029999999984</v>
      </c>
      <c r="I2" s="8">
        <f>SUBTOTAL(9,I4:I64)</f>
        <v>759960.2509199999</v>
      </c>
      <c r="S2">
        <v>2023</v>
      </c>
      <c r="U2" s="8">
        <f>SUBTOTAL(9,U4:U64)</f>
        <v>764595907.45200002</v>
      </c>
      <c r="V2" s="8">
        <f>SUBTOTAL(9,V4:V64)</f>
        <v>168653788.08407998</v>
      </c>
      <c r="W2" s="8">
        <f>SUBTOTAL(9,W4:W64)</f>
        <v>595942119.3679198</v>
      </c>
    </row>
    <row r="3" spans="1:23" s="17" customFormat="1" ht="45" x14ac:dyDescent="0.25">
      <c r="A3" s="20" t="s">
        <v>103</v>
      </c>
      <c r="B3" s="20" t="s">
        <v>52</v>
      </c>
      <c r="C3" s="20" t="s">
        <v>61</v>
      </c>
      <c r="D3" s="15" t="s">
        <v>16</v>
      </c>
      <c r="E3" s="15" t="s">
        <v>17</v>
      </c>
      <c r="F3" s="15" t="s">
        <v>18</v>
      </c>
      <c r="G3" s="15" t="s">
        <v>19</v>
      </c>
      <c r="H3" s="16" t="s">
        <v>20</v>
      </c>
      <c r="I3" s="20" t="s">
        <v>21</v>
      </c>
      <c r="J3" s="21" t="s">
        <v>108</v>
      </c>
      <c r="K3" s="17" t="s">
        <v>60</v>
      </c>
      <c r="L3" s="20" t="s">
        <v>84</v>
      </c>
      <c r="M3" s="19" t="s">
        <v>89</v>
      </c>
      <c r="N3" s="19" t="s">
        <v>90</v>
      </c>
      <c r="O3" s="20" t="s">
        <v>92</v>
      </c>
      <c r="P3" s="22" t="s">
        <v>91</v>
      </c>
      <c r="Q3" s="22"/>
      <c r="R3" s="20" t="s">
        <v>93</v>
      </c>
      <c r="S3" s="20" t="s">
        <v>94</v>
      </c>
      <c r="T3" s="20" t="s">
        <v>95</v>
      </c>
      <c r="U3" s="20" t="s">
        <v>96</v>
      </c>
      <c r="V3" s="17" t="s">
        <v>97</v>
      </c>
      <c r="W3" s="20" t="s">
        <v>98</v>
      </c>
    </row>
    <row r="4" spans="1:23" x14ac:dyDescent="0.25">
      <c r="A4" s="11">
        <v>1</v>
      </c>
      <c r="B4" t="s">
        <v>59</v>
      </c>
      <c r="C4" s="12" t="s">
        <v>68</v>
      </c>
      <c r="D4" s="13">
        <v>453.9</v>
      </c>
      <c r="E4" s="13">
        <v>226.95</v>
      </c>
      <c r="F4" s="13">
        <v>0</v>
      </c>
      <c r="G4" s="13">
        <f>SUM(D4:E4)</f>
        <v>680.84999999999991</v>
      </c>
      <c r="H4" s="7">
        <f t="shared" ref="H4:H30" si="0">SUM(D4:F4)</f>
        <v>680.84999999999991</v>
      </c>
      <c r="I4" s="2">
        <f>H4*10.764</f>
        <v>7328.6693999999989</v>
      </c>
      <c r="J4" s="1">
        <v>7.25</v>
      </c>
      <c r="K4">
        <v>2022</v>
      </c>
      <c r="L4" t="s">
        <v>85</v>
      </c>
      <c r="M4" s="2">
        <v>20070</v>
      </c>
      <c r="N4" s="2">
        <f>M4/10.764</f>
        <v>1864.5484949832778</v>
      </c>
      <c r="O4" s="9">
        <v>0.6</v>
      </c>
      <c r="P4" s="2">
        <f>O4*N4</f>
        <v>1118.7290969899666</v>
      </c>
      <c r="Q4" s="2">
        <v>1100</v>
      </c>
      <c r="R4">
        <v>45</v>
      </c>
      <c r="S4">
        <f>$S$2-K4</f>
        <v>1</v>
      </c>
      <c r="T4" s="9">
        <v>0.95</v>
      </c>
      <c r="U4" s="2">
        <f>I4*Q4</f>
        <v>8061536.3399999989</v>
      </c>
      <c r="V4" s="2">
        <f>U4*(T4/R4)*S4</f>
        <v>170187.98939999999</v>
      </c>
      <c r="W4" s="2">
        <f>U4-V4</f>
        <v>7891348.3505999986</v>
      </c>
    </row>
    <row r="5" spans="1:23" x14ac:dyDescent="0.25">
      <c r="A5" s="11">
        <f>A4+1</f>
        <v>2</v>
      </c>
      <c r="B5" t="s">
        <v>59</v>
      </c>
      <c r="C5" s="12" t="s">
        <v>69</v>
      </c>
      <c r="D5" s="13">
        <v>1260.68</v>
      </c>
      <c r="E5" s="13">
        <v>292.44</v>
      </c>
      <c r="F5" s="13">
        <v>39.18</v>
      </c>
      <c r="G5" s="13">
        <f>SUM(D5:E5)</f>
        <v>1553.1200000000001</v>
      </c>
      <c r="H5" s="7">
        <f t="shared" si="0"/>
        <v>1592.3000000000002</v>
      </c>
      <c r="I5" s="2">
        <f t="shared" ref="I5:I64" si="1">H5*10.764</f>
        <v>17139.517200000002</v>
      </c>
      <c r="J5" s="1">
        <v>15.55</v>
      </c>
      <c r="K5">
        <v>2022</v>
      </c>
      <c r="L5" t="s">
        <v>86</v>
      </c>
      <c r="M5" s="2">
        <v>20070</v>
      </c>
      <c r="N5" s="2">
        <f t="shared" ref="N5:N64" si="2">M5/10.764</f>
        <v>1864.5484949832778</v>
      </c>
      <c r="O5" s="9">
        <v>0.7</v>
      </c>
      <c r="P5" s="2">
        <f t="shared" ref="P5:P64" si="3">O5*N5</f>
        <v>1305.1839464882944</v>
      </c>
      <c r="Q5" s="2">
        <v>1600</v>
      </c>
      <c r="R5">
        <v>45</v>
      </c>
      <c r="S5">
        <f t="shared" ref="S5:S64" si="4">$S$2-K5</f>
        <v>1</v>
      </c>
      <c r="T5" s="9">
        <v>0.95</v>
      </c>
      <c r="U5" s="2">
        <f t="shared" ref="U5:U64" si="5">I5*Q5</f>
        <v>27423227.520000003</v>
      </c>
      <c r="V5" s="2">
        <f t="shared" ref="V5:V64" si="6">U5*(T5/R5)*S5</f>
        <v>578934.80320000008</v>
      </c>
      <c r="W5" s="2">
        <f t="shared" ref="W5:W64" si="7">U5-V5</f>
        <v>26844292.716800004</v>
      </c>
    </row>
    <row r="6" spans="1:23" x14ac:dyDescent="0.25">
      <c r="A6" s="11">
        <f t="shared" ref="A6:A64" si="8">A5+1</f>
        <v>3</v>
      </c>
      <c r="B6" t="s">
        <v>59</v>
      </c>
      <c r="C6" s="12" t="s">
        <v>62</v>
      </c>
      <c r="D6" s="13">
        <v>2007.62</v>
      </c>
      <c r="E6" s="13">
        <v>978.79</v>
      </c>
      <c r="F6" s="13">
        <v>118.8</v>
      </c>
      <c r="G6" s="13">
        <f t="shared" ref="G6:G30" si="9">SUM(D6:E6)</f>
        <v>2986.41</v>
      </c>
      <c r="H6" s="7">
        <f t="shared" si="0"/>
        <v>3105.21</v>
      </c>
      <c r="I6" s="2">
        <f t="shared" si="1"/>
        <v>33424.480439999999</v>
      </c>
      <c r="J6" s="1">
        <v>18</v>
      </c>
      <c r="K6">
        <v>2022</v>
      </c>
      <c r="M6" s="2">
        <v>20070</v>
      </c>
      <c r="N6" s="2">
        <f t="shared" si="2"/>
        <v>1864.5484949832778</v>
      </c>
      <c r="O6" s="9">
        <v>0.6</v>
      </c>
      <c r="P6" s="2">
        <f t="shared" si="3"/>
        <v>1118.7290969899666</v>
      </c>
      <c r="Q6" s="2">
        <v>1400</v>
      </c>
      <c r="R6">
        <v>45</v>
      </c>
      <c r="S6">
        <f t="shared" si="4"/>
        <v>1</v>
      </c>
      <c r="T6" s="9">
        <v>0.95</v>
      </c>
      <c r="U6" s="2">
        <f t="shared" si="5"/>
        <v>46794272.615999997</v>
      </c>
      <c r="V6" s="2">
        <f t="shared" si="6"/>
        <v>987879.08855999995</v>
      </c>
      <c r="W6" s="2">
        <f t="shared" si="7"/>
        <v>45806393.527439997</v>
      </c>
    </row>
    <row r="7" spans="1:23" x14ac:dyDescent="0.25">
      <c r="A7" s="11">
        <f t="shared" si="8"/>
        <v>4</v>
      </c>
      <c r="B7" t="s">
        <v>59</v>
      </c>
      <c r="C7" s="25" t="s">
        <v>63</v>
      </c>
      <c r="D7" s="13">
        <v>1489.21</v>
      </c>
      <c r="E7" s="13">
        <v>0</v>
      </c>
      <c r="F7" s="13">
        <v>138.6</v>
      </c>
      <c r="G7" s="13">
        <f t="shared" si="9"/>
        <v>1489.21</v>
      </c>
      <c r="H7" s="7">
        <f t="shared" si="0"/>
        <v>1627.81</v>
      </c>
      <c r="I7" s="2">
        <f t="shared" si="1"/>
        <v>17521.74684</v>
      </c>
      <c r="J7" s="24">
        <v>33.6</v>
      </c>
      <c r="K7">
        <v>2022</v>
      </c>
      <c r="M7" s="2">
        <v>20070</v>
      </c>
      <c r="N7" s="2">
        <f t="shared" si="2"/>
        <v>1864.5484949832778</v>
      </c>
      <c r="O7" s="9">
        <v>0.6</v>
      </c>
      <c r="P7" s="2">
        <f t="shared" si="3"/>
        <v>1118.7290969899666</v>
      </c>
      <c r="Q7" s="26">
        <v>0</v>
      </c>
      <c r="R7">
        <v>45</v>
      </c>
      <c r="S7">
        <f t="shared" si="4"/>
        <v>1</v>
      </c>
      <c r="T7" s="9">
        <v>0.95</v>
      </c>
      <c r="U7" s="2">
        <f t="shared" si="5"/>
        <v>0</v>
      </c>
      <c r="V7" s="2">
        <f t="shared" si="6"/>
        <v>0</v>
      </c>
      <c r="W7" s="2">
        <f t="shared" si="7"/>
        <v>0</v>
      </c>
    </row>
    <row r="8" spans="1:23" x14ac:dyDescent="0.25">
      <c r="A8" s="11">
        <f t="shared" si="8"/>
        <v>5</v>
      </c>
      <c r="B8" t="s">
        <v>59</v>
      </c>
      <c r="C8" s="25" t="s">
        <v>64</v>
      </c>
      <c r="D8" s="13">
        <v>937.21</v>
      </c>
      <c r="E8" s="13">
        <v>0</v>
      </c>
      <c r="F8" s="13">
        <v>99</v>
      </c>
      <c r="G8" s="13">
        <f t="shared" si="9"/>
        <v>937.21</v>
      </c>
      <c r="H8" s="7">
        <f t="shared" si="0"/>
        <v>1036.21</v>
      </c>
      <c r="I8" s="2">
        <f t="shared" si="1"/>
        <v>11153.764439999999</v>
      </c>
      <c r="J8" s="1">
        <v>24</v>
      </c>
      <c r="K8">
        <v>2022</v>
      </c>
      <c r="M8" s="2">
        <v>20070</v>
      </c>
      <c r="N8" s="2">
        <f t="shared" si="2"/>
        <v>1864.5484949832778</v>
      </c>
      <c r="O8" s="9">
        <v>0.6</v>
      </c>
      <c r="P8" s="2">
        <f t="shared" si="3"/>
        <v>1118.7290969899666</v>
      </c>
      <c r="Q8" s="26">
        <v>0</v>
      </c>
      <c r="R8">
        <v>45</v>
      </c>
      <c r="S8">
        <f t="shared" si="4"/>
        <v>1</v>
      </c>
      <c r="T8" s="9">
        <v>0.95</v>
      </c>
      <c r="U8" s="2">
        <f t="shared" si="5"/>
        <v>0</v>
      </c>
      <c r="V8" s="2">
        <f t="shared" si="6"/>
        <v>0</v>
      </c>
      <c r="W8" s="2">
        <f t="shared" si="7"/>
        <v>0</v>
      </c>
    </row>
    <row r="9" spans="1:23" x14ac:dyDescent="0.25">
      <c r="A9" s="11">
        <f t="shared" si="8"/>
        <v>6</v>
      </c>
      <c r="B9" t="s">
        <v>59</v>
      </c>
      <c r="C9" s="12" t="s">
        <v>65</v>
      </c>
      <c r="D9" s="13">
        <v>1745.1</v>
      </c>
      <c r="E9" s="13">
        <v>208.98</v>
      </c>
      <c r="F9" s="13">
        <v>0</v>
      </c>
      <c r="G9" s="13">
        <f t="shared" si="9"/>
        <v>1954.08</v>
      </c>
      <c r="H9" s="7">
        <f t="shared" si="0"/>
        <v>1954.08</v>
      </c>
      <c r="I9" s="2">
        <f t="shared" si="1"/>
        <v>21033.717119999998</v>
      </c>
      <c r="J9" s="1">
        <v>12.34</v>
      </c>
      <c r="K9">
        <v>2022</v>
      </c>
      <c r="M9" s="2">
        <v>20070</v>
      </c>
      <c r="N9" s="2">
        <f t="shared" si="2"/>
        <v>1864.5484949832778</v>
      </c>
      <c r="O9" s="9">
        <v>0</v>
      </c>
      <c r="P9" s="2">
        <f t="shared" si="3"/>
        <v>0</v>
      </c>
      <c r="Q9" s="2">
        <v>0</v>
      </c>
      <c r="R9">
        <v>45</v>
      </c>
      <c r="S9">
        <f t="shared" si="4"/>
        <v>1</v>
      </c>
      <c r="T9" s="9">
        <v>0.95</v>
      </c>
      <c r="U9" s="2">
        <f t="shared" si="5"/>
        <v>0</v>
      </c>
      <c r="V9" s="2">
        <f t="shared" si="6"/>
        <v>0</v>
      </c>
      <c r="W9" s="2">
        <f t="shared" si="7"/>
        <v>0</v>
      </c>
    </row>
    <row r="10" spans="1:23" x14ac:dyDescent="0.25">
      <c r="A10" s="11">
        <f t="shared" si="8"/>
        <v>7</v>
      </c>
      <c r="B10" t="s">
        <v>59</v>
      </c>
      <c r="C10" s="12" t="s">
        <v>66</v>
      </c>
      <c r="D10" s="13">
        <v>2037.01</v>
      </c>
      <c r="E10" s="13">
        <v>557.11</v>
      </c>
      <c r="F10" s="13">
        <v>12.6</v>
      </c>
      <c r="G10" s="13">
        <f t="shared" si="9"/>
        <v>2594.12</v>
      </c>
      <c r="H10" s="7">
        <f t="shared" si="0"/>
        <v>2606.7199999999998</v>
      </c>
      <c r="I10" s="2">
        <f t="shared" si="1"/>
        <v>28058.734079999995</v>
      </c>
      <c r="J10" s="1">
        <v>9.1999999999999993</v>
      </c>
      <c r="K10">
        <v>2022</v>
      </c>
      <c r="M10" s="2">
        <v>20070</v>
      </c>
      <c r="N10" s="2">
        <f t="shared" si="2"/>
        <v>1864.5484949832778</v>
      </c>
      <c r="O10" s="9">
        <v>0</v>
      </c>
      <c r="P10" s="2">
        <f t="shared" si="3"/>
        <v>0</v>
      </c>
      <c r="Q10" s="2">
        <v>0</v>
      </c>
      <c r="R10">
        <v>45</v>
      </c>
      <c r="S10">
        <f t="shared" si="4"/>
        <v>1</v>
      </c>
      <c r="T10" s="9">
        <v>0.95</v>
      </c>
      <c r="U10" s="2">
        <f t="shared" si="5"/>
        <v>0</v>
      </c>
      <c r="V10" s="2">
        <f t="shared" si="6"/>
        <v>0</v>
      </c>
      <c r="W10" s="2">
        <f t="shared" si="7"/>
        <v>0</v>
      </c>
    </row>
    <row r="11" spans="1:23" x14ac:dyDescent="0.25">
      <c r="A11" s="11">
        <f t="shared" si="8"/>
        <v>8</v>
      </c>
      <c r="B11" t="s">
        <v>59</v>
      </c>
      <c r="C11" s="12" t="s">
        <v>99</v>
      </c>
      <c r="D11" s="14">
        <v>1049.98</v>
      </c>
      <c r="E11" s="13">
        <v>0</v>
      </c>
      <c r="F11" s="13">
        <v>75.599999999999994</v>
      </c>
      <c r="G11" s="13">
        <f t="shared" si="9"/>
        <v>1049.98</v>
      </c>
      <c r="H11" s="7">
        <f t="shared" si="0"/>
        <v>1125.58</v>
      </c>
      <c r="I11" s="2">
        <f t="shared" si="1"/>
        <v>12115.743119999999</v>
      </c>
      <c r="J11" s="1">
        <v>22.5</v>
      </c>
      <c r="K11">
        <v>2022</v>
      </c>
      <c r="M11" s="2">
        <v>20070</v>
      </c>
      <c r="N11" s="2">
        <f t="shared" si="2"/>
        <v>1864.5484949832778</v>
      </c>
      <c r="O11" s="9">
        <v>0.6</v>
      </c>
      <c r="P11" s="2">
        <f t="shared" si="3"/>
        <v>1118.7290969899666</v>
      </c>
      <c r="Q11" s="2">
        <v>1300</v>
      </c>
      <c r="R11">
        <v>45</v>
      </c>
      <c r="S11">
        <f t="shared" si="4"/>
        <v>1</v>
      </c>
      <c r="T11" s="9">
        <v>0.95</v>
      </c>
      <c r="U11" s="2">
        <f t="shared" si="5"/>
        <v>15750466.055999998</v>
      </c>
      <c r="V11" s="2">
        <f t="shared" si="6"/>
        <v>332509.83895999996</v>
      </c>
      <c r="W11" s="2">
        <f t="shared" si="7"/>
        <v>15417956.217039999</v>
      </c>
    </row>
    <row r="12" spans="1:23" x14ac:dyDescent="0.25">
      <c r="A12" s="11">
        <f t="shared" si="8"/>
        <v>9</v>
      </c>
      <c r="B12" t="s">
        <v>59</v>
      </c>
      <c r="C12" s="12" t="s">
        <v>67</v>
      </c>
      <c r="D12" s="13">
        <v>974.31</v>
      </c>
      <c r="E12" s="13">
        <v>487.16</v>
      </c>
      <c r="F12" s="13">
        <v>0</v>
      </c>
      <c r="G12" s="13">
        <f t="shared" si="9"/>
        <v>1461.47</v>
      </c>
      <c r="H12" s="7">
        <f t="shared" si="0"/>
        <v>1461.47</v>
      </c>
      <c r="I12" s="2">
        <f t="shared" si="1"/>
        <v>15731.263079999999</v>
      </c>
      <c r="J12" s="1">
        <v>7</v>
      </c>
      <c r="K12">
        <v>2022</v>
      </c>
      <c r="L12" t="s">
        <v>85</v>
      </c>
      <c r="M12" s="2">
        <v>20070</v>
      </c>
      <c r="N12" s="2">
        <f t="shared" si="2"/>
        <v>1864.5484949832778</v>
      </c>
      <c r="O12" s="9">
        <v>0.4</v>
      </c>
      <c r="P12" s="2">
        <f t="shared" si="3"/>
        <v>745.81939799331121</v>
      </c>
      <c r="Q12" s="2">
        <v>700</v>
      </c>
      <c r="R12">
        <v>45</v>
      </c>
      <c r="S12">
        <f t="shared" si="4"/>
        <v>1</v>
      </c>
      <c r="T12" s="9">
        <v>0.95</v>
      </c>
      <c r="U12" s="2">
        <f t="shared" si="5"/>
        <v>11011884.155999999</v>
      </c>
      <c r="V12" s="2">
        <f t="shared" si="6"/>
        <v>232473.10996</v>
      </c>
      <c r="W12" s="2">
        <f t="shared" si="7"/>
        <v>10779411.04604</v>
      </c>
    </row>
    <row r="13" spans="1:23" x14ac:dyDescent="0.25">
      <c r="A13" s="11">
        <f t="shared" si="8"/>
        <v>10</v>
      </c>
      <c r="B13" t="s">
        <v>59</v>
      </c>
      <c r="C13" s="12" t="s">
        <v>70</v>
      </c>
      <c r="D13" s="13">
        <v>4920</v>
      </c>
      <c r="E13" s="13">
        <v>2460</v>
      </c>
      <c r="F13" s="13">
        <v>0</v>
      </c>
      <c r="G13" s="13">
        <f t="shared" si="9"/>
        <v>7380</v>
      </c>
      <c r="H13" s="7">
        <f t="shared" si="0"/>
        <v>7380</v>
      </c>
      <c r="I13" s="2">
        <f t="shared" si="1"/>
        <v>79438.319999999992</v>
      </c>
      <c r="J13" s="1">
        <v>12</v>
      </c>
      <c r="K13">
        <v>2022</v>
      </c>
      <c r="L13" t="s">
        <v>85</v>
      </c>
      <c r="M13" s="2">
        <v>20070</v>
      </c>
      <c r="N13" s="2">
        <f t="shared" si="2"/>
        <v>1864.5484949832778</v>
      </c>
      <c r="O13" s="9">
        <v>0.4</v>
      </c>
      <c r="P13" s="2">
        <f t="shared" si="3"/>
        <v>745.81939799331121</v>
      </c>
      <c r="Q13" s="2">
        <v>800</v>
      </c>
      <c r="R13">
        <v>45</v>
      </c>
      <c r="S13">
        <f t="shared" si="4"/>
        <v>1</v>
      </c>
      <c r="T13" s="9">
        <v>0.95</v>
      </c>
      <c r="U13" s="2">
        <f t="shared" si="5"/>
        <v>63550655.999999993</v>
      </c>
      <c r="V13" s="2">
        <f t="shared" si="6"/>
        <v>1341624.96</v>
      </c>
      <c r="W13" s="2">
        <f t="shared" si="7"/>
        <v>62209031.039999992</v>
      </c>
    </row>
    <row r="14" spans="1:23" x14ac:dyDescent="0.25">
      <c r="A14" s="11">
        <f t="shared" si="8"/>
        <v>11</v>
      </c>
      <c r="B14" t="s">
        <v>59</v>
      </c>
      <c r="C14" s="12" t="s">
        <v>71</v>
      </c>
      <c r="D14" s="13">
        <v>131.15</v>
      </c>
      <c r="E14" s="13">
        <v>0</v>
      </c>
      <c r="F14" s="13">
        <v>35.619999999999997</v>
      </c>
      <c r="G14" s="13">
        <f t="shared" si="9"/>
        <v>131.15</v>
      </c>
      <c r="H14" s="7">
        <f t="shared" si="0"/>
        <v>166.77</v>
      </c>
      <c r="I14" s="2">
        <f t="shared" si="1"/>
        <v>1795.1122800000001</v>
      </c>
      <c r="J14" s="1">
        <v>7.2</v>
      </c>
      <c r="K14">
        <v>2022</v>
      </c>
      <c r="M14" s="2">
        <v>20070</v>
      </c>
      <c r="N14" s="2">
        <f t="shared" si="2"/>
        <v>1864.5484949832778</v>
      </c>
      <c r="O14" s="9">
        <v>0.4</v>
      </c>
      <c r="P14" s="2">
        <f t="shared" si="3"/>
        <v>745.81939799331121</v>
      </c>
      <c r="Q14" s="2">
        <v>750</v>
      </c>
      <c r="R14">
        <v>45</v>
      </c>
      <c r="S14">
        <f t="shared" si="4"/>
        <v>1</v>
      </c>
      <c r="T14" s="9">
        <v>0.95</v>
      </c>
      <c r="U14" s="2">
        <f t="shared" si="5"/>
        <v>1346334.21</v>
      </c>
      <c r="V14" s="2">
        <f t="shared" si="6"/>
        <v>28422.611099999998</v>
      </c>
      <c r="W14" s="2">
        <f t="shared" si="7"/>
        <v>1317911.5988999999</v>
      </c>
    </row>
    <row r="15" spans="1:23" x14ac:dyDescent="0.25">
      <c r="A15" s="11">
        <f t="shared" si="8"/>
        <v>12</v>
      </c>
      <c r="B15" t="s">
        <v>59</v>
      </c>
      <c r="C15" s="12" t="s">
        <v>72</v>
      </c>
      <c r="D15" s="13">
        <v>599.95000000000005</v>
      </c>
      <c r="E15" s="13">
        <v>0</v>
      </c>
      <c r="F15" s="13">
        <v>0</v>
      </c>
      <c r="G15" s="13">
        <f t="shared" si="9"/>
        <v>599.95000000000005</v>
      </c>
      <c r="H15" s="7">
        <f t="shared" si="0"/>
        <v>599.95000000000005</v>
      </c>
      <c r="I15" s="2">
        <f t="shared" si="1"/>
        <v>6457.8617999999997</v>
      </c>
      <c r="K15">
        <v>2022</v>
      </c>
      <c r="M15" s="2">
        <v>20070</v>
      </c>
      <c r="N15" s="2">
        <f t="shared" si="2"/>
        <v>1864.5484949832778</v>
      </c>
      <c r="O15" s="9">
        <v>0.4</v>
      </c>
      <c r="P15" s="2">
        <f t="shared" si="3"/>
        <v>745.81939799331121</v>
      </c>
      <c r="Q15" s="2">
        <v>800</v>
      </c>
      <c r="R15">
        <v>45</v>
      </c>
      <c r="S15">
        <f t="shared" si="4"/>
        <v>1</v>
      </c>
      <c r="T15" s="9">
        <v>0.95</v>
      </c>
      <c r="U15" s="2">
        <f t="shared" si="5"/>
        <v>5166289.4399999995</v>
      </c>
      <c r="V15" s="2">
        <f t="shared" si="6"/>
        <v>109066.11039999999</v>
      </c>
      <c r="W15" s="2">
        <f t="shared" si="7"/>
        <v>5057223.3295999998</v>
      </c>
    </row>
    <row r="16" spans="1:23" x14ac:dyDescent="0.25">
      <c r="A16" s="11">
        <f t="shared" si="8"/>
        <v>13</v>
      </c>
      <c r="B16" t="s">
        <v>59</v>
      </c>
      <c r="C16" s="12" t="s">
        <v>73</v>
      </c>
      <c r="D16" s="13">
        <v>437.97</v>
      </c>
      <c r="E16" s="13">
        <v>218.98</v>
      </c>
      <c r="F16" s="13">
        <v>0</v>
      </c>
      <c r="G16" s="13">
        <f t="shared" si="9"/>
        <v>656.95</v>
      </c>
      <c r="H16" s="7">
        <f t="shared" si="0"/>
        <v>656.95</v>
      </c>
      <c r="I16" s="2">
        <f t="shared" si="1"/>
        <v>7071.4098000000004</v>
      </c>
      <c r="J16" s="1">
        <v>34.74</v>
      </c>
      <c r="K16">
        <v>2022</v>
      </c>
      <c r="L16" t="s">
        <v>85</v>
      </c>
      <c r="M16" s="2">
        <v>20070</v>
      </c>
      <c r="N16" s="2">
        <f t="shared" si="2"/>
        <v>1864.5484949832778</v>
      </c>
      <c r="O16" s="9">
        <v>0.5</v>
      </c>
      <c r="P16" s="2">
        <f t="shared" si="3"/>
        <v>932.2742474916389</v>
      </c>
      <c r="Q16" s="2">
        <v>1800</v>
      </c>
      <c r="R16">
        <v>45</v>
      </c>
      <c r="S16">
        <f t="shared" si="4"/>
        <v>1</v>
      </c>
      <c r="T16" s="9">
        <v>0.95</v>
      </c>
      <c r="U16" s="2">
        <f t="shared" si="5"/>
        <v>12728537.640000001</v>
      </c>
      <c r="V16" s="2">
        <f t="shared" si="6"/>
        <v>268713.5724</v>
      </c>
      <c r="W16" s="2">
        <f t="shared" si="7"/>
        <v>12459824.067600001</v>
      </c>
    </row>
    <row r="17" spans="1:23" x14ac:dyDescent="0.25">
      <c r="A17" s="11">
        <f t="shared" si="8"/>
        <v>14</v>
      </c>
      <c r="B17" t="s">
        <v>59</v>
      </c>
      <c r="C17" s="12" t="s">
        <v>74</v>
      </c>
      <c r="D17" s="13">
        <v>137.36000000000001</v>
      </c>
      <c r="E17" s="13">
        <v>0</v>
      </c>
      <c r="F17" s="13">
        <v>0</v>
      </c>
      <c r="G17" s="13">
        <f t="shared" si="9"/>
        <v>137.36000000000001</v>
      </c>
      <c r="H17" s="7">
        <f t="shared" si="0"/>
        <v>137.36000000000001</v>
      </c>
      <c r="I17" s="2">
        <f t="shared" si="1"/>
        <v>1478.54304</v>
      </c>
      <c r="J17" s="1">
        <v>3.65</v>
      </c>
      <c r="K17">
        <v>2022</v>
      </c>
      <c r="L17" t="s">
        <v>88</v>
      </c>
      <c r="M17" s="2">
        <v>23530</v>
      </c>
      <c r="N17" s="2">
        <f t="shared" si="2"/>
        <v>2185.9903381642512</v>
      </c>
      <c r="O17" s="9">
        <v>0.6</v>
      </c>
      <c r="P17" s="2">
        <f t="shared" si="3"/>
        <v>1311.5942028985507</v>
      </c>
      <c r="Q17" s="2">
        <v>1500</v>
      </c>
      <c r="R17">
        <v>60</v>
      </c>
      <c r="S17">
        <f t="shared" si="4"/>
        <v>1</v>
      </c>
      <c r="T17" s="9">
        <v>0.95</v>
      </c>
      <c r="U17" s="2">
        <f t="shared" si="5"/>
        <v>2217814.56</v>
      </c>
      <c r="V17" s="2">
        <f t="shared" si="6"/>
        <v>35115.397199999999</v>
      </c>
      <c r="W17" s="2">
        <f t="shared" si="7"/>
        <v>2182699.1628</v>
      </c>
    </row>
    <row r="18" spans="1:23" x14ac:dyDescent="0.25">
      <c r="A18" s="11">
        <f t="shared" si="8"/>
        <v>15</v>
      </c>
      <c r="B18" t="s">
        <v>59</v>
      </c>
      <c r="C18" s="12" t="s">
        <v>75</v>
      </c>
      <c r="D18" s="13">
        <v>672.01</v>
      </c>
      <c r="E18" s="13">
        <v>336.01</v>
      </c>
      <c r="F18" s="13">
        <v>0</v>
      </c>
      <c r="G18" s="13">
        <f t="shared" si="9"/>
        <v>1008.02</v>
      </c>
      <c r="H18" s="7">
        <f t="shared" si="0"/>
        <v>1008.02</v>
      </c>
      <c r="I18" s="2">
        <f t="shared" si="1"/>
        <v>10850.32728</v>
      </c>
      <c r="J18" s="1">
        <v>10.02</v>
      </c>
      <c r="K18">
        <v>2022</v>
      </c>
      <c r="L18" t="s">
        <v>85</v>
      </c>
      <c r="M18" s="2">
        <v>20070</v>
      </c>
      <c r="N18" s="2">
        <f t="shared" si="2"/>
        <v>1864.5484949832778</v>
      </c>
      <c r="O18" s="9">
        <v>0.55000000000000004</v>
      </c>
      <c r="P18" s="2">
        <f t="shared" si="3"/>
        <v>1025.5016722408029</v>
      </c>
      <c r="Q18" s="2">
        <v>800</v>
      </c>
      <c r="R18">
        <v>45</v>
      </c>
      <c r="S18">
        <f t="shared" si="4"/>
        <v>1</v>
      </c>
      <c r="T18" s="9">
        <v>0.95</v>
      </c>
      <c r="U18" s="2">
        <f t="shared" si="5"/>
        <v>8680261.8239999991</v>
      </c>
      <c r="V18" s="2">
        <f t="shared" si="6"/>
        <v>183249.97183999998</v>
      </c>
      <c r="W18" s="2">
        <f t="shared" si="7"/>
        <v>8497011.8521599993</v>
      </c>
    </row>
    <row r="19" spans="1:23" x14ac:dyDescent="0.25">
      <c r="A19" s="11">
        <f t="shared" si="8"/>
        <v>16</v>
      </c>
      <c r="B19" t="s">
        <v>59</v>
      </c>
      <c r="C19" s="12" t="s">
        <v>76</v>
      </c>
      <c r="D19" s="13">
        <v>1918.1</v>
      </c>
      <c r="E19" s="13">
        <v>959.05</v>
      </c>
      <c r="F19" s="13">
        <v>0</v>
      </c>
      <c r="G19" s="13">
        <f t="shared" si="9"/>
        <v>2877.1499999999996</v>
      </c>
      <c r="H19" s="7">
        <f t="shared" si="0"/>
        <v>2877.1499999999996</v>
      </c>
      <c r="I19" s="2">
        <f t="shared" si="1"/>
        <v>30969.642599999996</v>
      </c>
      <c r="J19" s="1">
        <v>28.73</v>
      </c>
      <c r="K19">
        <v>2022</v>
      </c>
      <c r="M19" s="2">
        <v>20070</v>
      </c>
      <c r="N19" s="2">
        <f t="shared" si="2"/>
        <v>1864.5484949832778</v>
      </c>
      <c r="O19" s="9">
        <v>0</v>
      </c>
      <c r="P19" s="2">
        <f t="shared" si="3"/>
        <v>0</v>
      </c>
      <c r="Q19" s="2">
        <v>0</v>
      </c>
      <c r="R19">
        <v>45</v>
      </c>
      <c r="S19">
        <f t="shared" si="4"/>
        <v>1</v>
      </c>
      <c r="T19" s="9">
        <v>0.95</v>
      </c>
      <c r="U19" s="2">
        <f t="shared" si="5"/>
        <v>0</v>
      </c>
      <c r="V19" s="2">
        <f t="shared" si="6"/>
        <v>0</v>
      </c>
      <c r="W19" s="2">
        <f t="shared" si="7"/>
        <v>0</v>
      </c>
    </row>
    <row r="20" spans="1:23" x14ac:dyDescent="0.25">
      <c r="A20" s="11">
        <f t="shared" si="8"/>
        <v>17</v>
      </c>
      <c r="B20" t="s">
        <v>59</v>
      </c>
      <c r="C20" s="12" t="s">
        <v>77</v>
      </c>
      <c r="D20" s="13">
        <v>77.44</v>
      </c>
      <c r="E20" s="13">
        <v>0</v>
      </c>
      <c r="F20" s="13">
        <v>0</v>
      </c>
      <c r="G20" s="13">
        <f t="shared" si="9"/>
        <v>77.44</v>
      </c>
      <c r="H20" s="7">
        <f t="shared" si="0"/>
        <v>77.44</v>
      </c>
      <c r="I20" s="2">
        <f t="shared" si="1"/>
        <v>833.5641599999999</v>
      </c>
      <c r="J20" s="1">
        <v>4.05</v>
      </c>
      <c r="K20">
        <v>2022</v>
      </c>
      <c r="L20" t="s">
        <v>88</v>
      </c>
      <c r="M20" s="2">
        <v>23530</v>
      </c>
      <c r="N20" s="2">
        <f t="shared" si="2"/>
        <v>2185.9903381642512</v>
      </c>
      <c r="O20" s="9">
        <v>0.6</v>
      </c>
      <c r="P20" s="2">
        <f t="shared" si="3"/>
        <v>1311.5942028985507</v>
      </c>
      <c r="Q20" s="2">
        <v>1400</v>
      </c>
      <c r="R20">
        <v>60</v>
      </c>
      <c r="S20">
        <f t="shared" si="4"/>
        <v>1</v>
      </c>
      <c r="T20" s="9">
        <v>0.95</v>
      </c>
      <c r="U20" s="2">
        <f t="shared" si="5"/>
        <v>1166989.8239999998</v>
      </c>
      <c r="V20" s="2">
        <f t="shared" si="6"/>
        <v>18477.338879999996</v>
      </c>
      <c r="W20" s="2">
        <f t="shared" si="7"/>
        <v>1148512.4851199999</v>
      </c>
    </row>
    <row r="21" spans="1:23" x14ac:dyDescent="0.25">
      <c r="A21" s="11">
        <f t="shared" si="8"/>
        <v>18</v>
      </c>
      <c r="B21" t="s">
        <v>59</v>
      </c>
      <c r="C21" s="12" t="s">
        <v>78</v>
      </c>
      <c r="D21" s="13">
        <v>585.12</v>
      </c>
      <c r="E21" s="13">
        <v>0</v>
      </c>
      <c r="F21" s="13">
        <v>41.7</v>
      </c>
      <c r="G21" s="13">
        <f t="shared" si="9"/>
        <v>585.12</v>
      </c>
      <c r="H21" s="7">
        <f t="shared" si="0"/>
        <v>626.82000000000005</v>
      </c>
      <c r="I21" s="2">
        <f t="shared" si="1"/>
        <v>6747.0904799999998</v>
      </c>
      <c r="J21" s="1">
        <v>7.65</v>
      </c>
      <c r="K21">
        <v>2022</v>
      </c>
      <c r="L21" t="s">
        <v>88</v>
      </c>
      <c r="M21" s="2">
        <v>23530</v>
      </c>
      <c r="N21" s="2">
        <f t="shared" si="2"/>
        <v>2185.9903381642512</v>
      </c>
      <c r="O21" s="9">
        <v>0.7</v>
      </c>
      <c r="P21" s="2">
        <f t="shared" si="3"/>
        <v>1530.1932367149757</v>
      </c>
      <c r="Q21" s="2">
        <v>1500</v>
      </c>
      <c r="R21">
        <v>60</v>
      </c>
      <c r="S21">
        <f t="shared" si="4"/>
        <v>1</v>
      </c>
      <c r="T21" s="9">
        <v>0.95</v>
      </c>
      <c r="U21" s="2">
        <f t="shared" si="5"/>
        <v>10120635.720000001</v>
      </c>
      <c r="V21" s="2">
        <f t="shared" si="6"/>
        <v>160243.3989</v>
      </c>
      <c r="W21" s="2">
        <f t="shared" si="7"/>
        <v>9960392.3211000003</v>
      </c>
    </row>
    <row r="22" spans="1:23" x14ac:dyDescent="0.25">
      <c r="A22" s="11">
        <f t="shared" si="8"/>
        <v>19</v>
      </c>
      <c r="B22" t="s">
        <v>59</v>
      </c>
      <c r="C22" s="12" t="s">
        <v>79</v>
      </c>
      <c r="D22" s="13">
        <v>38.93</v>
      </c>
      <c r="E22" s="13">
        <v>0</v>
      </c>
      <c r="F22" s="13">
        <v>0</v>
      </c>
      <c r="G22" s="13">
        <f t="shared" si="9"/>
        <v>38.93</v>
      </c>
      <c r="H22" s="7">
        <f t="shared" si="0"/>
        <v>38.93</v>
      </c>
      <c r="I22" s="2">
        <f t="shared" si="1"/>
        <v>419.04251999999997</v>
      </c>
      <c r="J22" s="1">
        <v>3.6</v>
      </c>
      <c r="K22">
        <v>2022</v>
      </c>
      <c r="L22" t="s">
        <v>88</v>
      </c>
      <c r="M22" s="2">
        <v>23530</v>
      </c>
      <c r="N22" s="2">
        <f t="shared" si="2"/>
        <v>2185.9903381642512</v>
      </c>
      <c r="O22" s="9">
        <v>0.5</v>
      </c>
      <c r="P22" s="2">
        <f t="shared" si="3"/>
        <v>1092.9951690821256</v>
      </c>
      <c r="Q22" s="2">
        <v>1200</v>
      </c>
      <c r="R22">
        <v>60</v>
      </c>
      <c r="S22">
        <f t="shared" si="4"/>
        <v>1</v>
      </c>
      <c r="T22" s="9">
        <v>0.95</v>
      </c>
      <c r="U22" s="2">
        <f t="shared" si="5"/>
        <v>502851.02399999998</v>
      </c>
      <c r="V22" s="2">
        <f t="shared" si="6"/>
        <v>7961.8078799999985</v>
      </c>
      <c r="W22" s="2">
        <f t="shared" si="7"/>
        <v>494889.21612</v>
      </c>
    </row>
    <row r="23" spans="1:23" x14ac:dyDescent="0.25">
      <c r="A23" s="11">
        <f t="shared" si="8"/>
        <v>20</v>
      </c>
      <c r="B23" t="s">
        <v>59</v>
      </c>
      <c r="C23" s="12" t="s">
        <v>80</v>
      </c>
      <c r="D23" s="13">
        <v>131.15</v>
      </c>
      <c r="E23" s="13">
        <v>0</v>
      </c>
      <c r="F23" s="13">
        <v>35.619999999999997</v>
      </c>
      <c r="G23" s="13">
        <f t="shared" si="9"/>
        <v>131.15</v>
      </c>
      <c r="H23" s="7">
        <f t="shared" si="0"/>
        <v>166.77</v>
      </c>
      <c r="I23" s="2">
        <f t="shared" si="1"/>
        <v>1795.1122800000001</v>
      </c>
      <c r="J23" s="1">
        <v>7.3</v>
      </c>
      <c r="K23">
        <v>2022</v>
      </c>
      <c r="M23" s="2">
        <v>20070</v>
      </c>
      <c r="N23" s="2">
        <f t="shared" si="2"/>
        <v>1864.5484949832778</v>
      </c>
      <c r="O23" s="9">
        <v>0.6</v>
      </c>
      <c r="P23" s="2">
        <f t="shared" si="3"/>
        <v>1118.7290969899666</v>
      </c>
      <c r="Q23" s="26">
        <v>1100</v>
      </c>
      <c r="R23">
        <v>45</v>
      </c>
      <c r="S23">
        <f t="shared" si="4"/>
        <v>1</v>
      </c>
      <c r="T23" s="9">
        <v>0.95</v>
      </c>
      <c r="U23" s="2">
        <f t="shared" si="5"/>
        <v>1974623.5080000001</v>
      </c>
      <c r="V23" s="2">
        <f t="shared" si="6"/>
        <v>41686.496280000007</v>
      </c>
      <c r="W23" s="2">
        <f t="shared" si="7"/>
        <v>1932937.0117200001</v>
      </c>
    </row>
    <row r="24" spans="1:23" x14ac:dyDescent="0.25">
      <c r="A24" s="11">
        <f t="shared" si="8"/>
        <v>21</v>
      </c>
      <c r="B24" t="s">
        <v>59</v>
      </c>
      <c r="C24" s="12" t="s">
        <v>109</v>
      </c>
      <c r="D24" s="13">
        <v>507.3</v>
      </c>
      <c r="E24" s="13">
        <v>253.65</v>
      </c>
      <c r="F24" s="13">
        <v>0</v>
      </c>
      <c r="G24" s="13">
        <f t="shared" si="9"/>
        <v>760.95</v>
      </c>
      <c r="H24" s="7">
        <f t="shared" si="0"/>
        <v>760.95</v>
      </c>
      <c r="I24" s="2">
        <f t="shared" si="1"/>
        <v>8190.8657999999996</v>
      </c>
      <c r="J24" s="1">
        <v>5.6</v>
      </c>
      <c r="K24">
        <v>2022</v>
      </c>
      <c r="L24" t="s">
        <v>85</v>
      </c>
      <c r="M24" s="2">
        <v>20070</v>
      </c>
      <c r="N24" s="2">
        <f t="shared" si="2"/>
        <v>1864.5484949832778</v>
      </c>
      <c r="O24" s="9">
        <v>0.5</v>
      </c>
      <c r="P24" s="2">
        <f t="shared" si="3"/>
        <v>932.2742474916389</v>
      </c>
      <c r="Q24" s="2">
        <v>800</v>
      </c>
      <c r="R24">
        <v>45</v>
      </c>
      <c r="S24">
        <f t="shared" si="4"/>
        <v>1</v>
      </c>
      <c r="T24" s="9">
        <v>0.95</v>
      </c>
      <c r="U24" s="2">
        <f t="shared" si="5"/>
        <v>6552692.6399999997</v>
      </c>
      <c r="V24" s="2">
        <f t="shared" si="6"/>
        <v>138334.62239999999</v>
      </c>
      <c r="W24" s="2">
        <f t="shared" si="7"/>
        <v>6414358.0175999999</v>
      </c>
    </row>
    <row r="25" spans="1:23" x14ac:dyDescent="0.25">
      <c r="A25" s="11">
        <f t="shared" si="8"/>
        <v>22</v>
      </c>
      <c r="B25" t="s">
        <v>59</v>
      </c>
      <c r="C25" s="12" t="s">
        <v>110</v>
      </c>
      <c r="D25" s="13">
        <v>64.53</v>
      </c>
      <c r="E25" s="13">
        <v>32.26</v>
      </c>
      <c r="F25" s="13">
        <v>0</v>
      </c>
      <c r="G25" s="13">
        <f t="shared" si="9"/>
        <v>96.789999999999992</v>
      </c>
      <c r="H25" s="7">
        <f t="shared" si="0"/>
        <v>96.789999999999992</v>
      </c>
      <c r="I25" s="2">
        <f t="shared" si="1"/>
        <v>1041.8475599999999</v>
      </c>
      <c r="J25" s="1">
        <v>5.6</v>
      </c>
      <c r="K25">
        <v>2022</v>
      </c>
      <c r="L25" t="s">
        <v>85</v>
      </c>
      <c r="M25" s="2">
        <v>20070</v>
      </c>
      <c r="N25" s="2">
        <f t="shared" si="2"/>
        <v>1864.5484949832778</v>
      </c>
      <c r="O25" s="9">
        <v>0.5</v>
      </c>
      <c r="P25" s="2">
        <f t="shared" si="3"/>
        <v>932.2742474916389</v>
      </c>
      <c r="Q25" s="2">
        <v>800</v>
      </c>
      <c r="R25">
        <v>45</v>
      </c>
      <c r="S25">
        <f t="shared" si="4"/>
        <v>1</v>
      </c>
      <c r="T25" s="9">
        <v>0.95</v>
      </c>
      <c r="U25" s="2">
        <f t="shared" si="5"/>
        <v>833478.04799999995</v>
      </c>
      <c r="V25" s="2">
        <f t="shared" si="6"/>
        <v>17595.647679999998</v>
      </c>
      <c r="W25" s="2">
        <f t="shared" si="7"/>
        <v>815882.4003199999</v>
      </c>
    </row>
    <row r="26" spans="1:23" x14ac:dyDescent="0.25">
      <c r="A26" s="11">
        <f t="shared" si="8"/>
        <v>23</v>
      </c>
      <c r="B26" t="s">
        <v>59</v>
      </c>
      <c r="C26" s="12" t="s">
        <v>111</v>
      </c>
      <c r="D26" s="13">
        <v>91.23</v>
      </c>
      <c r="E26" s="13">
        <v>45.61</v>
      </c>
      <c r="F26" s="13">
        <v>0</v>
      </c>
      <c r="G26" s="13">
        <f t="shared" si="9"/>
        <v>136.84</v>
      </c>
      <c r="H26" s="7">
        <f t="shared" si="0"/>
        <v>136.84</v>
      </c>
      <c r="I26" s="2">
        <f t="shared" si="1"/>
        <v>1472.9457599999998</v>
      </c>
      <c r="J26" s="1">
        <v>5.6</v>
      </c>
      <c r="K26">
        <v>2022</v>
      </c>
      <c r="L26" t="s">
        <v>85</v>
      </c>
      <c r="M26" s="2">
        <v>20070</v>
      </c>
      <c r="N26" s="2">
        <f t="shared" si="2"/>
        <v>1864.5484949832778</v>
      </c>
      <c r="O26" s="9">
        <v>0.5</v>
      </c>
      <c r="P26" s="2">
        <f t="shared" si="3"/>
        <v>932.2742474916389</v>
      </c>
      <c r="Q26" s="2">
        <v>800</v>
      </c>
      <c r="R26">
        <v>45</v>
      </c>
      <c r="S26">
        <f t="shared" si="4"/>
        <v>1</v>
      </c>
      <c r="T26" s="9">
        <v>0.95</v>
      </c>
      <c r="U26" s="2">
        <f t="shared" si="5"/>
        <v>1178356.6079999998</v>
      </c>
      <c r="V26" s="2">
        <f t="shared" si="6"/>
        <v>24876.417279999994</v>
      </c>
      <c r="W26" s="2">
        <f t="shared" si="7"/>
        <v>1153480.1907199998</v>
      </c>
    </row>
    <row r="27" spans="1:23" x14ac:dyDescent="0.25">
      <c r="A27" s="11">
        <f t="shared" si="8"/>
        <v>24</v>
      </c>
      <c r="B27" t="s">
        <v>59</v>
      </c>
      <c r="C27" s="12" t="s">
        <v>112</v>
      </c>
      <c r="D27" s="13">
        <v>103</v>
      </c>
      <c r="E27" s="13">
        <v>0</v>
      </c>
      <c r="F27" s="13">
        <v>0</v>
      </c>
      <c r="G27" s="13">
        <f t="shared" si="9"/>
        <v>103</v>
      </c>
      <c r="H27" s="7">
        <f t="shared" si="0"/>
        <v>103</v>
      </c>
      <c r="I27" s="2">
        <f t="shared" si="1"/>
        <v>1108.692</v>
      </c>
      <c r="J27" s="1">
        <v>3.6</v>
      </c>
      <c r="K27">
        <v>2022</v>
      </c>
      <c r="L27" t="s">
        <v>88</v>
      </c>
      <c r="M27" s="2">
        <v>23530</v>
      </c>
      <c r="N27" s="2">
        <f t="shared" si="2"/>
        <v>2185.9903381642512</v>
      </c>
      <c r="O27" s="9">
        <v>0.5</v>
      </c>
      <c r="P27" s="2">
        <f t="shared" si="3"/>
        <v>1092.9951690821256</v>
      </c>
      <c r="Q27" s="2">
        <v>1200</v>
      </c>
      <c r="R27">
        <v>60</v>
      </c>
      <c r="S27">
        <f t="shared" si="4"/>
        <v>1</v>
      </c>
      <c r="T27" s="9">
        <v>0.95</v>
      </c>
      <c r="U27" s="2">
        <f t="shared" si="5"/>
        <v>1330430.3999999999</v>
      </c>
      <c r="V27" s="2">
        <f t="shared" si="6"/>
        <v>21065.147999999997</v>
      </c>
      <c r="W27" s="2">
        <f t="shared" si="7"/>
        <v>1309365.2519999999</v>
      </c>
    </row>
    <row r="28" spans="1:23" x14ac:dyDescent="0.25">
      <c r="A28" s="11">
        <f t="shared" si="8"/>
        <v>25</v>
      </c>
      <c r="B28" t="s">
        <v>59</v>
      </c>
      <c r="C28" s="12" t="s">
        <v>81</v>
      </c>
      <c r="D28" s="13">
        <v>690.58</v>
      </c>
      <c r="E28" s="13">
        <v>30</v>
      </c>
      <c r="F28" s="13">
        <v>0</v>
      </c>
      <c r="G28" s="13">
        <f t="shared" si="9"/>
        <v>720.58</v>
      </c>
      <c r="H28" s="7">
        <f t="shared" si="0"/>
        <v>720.58</v>
      </c>
      <c r="I28" s="2">
        <f t="shared" si="1"/>
        <v>7756.32312</v>
      </c>
      <c r="K28">
        <v>2022</v>
      </c>
      <c r="M28" s="2">
        <v>20070</v>
      </c>
      <c r="N28" s="2">
        <f t="shared" si="2"/>
        <v>1864.5484949832778</v>
      </c>
      <c r="O28" s="9">
        <v>0</v>
      </c>
      <c r="P28" s="2">
        <f t="shared" si="3"/>
        <v>0</v>
      </c>
      <c r="Q28" s="2">
        <v>0</v>
      </c>
      <c r="R28">
        <v>45</v>
      </c>
      <c r="S28">
        <f t="shared" si="4"/>
        <v>1</v>
      </c>
      <c r="T28" s="9">
        <v>0.95</v>
      </c>
      <c r="U28" s="2">
        <f t="shared" si="5"/>
        <v>0</v>
      </c>
      <c r="V28" s="2">
        <f t="shared" si="6"/>
        <v>0</v>
      </c>
      <c r="W28" s="2">
        <f t="shared" si="7"/>
        <v>0</v>
      </c>
    </row>
    <row r="29" spans="1:23" x14ac:dyDescent="0.25">
      <c r="A29" s="11">
        <f t="shared" si="8"/>
        <v>26</v>
      </c>
      <c r="B29" t="s">
        <v>59</v>
      </c>
      <c r="C29" s="12" t="s">
        <v>82</v>
      </c>
      <c r="D29" s="13">
        <v>297.5</v>
      </c>
      <c r="E29" s="13">
        <v>148.75</v>
      </c>
      <c r="F29" s="13">
        <v>0</v>
      </c>
      <c r="G29" s="13">
        <f t="shared" si="9"/>
        <v>446.25</v>
      </c>
      <c r="H29" s="7">
        <f t="shared" si="0"/>
        <v>446.25</v>
      </c>
      <c r="I29" s="2">
        <f t="shared" si="1"/>
        <v>4803.4349999999995</v>
      </c>
      <c r="J29" s="1">
        <v>7.13</v>
      </c>
      <c r="K29">
        <v>2022</v>
      </c>
      <c r="L29" t="s">
        <v>85</v>
      </c>
      <c r="M29" s="2">
        <v>20070</v>
      </c>
      <c r="N29" s="2">
        <f t="shared" si="2"/>
        <v>1864.5484949832778</v>
      </c>
      <c r="O29" s="9">
        <v>0.5</v>
      </c>
      <c r="P29" s="2">
        <f t="shared" si="3"/>
        <v>932.2742474916389</v>
      </c>
      <c r="Q29" s="2">
        <v>800</v>
      </c>
      <c r="R29">
        <v>45</v>
      </c>
      <c r="S29">
        <f t="shared" si="4"/>
        <v>1</v>
      </c>
      <c r="T29" s="9">
        <v>0.95</v>
      </c>
      <c r="U29" s="2">
        <f t="shared" si="5"/>
        <v>3842747.9999999995</v>
      </c>
      <c r="V29" s="2">
        <f t="shared" si="6"/>
        <v>81124.679999999993</v>
      </c>
      <c r="W29" s="2">
        <f t="shared" si="7"/>
        <v>3761623.3199999994</v>
      </c>
    </row>
    <row r="30" spans="1:23" x14ac:dyDescent="0.25">
      <c r="A30" s="11">
        <f t="shared" si="8"/>
        <v>27</v>
      </c>
      <c r="B30" t="s">
        <v>59</v>
      </c>
      <c r="C30" s="12" t="s">
        <v>83</v>
      </c>
      <c r="D30" s="13">
        <v>1574.24</v>
      </c>
      <c r="E30" s="13">
        <v>787.12</v>
      </c>
      <c r="F30" s="13">
        <v>0</v>
      </c>
      <c r="G30" s="13">
        <f t="shared" si="9"/>
        <v>2361.36</v>
      </c>
      <c r="H30" s="7">
        <f t="shared" si="0"/>
        <v>2361.36</v>
      </c>
      <c r="I30" s="2">
        <f t="shared" si="1"/>
        <v>25417.679039999999</v>
      </c>
      <c r="J30" s="1">
        <v>16.2</v>
      </c>
      <c r="K30">
        <v>2022</v>
      </c>
      <c r="M30" s="2">
        <v>20070</v>
      </c>
      <c r="N30" s="2">
        <f t="shared" si="2"/>
        <v>1864.5484949832778</v>
      </c>
      <c r="O30" s="9">
        <v>0.5</v>
      </c>
      <c r="P30" s="2">
        <f t="shared" si="3"/>
        <v>932.2742474916389</v>
      </c>
      <c r="Q30" s="2">
        <v>1600</v>
      </c>
      <c r="R30">
        <v>45</v>
      </c>
      <c r="S30">
        <f t="shared" si="4"/>
        <v>1</v>
      </c>
      <c r="T30" s="9">
        <v>0.95</v>
      </c>
      <c r="U30" s="2">
        <f t="shared" si="5"/>
        <v>40668286.464000002</v>
      </c>
      <c r="V30" s="2">
        <f t="shared" si="6"/>
        <v>858552.71424</v>
      </c>
      <c r="W30" s="2">
        <f t="shared" si="7"/>
        <v>39809733.749760002</v>
      </c>
    </row>
    <row r="31" spans="1:23" x14ac:dyDescent="0.25">
      <c r="A31" s="11">
        <f t="shared" si="8"/>
        <v>28</v>
      </c>
      <c r="B31" t="s">
        <v>58</v>
      </c>
      <c r="C31" s="18" t="s">
        <v>22</v>
      </c>
      <c r="H31">
        <v>514.57000000000005</v>
      </c>
      <c r="I31" s="2">
        <f t="shared" si="1"/>
        <v>5538.8314799999998</v>
      </c>
      <c r="K31">
        <v>2007</v>
      </c>
      <c r="L31" t="s">
        <v>88</v>
      </c>
      <c r="M31" s="2">
        <v>23530</v>
      </c>
      <c r="N31" s="2">
        <f t="shared" si="2"/>
        <v>2185.9903381642512</v>
      </c>
      <c r="O31" s="9">
        <v>0.7</v>
      </c>
      <c r="P31" s="2">
        <f t="shared" si="3"/>
        <v>1530.1932367149757</v>
      </c>
      <c r="Q31" s="2">
        <v>1500</v>
      </c>
      <c r="R31">
        <v>60</v>
      </c>
      <c r="S31">
        <f t="shared" si="4"/>
        <v>16</v>
      </c>
      <c r="T31" s="9">
        <v>0.95</v>
      </c>
      <c r="U31" s="2">
        <f t="shared" si="5"/>
        <v>8308247.2199999997</v>
      </c>
      <c r="V31" s="2">
        <f t="shared" si="6"/>
        <v>2104755.9623999996</v>
      </c>
      <c r="W31" s="2">
        <f t="shared" si="7"/>
        <v>6203491.2576000001</v>
      </c>
    </row>
    <row r="32" spans="1:23" x14ac:dyDescent="0.25">
      <c r="A32" s="11">
        <f t="shared" si="8"/>
        <v>29</v>
      </c>
      <c r="B32" t="s">
        <v>58</v>
      </c>
      <c r="C32" s="18" t="s">
        <v>23</v>
      </c>
      <c r="H32">
        <v>324.58</v>
      </c>
      <c r="I32" s="2">
        <f t="shared" si="1"/>
        <v>3493.7791199999997</v>
      </c>
      <c r="K32">
        <v>2007</v>
      </c>
      <c r="L32" t="s">
        <v>88</v>
      </c>
      <c r="M32" s="2">
        <v>23530</v>
      </c>
      <c r="N32" s="2">
        <f t="shared" si="2"/>
        <v>2185.9903381642512</v>
      </c>
      <c r="O32" s="9">
        <v>0.6</v>
      </c>
      <c r="P32" s="2">
        <f t="shared" si="3"/>
        <v>1311.5942028985507</v>
      </c>
      <c r="Q32" s="2">
        <v>1400</v>
      </c>
      <c r="R32">
        <v>60</v>
      </c>
      <c r="S32">
        <f t="shared" si="4"/>
        <v>16</v>
      </c>
      <c r="T32" s="9">
        <v>0.95</v>
      </c>
      <c r="U32" s="2">
        <f t="shared" si="5"/>
        <v>4891290.7679999992</v>
      </c>
      <c r="V32" s="2">
        <f t="shared" si="6"/>
        <v>1239126.9945599996</v>
      </c>
      <c r="W32" s="2">
        <f t="shared" si="7"/>
        <v>3652163.7734399997</v>
      </c>
    </row>
    <row r="33" spans="1:23" x14ac:dyDescent="0.25">
      <c r="A33" s="11">
        <f t="shared" si="8"/>
        <v>30</v>
      </c>
      <c r="B33" t="s">
        <v>58</v>
      </c>
      <c r="C33" s="18" t="s">
        <v>24</v>
      </c>
      <c r="H33">
        <v>22.4</v>
      </c>
      <c r="I33" s="2">
        <f t="shared" si="1"/>
        <v>241.11359999999996</v>
      </c>
      <c r="K33">
        <v>2007</v>
      </c>
      <c r="L33" t="s">
        <v>88</v>
      </c>
      <c r="M33" s="2">
        <v>23530</v>
      </c>
      <c r="N33" s="2">
        <f t="shared" si="2"/>
        <v>2185.9903381642512</v>
      </c>
      <c r="O33" s="9">
        <v>0.2</v>
      </c>
      <c r="P33" s="2">
        <f t="shared" si="3"/>
        <v>437.19806763285027</v>
      </c>
      <c r="Q33" s="2">
        <v>1200</v>
      </c>
      <c r="R33">
        <v>60</v>
      </c>
      <c r="S33">
        <f t="shared" si="4"/>
        <v>16</v>
      </c>
      <c r="T33" s="9">
        <v>0.95</v>
      </c>
      <c r="U33" s="2">
        <f t="shared" si="5"/>
        <v>289336.31999999995</v>
      </c>
      <c r="V33" s="2">
        <f t="shared" si="6"/>
        <v>73298.534399999975</v>
      </c>
      <c r="W33" s="2">
        <f t="shared" si="7"/>
        <v>216037.78559999997</v>
      </c>
    </row>
    <row r="34" spans="1:23" x14ac:dyDescent="0.25">
      <c r="A34" s="11">
        <f t="shared" si="8"/>
        <v>31</v>
      </c>
      <c r="B34" t="s">
        <v>58</v>
      </c>
      <c r="C34" s="18" t="s">
        <v>25</v>
      </c>
      <c r="H34">
        <v>3434.76</v>
      </c>
      <c r="I34" s="2">
        <f t="shared" si="1"/>
        <v>36971.75664</v>
      </c>
      <c r="K34">
        <v>2007</v>
      </c>
      <c r="M34" s="2">
        <v>20070</v>
      </c>
      <c r="N34" s="2">
        <f t="shared" si="2"/>
        <v>1864.5484949832778</v>
      </c>
      <c r="O34" s="9">
        <v>0.55000000000000004</v>
      </c>
      <c r="P34" s="2">
        <f t="shared" si="3"/>
        <v>1025.5016722408029</v>
      </c>
      <c r="Q34" s="26">
        <v>1400</v>
      </c>
      <c r="R34">
        <v>45</v>
      </c>
      <c r="S34">
        <f t="shared" si="4"/>
        <v>16</v>
      </c>
      <c r="T34" s="9">
        <v>0.95</v>
      </c>
      <c r="U34" s="2">
        <f t="shared" si="5"/>
        <v>51760459.295999996</v>
      </c>
      <c r="V34" s="2">
        <f t="shared" si="6"/>
        <v>17483532.91776</v>
      </c>
      <c r="W34" s="2">
        <f t="shared" si="7"/>
        <v>34276926.378239997</v>
      </c>
    </row>
    <row r="35" spans="1:23" x14ac:dyDescent="0.25">
      <c r="A35" s="11">
        <f t="shared" si="8"/>
        <v>32</v>
      </c>
      <c r="B35" t="s">
        <v>58</v>
      </c>
      <c r="C35" s="18" t="s">
        <v>26</v>
      </c>
      <c r="H35">
        <v>2808</v>
      </c>
      <c r="I35" s="2">
        <f t="shared" si="1"/>
        <v>30225.311999999998</v>
      </c>
      <c r="K35">
        <v>2007</v>
      </c>
      <c r="M35" s="2">
        <v>20070</v>
      </c>
      <c r="N35" s="2">
        <f t="shared" si="2"/>
        <v>1864.5484949832778</v>
      </c>
      <c r="O35" s="9">
        <v>0.5</v>
      </c>
      <c r="P35" s="2">
        <f t="shared" si="3"/>
        <v>932.2742474916389</v>
      </c>
      <c r="Q35" s="2">
        <v>0</v>
      </c>
      <c r="R35">
        <v>45</v>
      </c>
      <c r="S35">
        <f t="shared" si="4"/>
        <v>16</v>
      </c>
      <c r="T35" s="9">
        <v>0.95</v>
      </c>
      <c r="U35" s="2">
        <f t="shared" si="5"/>
        <v>0</v>
      </c>
      <c r="V35" s="2">
        <f t="shared" si="6"/>
        <v>0</v>
      </c>
      <c r="W35" s="2">
        <f t="shared" si="7"/>
        <v>0</v>
      </c>
    </row>
    <row r="36" spans="1:23" x14ac:dyDescent="0.25">
      <c r="A36" s="11">
        <f t="shared" si="8"/>
        <v>33</v>
      </c>
      <c r="B36" t="s">
        <v>58</v>
      </c>
      <c r="C36" s="18" t="s">
        <v>27</v>
      </c>
      <c r="H36">
        <v>10557.98</v>
      </c>
      <c r="I36" s="2">
        <f t="shared" si="1"/>
        <v>113646.09671999999</v>
      </c>
      <c r="K36">
        <v>2007</v>
      </c>
      <c r="L36" t="s">
        <v>85</v>
      </c>
      <c r="M36" s="2">
        <v>20070</v>
      </c>
      <c r="N36" s="2">
        <f t="shared" si="2"/>
        <v>1864.5484949832778</v>
      </c>
      <c r="O36" s="9">
        <v>0.65</v>
      </c>
      <c r="P36" s="2">
        <f t="shared" si="3"/>
        <v>1211.9565217391307</v>
      </c>
      <c r="Q36" s="26">
        <v>1600</v>
      </c>
      <c r="R36">
        <v>45</v>
      </c>
      <c r="S36">
        <f t="shared" si="4"/>
        <v>16</v>
      </c>
      <c r="T36" s="9">
        <v>0.95</v>
      </c>
      <c r="U36" s="2">
        <f t="shared" si="5"/>
        <v>181833754.75199997</v>
      </c>
      <c r="V36" s="2">
        <f t="shared" si="6"/>
        <v>61419401.605119996</v>
      </c>
      <c r="W36" s="2">
        <f t="shared" si="7"/>
        <v>120414353.14687997</v>
      </c>
    </row>
    <row r="37" spans="1:23" x14ac:dyDescent="0.25">
      <c r="A37" s="11">
        <f t="shared" si="8"/>
        <v>34</v>
      </c>
      <c r="B37" t="s">
        <v>58</v>
      </c>
      <c r="C37" s="18" t="s">
        <v>33</v>
      </c>
      <c r="H37">
        <v>56.25</v>
      </c>
      <c r="I37" s="2">
        <f t="shared" si="1"/>
        <v>605.47499999999991</v>
      </c>
      <c r="K37">
        <v>2007</v>
      </c>
      <c r="L37" t="s">
        <v>88</v>
      </c>
      <c r="M37" s="2">
        <v>23530</v>
      </c>
      <c r="N37" s="2">
        <f t="shared" si="2"/>
        <v>2185.9903381642512</v>
      </c>
      <c r="O37" s="9">
        <v>0.5</v>
      </c>
      <c r="P37" s="2">
        <f t="shared" si="3"/>
        <v>1092.9951690821256</v>
      </c>
      <c r="Q37" s="2">
        <v>1200</v>
      </c>
      <c r="R37">
        <v>60</v>
      </c>
      <c r="S37">
        <f t="shared" si="4"/>
        <v>16</v>
      </c>
      <c r="T37" s="9">
        <v>0.95</v>
      </c>
      <c r="U37" s="2">
        <f t="shared" si="5"/>
        <v>726569.99999999988</v>
      </c>
      <c r="V37" s="2">
        <f t="shared" si="6"/>
        <v>184064.39999999994</v>
      </c>
      <c r="W37" s="2">
        <f t="shared" si="7"/>
        <v>542505.6</v>
      </c>
    </row>
    <row r="38" spans="1:23" x14ac:dyDescent="0.25">
      <c r="A38" s="11">
        <f t="shared" si="8"/>
        <v>35</v>
      </c>
      <c r="B38" t="s">
        <v>58</v>
      </c>
      <c r="C38" s="18" t="s">
        <v>28</v>
      </c>
      <c r="H38">
        <v>838.78</v>
      </c>
      <c r="I38" s="2">
        <f t="shared" si="1"/>
        <v>9028.627919999999</v>
      </c>
      <c r="K38">
        <v>2007</v>
      </c>
      <c r="M38" s="2">
        <v>20070</v>
      </c>
      <c r="N38" s="2">
        <f t="shared" si="2"/>
        <v>1864.5484949832778</v>
      </c>
      <c r="O38" s="9">
        <v>0.55000000000000004</v>
      </c>
      <c r="P38" s="2">
        <f t="shared" si="3"/>
        <v>1025.5016722408029</v>
      </c>
      <c r="Q38" s="2">
        <v>1200</v>
      </c>
      <c r="R38">
        <v>45</v>
      </c>
      <c r="S38">
        <f t="shared" si="4"/>
        <v>16</v>
      </c>
      <c r="T38" s="9">
        <v>0.95</v>
      </c>
      <c r="U38" s="2">
        <f t="shared" si="5"/>
        <v>10834353.503999999</v>
      </c>
      <c r="V38" s="2">
        <f t="shared" si="6"/>
        <v>3659603.8502399996</v>
      </c>
      <c r="W38" s="2">
        <f t="shared" si="7"/>
        <v>7174749.6537599992</v>
      </c>
    </row>
    <row r="39" spans="1:23" x14ac:dyDescent="0.25">
      <c r="A39" s="11">
        <f t="shared" si="8"/>
        <v>36</v>
      </c>
      <c r="B39" t="s">
        <v>58</v>
      </c>
      <c r="C39" s="18" t="s">
        <v>29</v>
      </c>
      <c r="H39">
        <v>2683.31</v>
      </c>
      <c r="I39" s="2">
        <f t="shared" si="1"/>
        <v>28883.148839999998</v>
      </c>
      <c r="K39">
        <v>2007</v>
      </c>
      <c r="M39" s="2">
        <v>20070</v>
      </c>
      <c r="N39" s="2">
        <f t="shared" si="2"/>
        <v>1864.5484949832778</v>
      </c>
      <c r="O39" s="9">
        <v>0.5</v>
      </c>
      <c r="P39" s="2">
        <f t="shared" si="3"/>
        <v>932.2742474916389</v>
      </c>
      <c r="Q39" s="2">
        <v>1650</v>
      </c>
      <c r="R39">
        <v>45</v>
      </c>
      <c r="S39">
        <f t="shared" si="4"/>
        <v>16</v>
      </c>
      <c r="T39" s="9">
        <v>0.95</v>
      </c>
      <c r="U39" s="2">
        <f t="shared" si="5"/>
        <v>47657195.585999995</v>
      </c>
      <c r="V39" s="2">
        <f t="shared" si="6"/>
        <v>16097541.620159999</v>
      </c>
      <c r="W39" s="2">
        <f t="shared" si="7"/>
        <v>31559653.965839997</v>
      </c>
    </row>
    <row r="40" spans="1:23" x14ac:dyDescent="0.25">
      <c r="A40" s="11">
        <f t="shared" si="8"/>
        <v>37</v>
      </c>
      <c r="B40" t="s">
        <v>58</v>
      </c>
      <c r="C40" s="18" t="s">
        <v>30</v>
      </c>
      <c r="H40">
        <v>600.79999999999995</v>
      </c>
      <c r="I40" s="2">
        <f t="shared" si="1"/>
        <v>6467.011199999999</v>
      </c>
      <c r="K40">
        <v>2007</v>
      </c>
      <c r="L40" t="s">
        <v>85</v>
      </c>
      <c r="M40" s="2">
        <v>20070</v>
      </c>
      <c r="N40" s="2">
        <f t="shared" si="2"/>
        <v>1864.5484949832778</v>
      </c>
      <c r="O40" s="9">
        <v>0.5</v>
      </c>
      <c r="P40" s="2">
        <f t="shared" si="3"/>
        <v>932.2742474916389</v>
      </c>
      <c r="Q40" s="2">
        <v>1400</v>
      </c>
      <c r="R40">
        <v>45</v>
      </c>
      <c r="S40">
        <f t="shared" si="4"/>
        <v>16</v>
      </c>
      <c r="T40" s="9">
        <v>0.95</v>
      </c>
      <c r="U40" s="2">
        <f t="shared" si="5"/>
        <v>9053815.6799999978</v>
      </c>
      <c r="V40" s="2">
        <f t="shared" si="6"/>
        <v>3058177.7407999993</v>
      </c>
      <c r="W40" s="2">
        <f t="shared" si="7"/>
        <v>5995637.939199999</v>
      </c>
    </row>
    <row r="41" spans="1:23" x14ac:dyDescent="0.25">
      <c r="A41" s="11">
        <f t="shared" si="8"/>
        <v>38</v>
      </c>
      <c r="B41" t="s">
        <v>58</v>
      </c>
      <c r="C41" s="18" t="s">
        <v>31</v>
      </c>
      <c r="H41">
        <v>1091.5899999999999</v>
      </c>
      <c r="I41" s="2">
        <f t="shared" si="1"/>
        <v>11749.874759999999</v>
      </c>
      <c r="K41">
        <v>2007</v>
      </c>
      <c r="L41" t="s">
        <v>86</v>
      </c>
      <c r="M41" s="2">
        <v>20070</v>
      </c>
      <c r="N41" s="2">
        <f t="shared" si="2"/>
        <v>1864.5484949832778</v>
      </c>
      <c r="O41" s="9">
        <v>0.7</v>
      </c>
      <c r="P41" s="2">
        <f t="shared" si="3"/>
        <v>1305.1839464882944</v>
      </c>
      <c r="Q41" s="2">
        <v>1700</v>
      </c>
      <c r="R41">
        <v>45</v>
      </c>
      <c r="S41">
        <f t="shared" si="4"/>
        <v>16</v>
      </c>
      <c r="T41" s="9">
        <v>0.95</v>
      </c>
      <c r="U41" s="2">
        <f t="shared" si="5"/>
        <v>19974787.091999996</v>
      </c>
      <c r="V41" s="2">
        <f t="shared" si="6"/>
        <v>6747039.1955199987</v>
      </c>
      <c r="W41" s="2">
        <f t="shared" si="7"/>
        <v>13227747.896479998</v>
      </c>
    </row>
    <row r="42" spans="1:23" x14ac:dyDescent="0.25">
      <c r="A42" s="11">
        <f t="shared" si="8"/>
        <v>39</v>
      </c>
      <c r="B42" t="s">
        <v>58</v>
      </c>
      <c r="C42" s="18" t="s">
        <v>32</v>
      </c>
      <c r="H42">
        <v>19.98</v>
      </c>
      <c r="I42" s="2">
        <f t="shared" si="1"/>
        <v>215.06471999999999</v>
      </c>
      <c r="K42">
        <v>2007</v>
      </c>
      <c r="L42" t="s">
        <v>88</v>
      </c>
      <c r="M42" s="2">
        <v>23530</v>
      </c>
      <c r="N42" s="2">
        <f t="shared" si="2"/>
        <v>2185.9903381642512</v>
      </c>
      <c r="O42" s="9">
        <v>0.5</v>
      </c>
      <c r="P42" s="2">
        <f t="shared" si="3"/>
        <v>1092.9951690821256</v>
      </c>
      <c r="Q42" s="2">
        <v>1200</v>
      </c>
      <c r="R42">
        <v>45</v>
      </c>
      <c r="S42">
        <f t="shared" si="4"/>
        <v>16</v>
      </c>
      <c r="T42" s="9">
        <v>0.95</v>
      </c>
      <c r="U42" s="2">
        <f t="shared" si="5"/>
        <v>258077.66399999999</v>
      </c>
      <c r="V42" s="2">
        <f t="shared" si="6"/>
        <v>87172.899839999998</v>
      </c>
      <c r="W42" s="2">
        <f t="shared" si="7"/>
        <v>170904.76415999999</v>
      </c>
    </row>
    <row r="43" spans="1:23" x14ac:dyDescent="0.25">
      <c r="A43" s="11">
        <f t="shared" si="8"/>
        <v>40</v>
      </c>
      <c r="B43" t="s">
        <v>58</v>
      </c>
      <c r="C43" s="18" t="s">
        <v>34</v>
      </c>
      <c r="H43">
        <v>1361.99</v>
      </c>
      <c r="I43" s="2">
        <f t="shared" si="1"/>
        <v>14660.460359999999</v>
      </c>
      <c r="K43">
        <v>2007</v>
      </c>
      <c r="M43" s="2">
        <v>20070</v>
      </c>
      <c r="N43" s="2">
        <f t="shared" si="2"/>
        <v>1864.5484949832778</v>
      </c>
      <c r="O43" s="9">
        <v>0</v>
      </c>
      <c r="P43" s="2">
        <f t="shared" si="3"/>
        <v>0</v>
      </c>
      <c r="Q43" s="2">
        <v>0</v>
      </c>
      <c r="R43">
        <v>45</v>
      </c>
      <c r="S43">
        <f t="shared" si="4"/>
        <v>16</v>
      </c>
      <c r="T43" s="9">
        <v>0.95</v>
      </c>
      <c r="U43" s="2">
        <f t="shared" si="5"/>
        <v>0</v>
      </c>
      <c r="V43" s="2">
        <f t="shared" si="6"/>
        <v>0</v>
      </c>
      <c r="W43" s="2">
        <f t="shared" si="7"/>
        <v>0</v>
      </c>
    </row>
    <row r="44" spans="1:23" x14ac:dyDescent="0.25">
      <c r="A44" s="11">
        <f t="shared" si="8"/>
        <v>41</v>
      </c>
      <c r="B44" t="s">
        <v>58</v>
      </c>
      <c r="C44" s="18" t="s">
        <v>35</v>
      </c>
      <c r="H44">
        <v>268.75</v>
      </c>
      <c r="I44" s="2">
        <f t="shared" si="1"/>
        <v>2892.8249999999998</v>
      </c>
      <c r="K44">
        <v>2007</v>
      </c>
      <c r="M44" s="2">
        <v>20070</v>
      </c>
      <c r="N44" s="2">
        <f t="shared" si="2"/>
        <v>1864.5484949832778</v>
      </c>
      <c r="O44" s="9">
        <v>0.4</v>
      </c>
      <c r="P44" s="2">
        <f t="shared" si="3"/>
        <v>745.81939799331121</v>
      </c>
      <c r="Q44" s="2">
        <v>800</v>
      </c>
      <c r="R44">
        <v>45</v>
      </c>
      <c r="S44">
        <f t="shared" si="4"/>
        <v>16</v>
      </c>
      <c r="T44" s="9">
        <v>0.95</v>
      </c>
      <c r="U44" s="2">
        <f t="shared" si="5"/>
        <v>2314260</v>
      </c>
      <c r="V44" s="2">
        <f t="shared" si="6"/>
        <v>781705.6</v>
      </c>
      <c r="W44" s="2">
        <f t="shared" si="7"/>
        <v>1532554.4</v>
      </c>
    </row>
    <row r="45" spans="1:23" x14ac:dyDescent="0.25">
      <c r="A45" s="11">
        <f t="shared" si="8"/>
        <v>42</v>
      </c>
      <c r="B45" t="s">
        <v>58</v>
      </c>
      <c r="C45" s="18" t="s">
        <v>36</v>
      </c>
      <c r="H45">
        <v>79.59</v>
      </c>
      <c r="I45" s="2">
        <f t="shared" si="1"/>
        <v>856.70676000000003</v>
      </c>
      <c r="K45">
        <v>2007</v>
      </c>
      <c r="L45" t="s">
        <v>88</v>
      </c>
      <c r="M45" s="2">
        <v>23530</v>
      </c>
      <c r="N45" s="2">
        <f t="shared" si="2"/>
        <v>2185.9903381642512</v>
      </c>
      <c r="O45" s="9">
        <v>0.35</v>
      </c>
      <c r="P45" s="2">
        <f t="shared" si="3"/>
        <v>765.09661835748784</v>
      </c>
      <c r="Q45" s="2">
        <v>800</v>
      </c>
      <c r="R45">
        <v>45</v>
      </c>
      <c r="S45">
        <f t="shared" si="4"/>
        <v>16</v>
      </c>
      <c r="T45" s="9">
        <v>0.95</v>
      </c>
      <c r="U45" s="2">
        <f t="shared" si="5"/>
        <v>685365.40800000005</v>
      </c>
      <c r="V45" s="2">
        <f t="shared" si="6"/>
        <v>231501.20448000001</v>
      </c>
      <c r="W45" s="2">
        <f t="shared" si="7"/>
        <v>453864.20352000004</v>
      </c>
    </row>
    <row r="46" spans="1:23" x14ac:dyDescent="0.25">
      <c r="A46" s="11">
        <f t="shared" si="8"/>
        <v>43</v>
      </c>
      <c r="B46" t="s">
        <v>58</v>
      </c>
      <c r="C46" s="18" t="s">
        <v>37</v>
      </c>
      <c r="H46">
        <v>150.6</v>
      </c>
      <c r="I46" s="2">
        <f t="shared" si="1"/>
        <v>1621.0583999999999</v>
      </c>
      <c r="K46">
        <v>2007</v>
      </c>
      <c r="L46" t="s">
        <v>88</v>
      </c>
      <c r="M46" s="2">
        <v>23530</v>
      </c>
      <c r="N46" s="2">
        <f t="shared" si="2"/>
        <v>2185.9903381642512</v>
      </c>
      <c r="O46" s="9">
        <v>0.35</v>
      </c>
      <c r="P46" s="2">
        <f t="shared" si="3"/>
        <v>765.09661835748784</v>
      </c>
      <c r="Q46" s="2">
        <v>800</v>
      </c>
      <c r="R46">
        <v>45</v>
      </c>
      <c r="S46">
        <f t="shared" si="4"/>
        <v>16</v>
      </c>
      <c r="T46" s="9">
        <v>0.95</v>
      </c>
      <c r="U46" s="2">
        <f t="shared" si="5"/>
        <v>1296846.72</v>
      </c>
      <c r="V46" s="2">
        <f t="shared" si="6"/>
        <v>438046.00319999998</v>
      </c>
      <c r="W46" s="2">
        <f t="shared" si="7"/>
        <v>858800.71680000005</v>
      </c>
    </row>
    <row r="47" spans="1:23" x14ac:dyDescent="0.25">
      <c r="A47" s="11">
        <f t="shared" si="8"/>
        <v>44</v>
      </c>
      <c r="B47" t="s">
        <v>58</v>
      </c>
      <c r="C47" s="18" t="s">
        <v>38</v>
      </c>
      <c r="H47">
        <v>384.75</v>
      </c>
      <c r="I47" s="2">
        <f t="shared" si="1"/>
        <v>4141.4489999999996</v>
      </c>
      <c r="K47">
        <v>2007</v>
      </c>
      <c r="M47" s="2">
        <v>20070</v>
      </c>
      <c r="N47" s="2">
        <f t="shared" si="2"/>
        <v>1864.5484949832778</v>
      </c>
      <c r="O47" s="9">
        <v>0.5</v>
      </c>
      <c r="P47" s="2">
        <f t="shared" si="3"/>
        <v>932.2742474916389</v>
      </c>
      <c r="Q47" s="26">
        <v>1100</v>
      </c>
      <c r="R47">
        <v>45</v>
      </c>
      <c r="S47">
        <f t="shared" si="4"/>
        <v>16</v>
      </c>
      <c r="T47" s="9">
        <v>0.95</v>
      </c>
      <c r="U47" s="2">
        <f t="shared" si="5"/>
        <v>4555593.8999999994</v>
      </c>
      <c r="V47" s="2">
        <f t="shared" si="6"/>
        <v>1538778.3839999998</v>
      </c>
      <c r="W47" s="2">
        <f t="shared" si="7"/>
        <v>3016815.5159999998</v>
      </c>
    </row>
    <row r="48" spans="1:23" x14ac:dyDescent="0.25">
      <c r="A48" s="11">
        <f t="shared" si="8"/>
        <v>45</v>
      </c>
      <c r="B48" t="s">
        <v>58</v>
      </c>
      <c r="C48" s="18" t="s">
        <v>39</v>
      </c>
      <c r="H48">
        <v>3848.44</v>
      </c>
      <c r="I48" s="2">
        <f t="shared" si="1"/>
        <v>41424.608159999996</v>
      </c>
      <c r="K48">
        <v>2007</v>
      </c>
      <c r="M48" s="2">
        <v>20070</v>
      </c>
      <c r="N48" s="2">
        <f t="shared" si="2"/>
        <v>1864.5484949832778</v>
      </c>
      <c r="O48" s="9">
        <v>0.5</v>
      </c>
      <c r="P48" s="2">
        <f t="shared" si="3"/>
        <v>932.2742474916389</v>
      </c>
      <c r="Q48" s="26">
        <v>1100</v>
      </c>
      <c r="R48">
        <v>45</v>
      </c>
      <c r="S48">
        <f t="shared" si="4"/>
        <v>16</v>
      </c>
      <c r="T48" s="9">
        <v>0.95</v>
      </c>
      <c r="U48" s="2">
        <f t="shared" si="5"/>
        <v>45567068.975999996</v>
      </c>
      <c r="V48" s="2">
        <f t="shared" si="6"/>
        <v>15391543.298559999</v>
      </c>
      <c r="W48" s="2">
        <f t="shared" si="7"/>
        <v>30175525.677439995</v>
      </c>
    </row>
    <row r="49" spans="1:23" x14ac:dyDescent="0.25">
      <c r="A49" s="11">
        <f t="shared" si="8"/>
        <v>46</v>
      </c>
      <c r="B49" t="s">
        <v>58</v>
      </c>
      <c r="C49" s="18" t="s">
        <v>51</v>
      </c>
      <c r="H49">
        <v>100.75</v>
      </c>
      <c r="I49" s="2">
        <f t="shared" si="1"/>
        <v>1084.473</v>
      </c>
      <c r="K49">
        <v>2007</v>
      </c>
      <c r="M49" s="2">
        <v>20070</v>
      </c>
      <c r="N49" s="2">
        <f t="shared" si="2"/>
        <v>1864.5484949832778</v>
      </c>
      <c r="O49" s="9">
        <v>0</v>
      </c>
      <c r="P49" s="2">
        <f t="shared" si="3"/>
        <v>0</v>
      </c>
      <c r="Q49" s="2">
        <v>0</v>
      </c>
      <c r="R49">
        <v>45</v>
      </c>
      <c r="S49">
        <f t="shared" si="4"/>
        <v>16</v>
      </c>
      <c r="T49" s="9">
        <v>0.95</v>
      </c>
      <c r="U49" s="2">
        <f t="shared" si="5"/>
        <v>0</v>
      </c>
      <c r="V49" s="2">
        <f t="shared" si="6"/>
        <v>0</v>
      </c>
      <c r="W49" s="2">
        <f t="shared" si="7"/>
        <v>0</v>
      </c>
    </row>
    <row r="50" spans="1:23" x14ac:dyDescent="0.25">
      <c r="A50" s="11">
        <f t="shared" si="8"/>
        <v>47</v>
      </c>
      <c r="B50" t="s">
        <v>58</v>
      </c>
      <c r="C50" s="18" t="s">
        <v>40</v>
      </c>
      <c r="H50">
        <v>18.87</v>
      </c>
      <c r="I50" s="2">
        <f t="shared" si="1"/>
        <v>203.11668</v>
      </c>
      <c r="K50">
        <v>2007</v>
      </c>
      <c r="M50" s="2">
        <v>20070</v>
      </c>
      <c r="N50" s="2">
        <f t="shared" si="2"/>
        <v>1864.5484949832778</v>
      </c>
      <c r="O50" s="9">
        <v>0.55000000000000004</v>
      </c>
      <c r="P50" s="2">
        <f t="shared" si="3"/>
        <v>1025.5016722408029</v>
      </c>
      <c r="Q50" s="2">
        <v>1200</v>
      </c>
      <c r="R50">
        <v>45</v>
      </c>
      <c r="S50">
        <f t="shared" si="4"/>
        <v>16</v>
      </c>
      <c r="T50" s="9">
        <v>0.95</v>
      </c>
      <c r="U50" s="2">
        <f t="shared" si="5"/>
        <v>243740.016</v>
      </c>
      <c r="V50" s="2">
        <f t="shared" si="6"/>
        <v>82329.960959999997</v>
      </c>
      <c r="W50" s="2">
        <f t="shared" si="7"/>
        <v>161410.05504000001</v>
      </c>
    </row>
    <row r="51" spans="1:23" x14ac:dyDescent="0.25">
      <c r="A51" s="11">
        <f t="shared" si="8"/>
        <v>48</v>
      </c>
      <c r="B51" t="s">
        <v>58</v>
      </c>
      <c r="C51" s="18" t="s">
        <v>41</v>
      </c>
      <c r="H51">
        <v>586.75</v>
      </c>
      <c r="I51" s="2">
        <f t="shared" si="1"/>
        <v>6315.777</v>
      </c>
      <c r="K51">
        <v>2007</v>
      </c>
      <c r="L51" t="s">
        <v>85</v>
      </c>
      <c r="M51" s="2">
        <v>20070</v>
      </c>
      <c r="N51" s="2">
        <f t="shared" si="2"/>
        <v>1864.5484949832778</v>
      </c>
      <c r="O51" s="9">
        <v>0.5</v>
      </c>
      <c r="P51" s="2">
        <f t="shared" si="3"/>
        <v>932.2742474916389</v>
      </c>
      <c r="Q51" s="2">
        <v>900</v>
      </c>
      <c r="R51">
        <v>45</v>
      </c>
      <c r="S51">
        <f t="shared" si="4"/>
        <v>16</v>
      </c>
      <c r="T51" s="9">
        <v>0.95</v>
      </c>
      <c r="U51" s="2">
        <f t="shared" si="5"/>
        <v>5684199.2999999998</v>
      </c>
      <c r="V51" s="2">
        <f t="shared" si="6"/>
        <v>1919996.2080000001</v>
      </c>
      <c r="W51" s="2">
        <f t="shared" si="7"/>
        <v>3764203.0919999997</v>
      </c>
    </row>
    <row r="52" spans="1:23" x14ac:dyDescent="0.25">
      <c r="A52" s="11">
        <f t="shared" si="8"/>
        <v>49</v>
      </c>
      <c r="B52" t="s">
        <v>58</v>
      </c>
      <c r="C52" s="18" t="s">
        <v>42</v>
      </c>
      <c r="H52">
        <v>119.93</v>
      </c>
      <c r="I52" s="2">
        <f t="shared" si="1"/>
        <v>1290.92652</v>
      </c>
      <c r="K52">
        <v>2007</v>
      </c>
      <c r="M52" s="2">
        <v>20070</v>
      </c>
      <c r="N52" s="2">
        <f t="shared" si="2"/>
        <v>1864.5484949832778</v>
      </c>
      <c r="O52" s="9">
        <v>0</v>
      </c>
      <c r="P52" s="2">
        <f t="shared" si="3"/>
        <v>0</v>
      </c>
      <c r="Q52" s="26">
        <v>900</v>
      </c>
      <c r="R52">
        <v>45</v>
      </c>
      <c r="S52">
        <f t="shared" si="4"/>
        <v>16</v>
      </c>
      <c r="T52" s="9">
        <v>0.95</v>
      </c>
      <c r="U52" s="2">
        <f t="shared" si="5"/>
        <v>1161833.868</v>
      </c>
      <c r="V52" s="2">
        <f t="shared" si="6"/>
        <v>392441.66208000004</v>
      </c>
      <c r="W52" s="2">
        <f t="shared" si="7"/>
        <v>769392.20591999998</v>
      </c>
    </row>
    <row r="53" spans="1:23" x14ac:dyDescent="0.25">
      <c r="A53" s="11">
        <f t="shared" si="8"/>
        <v>50</v>
      </c>
      <c r="B53" t="s">
        <v>58</v>
      </c>
      <c r="C53" s="18" t="s">
        <v>43</v>
      </c>
      <c r="H53">
        <v>99.84</v>
      </c>
      <c r="I53" s="2">
        <f t="shared" si="1"/>
        <v>1074.67776</v>
      </c>
      <c r="K53">
        <v>2007</v>
      </c>
      <c r="M53" s="2">
        <v>20070</v>
      </c>
      <c r="N53" s="2">
        <f t="shared" si="2"/>
        <v>1864.5484949832778</v>
      </c>
      <c r="O53" s="9">
        <v>0</v>
      </c>
      <c r="P53" s="2">
        <f t="shared" si="3"/>
        <v>0</v>
      </c>
      <c r="Q53" s="26">
        <v>0</v>
      </c>
      <c r="R53">
        <v>45</v>
      </c>
      <c r="S53">
        <f t="shared" si="4"/>
        <v>16</v>
      </c>
      <c r="T53" s="9">
        <v>0.95</v>
      </c>
      <c r="U53" s="2">
        <f t="shared" si="5"/>
        <v>0</v>
      </c>
      <c r="V53" s="2">
        <f t="shared" si="6"/>
        <v>0</v>
      </c>
      <c r="W53" s="2">
        <f t="shared" si="7"/>
        <v>0</v>
      </c>
    </row>
    <row r="54" spans="1:23" x14ac:dyDescent="0.25">
      <c r="A54" s="11">
        <f t="shared" si="8"/>
        <v>51</v>
      </c>
      <c r="B54" t="s">
        <v>58</v>
      </c>
      <c r="C54" s="18" t="s">
        <v>44</v>
      </c>
      <c r="H54">
        <v>426.64</v>
      </c>
      <c r="I54" s="2">
        <f t="shared" si="1"/>
        <v>4592.3529599999993</v>
      </c>
      <c r="K54">
        <v>2007</v>
      </c>
      <c r="L54" t="s">
        <v>85</v>
      </c>
      <c r="M54" s="2">
        <v>20070</v>
      </c>
      <c r="N54" s="2">
        <f t="shared" si="2"/>
        <v>1864.5484949832778</v>
      </c>
      <c r="O54" s="9">
        <v>0.5</v>
      </c>
      <c r="P54" s="2">
        <f t="shared" si="3"/>
        <v>932.2742474916389</v>
      </c>
      <c r="Q54" s="2">
        <v>800</v>
      </c>
      <c r="R54">
        <v>45</v>
      </c>
      <c r="S54">
        <f t="shared" si="4"/>
        <v>16</v>
      </c>
      <c r="T54" s="9">
        <v>0.95</v>
      </c>
      <c r="U54" s="2">
        <f t="shared" si="5"/>
        <v>3673882.3679999993</v>
      </c>
      <c r="V54" s="2">
        <f t="shared" si="6"/>
        <v>1240955.8220799998</v>
      </c>
      <c r="W54" s="2">
        <f t="shared" si="7"/>
        <v>2432926.5459199995</v>
      </c>
    </row>
    <row r="55" spans="1:23" x14ac:dyDescent="0.25">
      <c r="A55" s="11">
        <f t="shared" si="8"/>
        <v>52</v>
      </c>
      <c r="B55" t="s">
        <v>58</v>
      </c>
      <c r="C55" s="18" t="s">
        <v>45</v>
      </c>
      <c r="H55">
        <v>2532</v>
      </c>
      <c r="I55" s="2">
        <f t="shared" si="1"/>
        <v>27254.447999999997</v>
      </c>
      <c r="K55">
        <v>2007</v>
      </c>
      <c r="M55" s="2">
        <v>20070</v>
      </c>
      <c r="N55" s="2">
        <f t="shared" si="2"/>
        <v>1864.5484949832778</v>
      </c>
      <c r="O55" s="9">
        <v>0.55000000000000004</v>
      </c>
      <c r="P55" s="2">
        <f t="shared" si="3"/>
        <v>1025.5016722408029</v>
      </c>
      <c r="Q55" s="2">
        <v>1600</v>
      </c>
      <c r="R55">
        <v>45</v>
      </c>
      <c r="S55">
        <f t="shared" si="4"/>
        <v>16</v>
      </c>
      <c r="T55" s="9">
        <v>0.95</v>
      </c>
      <c r="U55" s="2">
        <f t="shared" si="5"/>
        <v>43607116.799999997</v>
      </c>
      <c r="V55" s="2">
        <f t="shared" si="6"/>
        <v>14729515.007999999</v>
      </c>
      <c r="W55" s="2">
        <f t="shared" si="7"/>
        <v>28877601.791999996</v>
      </c>
    </row>
    <row r="56" spans="1:23" x14ac:dyDescent="0.25">
      <c r="A56" s="11">
        <f t="shared" si="8"/>
        <v>53</v>
      </c>
      <c r="B56" t="s">
        <v>58</v>
      </c>
      <c r="C56" s="18" t="s">
        <v>46</v>
      </c>
      <c r="H56">
        <v>22.77</v>
      </c>
      <c r="I56" s="2">
        <f t="shared" si="1"/>
        <v>245.09627999999998</v>
      </c>
      <c r="K56">
        <v>2007</v>
      </c>
      <c r="M56" s="2">
        <v>20070</v>
      </c>
      <c r="N56" s="2">
        <f t="shared" si="2"/>
        <v>1864.5484949832778</v>
      </c>
      <c r="O56" s="9">
        <v>0.55000000000000004</v>
      </c>
      <c r="P56" s="2">
        <f t="shared" si="3"/>
        <v>1025.5016722408029</v>
      </c>
      <c r="Q56" s="2">
        <v>1400</v>
      </c>
      <c r="R56">
        <v>45</v>
      </c>
      <c r="S56">
        <f t="shared" si="4"/>
        <v>16</v>
      </c>
      <c r="T56" s="9">
        <v>0.95</v>
      </c>
      <c r="U56" s="2">
        <f t="shared" si="5"/>
        <v>343134.79199999996</v>
      </c>
      <c r="V56" s="2">
        <f t="shared" si="6"/>
        <v>115903.30751999999</v>
      </c>
      <c r="W56" s="2">
        <f t="shared" si="7"/>
        <v>227231.48447999998</v>
      </c>
    </row>
    <row r="57" spans="1:23" x14ac:dyDescent="0.25">
      <c r="A57" s="11">
        <f t="shared" si="8"/>
        <v>54</v>
      </c>
      <c r="B57" t="s">
        <v>58</v>
      </c>
      <c r="C57" s="18" t="s">
        <v>47</v>
      </c>
      <c r="H57">
        <v>53.29</v>
      </c>
      <c r="I57" s="2">
        <f t="shared" si="1"/>
        <v>573.61356000000001</v>
      </c>
      <c r="K57">
        <v>2007</v>
      </c>
      <c r="M57" s="2">
        <v>20070</v>
      </c>
      <c r="N57" s="2">
        <f t="shared" si="2"/>
        <v>1864.5484949832778</v>
      </c>
      <c r="O57" s="9">
        <v>0</v>
      </c>
      <c r="P57" s="2">
        <f t="shared" si="3"/>
        <v>0</v>
      </c>
      <c r="Q57" s="2">
        <v>0</v>
      </c>
      <c r="R57">
        <v>45</v>
      </c>
      <c r="S57">
        <f t="shared" si="4"/>
        <v>16</v>
      </c>
      <c r="T57" s="9">
        <v>0.95</v>
      </c>
      <c r="U57" s="2">
        <f t="shared" si="5"/>
        <v>0</v>
      </c>
      <c r="V57" s="2">
        <f t="shared" si="6"/>
        <v>0</v>
      </c>
      <c r="W57" s="2">
        <f t="shared" si="7"/>
        <v>0</v>
      </c>
    </row>
    <row r="58" spans="1:23" x14ac:dyDescent="0.25">
      <c r="A58" s="11">
        <f t="shared" si="8"/>
        <v>55</v>
      </c>
      <c r="B58" t="s">
        <v>58</v>
      </c>
      <c r="C58" s="18" t="s">
        <v>48</v>
      </c>
      <c r="H58">
        <v>140</v>
      </c>
      <c r="I58" s="2">
        <f t="shared" si="1"/>
        <v>1506.9599999999998</v>
      </c>
      <c r="K58">
        <v>2007</v>
      </c>
      <c r="M58" s="2">
        <v>20070</v>
      </c>
      <c r="N58" s="2">
        <f t="shared" si="2"/>
        <v>1864.5484949832778</v>
      </c>
      <c r="O58" s="9">
        <v>0.5</v>
      </c>
      <c r="P58" s="2">
        <f t="shared" si="3"/>
        <v>932.2742474916389</v>
      </c>
      <c r="Q58" s="26">
        <v>800</v>
      </c>
      <c r="R58">
        <v>45</v>
      </c>
      <c r="S58">
        <f t="shared" si="4"/>
        <v>16</v>
      </c>
      <c r="T58" s="9">
        <v>0.95</v>
      </c>
      <c r="U58" s="2">
        <f t="shared" si="5"/>
        <v>1205567.9999999998</v>
      </c>
      <c r="V58" s="2">
        <f t="shared" si="6"/>
        <v>407214.07999999996</v>
      </c>
      <c r="W58" s="2">
        <f t="shared" si="7"/>
        <v>798353.91999999981</v>
      </c>
    </row>
    <row r="59" spans="1:23" x14ac:dyDescent="0.25">
      <c r="A59" s="11">
        <f t="shared" si="8"/>
        <v>56</v>
      </c>
      <c r="B59" t="s">
        <v>58</v>
      </c>
      <c r="C59" s="18" t="s">
        <v>49</v>
      </c>
      <c r="H59">
        <v>214.01</v>
      </c>
      <c r="I59" s="2">
        <f t="shared" si="1"/>
        <v>2303.6036399999998</v>
      </c>
      <c r="K59">
        <v>2007</v>
      </c>
      <c r="M59" s="2">
        <v>20070</v>
      </c>
      <c r="N59" s="2">
        <f t="shared" si="2"/>
        <v>1864.5484949832778</v>
      </c>
      <c r="O59" s="9">
        <v>0.3</v>
      </c>
      <c r="P59" s="2">
        <f t="shared" si="3"/>
        <v>559.3645484949833</v>
      </c>
      <c r="Q59" s="2">
        <v>600</v>
      </c>
      <c r="R59">
        <v>45</v>
      </c>
      <c r="S59">
        <f t="shared" si="4"/>
        <v>16</v>
      </c>
      <c r="T59" s="9">
        <v>0.95</v>
      </c>
      <c r="U59" s="2">
        <f t="shared" si="5"/>
        <v>1382162.1839999999</v>
      </c>
      <c r="V59" s="2">
        <f t="shared" si="6"/>
        <v>466863.67103999999</v>
      </c>
      <c r="W59" s="2">
        <f t="shared" si="7"/>
        <v>915298.51295999996</v>
      </c>
    </row>
    <row r="60" spans="1:23" x14ac:dyDescent="0.25">
      <c r="A60" s="11">
        <f t="shared" si="8"/>
        <v>57</v>
      </c>
      <c r="B60" t="s">
        <v>58</v>
      </c>
      <c r="C60" s="18" t="s">
        <v>50</v>
      </c>
      <c r="H60">
        <v>1890</v>
      </c>
      <c r="I60" s="2">
        <f t="shared" si="1"/>
        <v>20343.96</v>
      </c>
      <c r="K60">
        <v>2007</v>
      </c>
      <c r="L60" t="s">
        <v>85</v>
      </c>
      <c r="M60" s="2">
        <v>20070</v>
      </c>
      <c r="N60" s="2">
        <f t="shared" si="2"/>
        <v>1864.5484949832778</v>
      </c>
      <c r="O60" s="9">
        <v>0.4</v>
      </c>
      <c r="P60" s="2">
        <f t="shared" si="3"/>
        <v>745.81939799331121</v>
      </c>
      <c r="Q60" s="2">
        <v>800</v>
      </c>
      <c r="R60">
        <v>45</v>
      </c>
      <c r="S60">
        <f t="shared" si="4"/>
        <v>16</v>
      </c>
      <c r="T60" s="9">
        <v>0.95</v>
      </c>
      <c r="U60" s="2">
        <f t="shared" si="5"/>
        <v>16275168</v>
      </c>
      <c r="V60" s="2">
        <f t="shared" si="6"/>
        <v>5497390.0800000001</v>
      </c>
      <c r="W60" s="2">
        <f t="shared" si="7"/>
        <v>10777777.92</v>
      </c>
    </row>
    <row r="61" spans="1:23" x14ac:dyDescent="0.25">
      <c r="A61" s="11">
        <f t="shared" si="8"/>
        <v>58</v>
      </c>
      <c r="B61" t="s">
        <v>53</v>
      </c>
      <c r="C61" s="18" t="s">
        <v>54</v>
      </c>
      <c r="H61">
        <v>386</v>
      </c>
      <c r="I61" s="2">
        <f t="shared" si="1"/>
        <v>4154.9039999999995</v>
      </c>
      <c r="K61">
        <v>2007</v>
      </c>
      <c r="L61" t="s">
        <v>88</v>
      </c>
      <c r="M61" s="2">
        <v>23530</v>
      </c>
      <c r="N61" s="2">
        <f t="shared" si="2"/>
        <v>2185.9903381642512</v>
      </c>
      <c r="O61" s="9">
        <v>0.7</v>
      </c>
      <c r="P61" s="2">
        <f t="shared" si="3"/>
        <v>1530.1932367149757</v>
      </c>
      <c r="Q61" s="2">
        <v>1600</v>
      </c>
      <c r="R61">
        <v>60</v>
      </c>
      <c r="S61">
        <f t="shared" si="4"/>
        <v>16</v>
      </c>
      <c r="T61" s="9">
        <v>0.95</v>
      </c>
      <c r="U61" s="2">
        <f t="shared" si="5"/>
        <v>6647846.3999999994</v>
      </c>
      <c r="V61" s="2">
        <f t="shared" si="6"/>
        <v>1684121.0879999995</v>
      </c>
      <c r="W61" s="2">
        <f t="shared" si="7"/>
        <v>4963725.3119999999</v>
      </c>
    </row>
    <row r="62" spans="1:23" x14ac:dyDescent="0.25">
      <c r="A62" s="11">
        <f t="shared" si="8"/>
        <v>59</v>
      </c>
      <c r="B62" t="s">
        <v>53</v>
      </c>
      <c r="C62" s="18" t="s">
        <v>55</v>
      </c>
      <c r="H62">
        <v>762</v>
      </c>
      <c r="I62" s="2">
        <f t="shared" si="1"/>
        <v>8202.1679999999997</v>
      </c>
      <c r="K62">
        <v>2007</v>
      </c>
      <c r="L62" t="s">
        <v>88</v>
      </c>
      <c r="M62" s="2">
        <v>23530</v>
      </c>
      <c r="N62" s="2">
        <f t="shared" si="2"/>
        <v>2185.9903381642512</v>
      </c>
      <c r="O62" s="9">
        <v>0.65</v>
      </c>
      <c r="P62" s="2">
        <f t="shared" si="3"/>
        <v>1420.8937198067633</v>
      </c>
      <c r="Q62" s="2">
        <v>1500</v>
      </c>
      <c r="R62">
        <v>60</v>
      </c>
      <c r="S62">
        <f t="shared" si="4"/>
        <v>16</v>
      </c>
      <c r="T62" s="9">
        <v>0.95</v>
      </c>
      <c r="U62" s="2">
        <f t="shared" si="5"/>
        <v>12303252</v>
      </c>
      <c r="V62" s="2">
        <f t="shared" si="6"/>
        <v>3116823.8399999994</v>
      </c>
      <c r="W62" s="2">
        <f t="shared" si="7"/>
        <v>9186428.1600000001</v>
      </c>
    </row>
    <row r="63" spans="1:23" x14ac:dyDescent="0.25">
      <c r="A63" s="11">
        <f t="shared" si="8"/>
        <v>60</v>
      </c>
      <c r="B63" t="s">
        <v>53</v>
      </c>
      <c r="C63" s="18" t="s">
        <v>56</v>
      </c>
      <c r="H63">
        <v>634</v>
      </c>
      <c r="I63" s="2">
        <f t="shared" si="1"/>
        <v>6824.3759999999993</v>
      </c>
      <c r="K63">
        <v>2007</v>
      </c>
      <c r="L63" t="s">
        <v>88</v>
      </c>
      <c r="M63" s="2">
        <v>23530</v>
      </c>
      <c r="N63" s="2">
        <f t="shared" si="2"/>
        <v>2185.9903381642512</v>
      </c>
      <c r="O63" s="9">
        <v>0.65</v>
      </c>
      <c r="P63" s="2">
        <f t="shared" si="3"/>
        <v>1420.8937198067633</v>
      </c>
      <c r="Q63" s="2">
        <v>1600</v>
      </c>
      <c r="R63">
        <v>60</v>
      </c>
      <c r="S63">
        <f t="shared" si="4"/>
        <v>16</v>
      </c>
      <c r="T63" s="9">
        <v>0.95</v>
      </c>
      <c r="U63" s="2">
        <f t="shared" si="5"/>
        <v>10919001.6</v>
      </c>
      <c r="V63" s="2">
        <f t="shared" si="6"/>
        <v>2766147.0719999997</v>
      </c>
      <c r="W63" s="2">
        <f t="shared" si="7"/>
        <v>8152854.5279999999</v>
      </c>
    </row>
    <row r="64" spans="1:23" x14ac:dyDescent="0.25">
      <c r="A64" s="11">
        <f t="shared" si="8"/>
        <v>61</v>
      </c>
      <c r="B64" t="s">
        <v>53</v>
      </c>
      <c r="C64" s="18" t="s">
        <v>57</v>
      </c>
      <c r="H64">
        <v>15.9</v>
      </c>
      <c r="I64" s="2">
        <f t="shared" si="1"/>
        <v>171.14759999999998</v>
      </c>
      <c r="K64">
        <v>2007</v>
      </c>
      <c r="L64" t="s">
        <v>88</v>
      </c>
      <c r="M64" s="2">
        <v>23530</v>
      </c>
      <c r="N64" s="2">
        <f t="shared" si="2"/>
        <v>2185.9903381642512</v>
      </c>
      <c r="O64" s="9">
        <v>0.5</v>
      </c>
      <c r="P64" s="2">
        <f t="shared" si="3"/>
        <v>1092.9951690821256</v>
      </c>
      <c r="Q64" s="2">
        <v>1400</v>
      </c>
      <c r="R64">
        <v>60</v>
      </c>
      <c r="S64">
        <f t="shared" si="4"/>
        <v>16</v>
      </c>
      <c r="T64" s="9">
        <v>0.95</v>
      </c>
      <c r="U64" s="2">
        <f t="shared" si="5"/>
        <v>239606.63999999998</v>
      </c>
      <c r="V64" s="2">
        <f t="shared" si="6"/>
        <v>60700.348799999985</v>
      </c>
      <c r="W64" s="2">
        <f t="shared" si="7"/>
        <v>178906.29120000001</v>
      </c>
    </row>
    <row r="72" spans="3:14" x14ac:dyDescent="0.25">
      <c r="I72" s="3" t="s">
        <v>101</v>
      </c>
      <c r="J72" s="23"/>
    </row>
    <row r="73" spans="3:14" x14ac:dyDescent="0.25">
      <c r="C73" t="s">
        <v>100</v>
      </c>
      <c r="I73" s="2">
        <f>3.14*1000</f>
        <v>3140</v>
      </c>
      <c r="K73">
        <v>7000</v>
      </c>
      <c r="L73" s="8">
        <f>K73*I73</f>
        <v>21980000</v>
      </c>
      <c r="M73" s="2">
        <f>L73*(2023-2007)*2%</f>
        <v>7033600</v>
      </c>
      <c r="N73" s="2">
        <v>15000000</v>
      </c>
    </row>
    <row r="74" spans="3:14" x14ac:dyDescent="0.25">
      <c r="C74" t="s">
        <v>113</v>
      </c>
      <c r="I74" s="2">
        <f>I88</f>
        <v>1900</v>
      </c>
      <c r="L74" s="8"/>
      <c r="N74" s="2">
        <f>3*10^7</f>
        <v>30000000</v>
      </c>
    </row>
    <row r="75" spans="3:14" x14ac:dyDescent="0.25">
      <c r="C75" t="s">
        <v>87</v>
      </c>
      <c r="N75" s="2">
        <f>W2</f>
        <v>595942119.3679198</v>
      </c>
    </row>
    <row r="76" spans="3:14" x14ac:dyDescent="0.25">
      <c r="C76" t="s">
        <v>102</v>
      </c>
      <c r="N76" s="2">
        <f>'Shendra Land Valuation'!M52</f>
        <v>1704807674.9999998</v>
      </c>
    </row>
    <row r="77" spans="3:14" x14ac:dyDescent="0.25">
      <c r="N77" s="2">
        <f>SUM(N73:N76)</f>
        <v>2345749794.3679194</v>
      </c>
    </row>
    <row r="78" spans="3:14" x14ac:dyDescent="0.25">
      <c r="N78" s="2">
        <v>2350000000</v>
      </c>
    </row>
    <row r="79" spans="3:14" x14ac:dyDescent="0.25">
      <c r="N79" s="2">
        <f>N78*0.85</f>
        <v>1997500000</v>
      </c>
    </row>
    <row r="80" spans="3:14" x14ac:dyDescent="0.25">
      <c r="N80" s="2">
        <f>N78*0.75</f>
        <v>1762500000</v>
      </c>
    </row>
    <row r="85" spans="3:9" x14ac:dyDescent="0.25">
      <c r="C85" t="s">
        <v>113</v>
      </c>
      <c r="I85" s="2">
        <v>400</v>
      </c>
    </row>
    <row r="86" spans="3:9" x14ac:dyDescent="0.25">
      <c r="I86" s="2">
        <v>600</v>
      </c>
    </row>
    <row r="87" spans="3:9" x14ac:dyDescent="0.25">
      <c r="I87" s="2">
        <v>900</v>
      </c>
    </row>
    <row r="88" spans="3:9" x14ac:dyDescent="0.25">
      <c r="I88" s="2">
        <f>SUM(I85:I87)</f>
        <v>1900</v>
      </c>
    </row>
    <row r="89" spans="3:9" x14ac:dyDescent="0.25">
      <c r="I89" s="1">
        <f>I88/1000</f>
        <v>1.9</v>
      </c>
    </row>
    <row r="90" spans="3:9" x14ac:dyDescent="0.25">
      <c r="I90" s="2">
        <f>2*10^7</f>
        <v>20000000</v>
      </c>
    </row>
    <row r="91" spans="3:9" x14ac:dyDescent="0.25">
      <c r="I91" s="2">
        <f>I90*I89</f>
        <v>38000000</v>
      </c>
    </row>
  </sheetData>
  <autoFilter ref="B3:W64" xr:uid="{00000000-0009-0000-0000-000002000000}"/>
  <pageMargins left="0.7" right="0.7" top="0.75" bottom="0.75" header="0.3" footer="0.3"/>
  <pageSetup orientation="portrait" r:id="rId1"/>
  <ignoredErrors>
    <ignoredError sqref="G4:G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Shendra Land Valuation</vt:lpstr>
      <vt:lpstr>Building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2023-10-19T10:04:26Z</dcterms:modified>
</cp:coreProperties>
</file>