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3-24)-PL142-121-160 NIPL VIS\NIPL\Working\Building NIPL\"/>
    </mc:Choice>
  </mc:AlternateContent>
  <bookViews>
    <workbookView xWindow="0" yWindow="0" windowWidth="20490" windowHeight="7755"/>
  </bookViews>
  <sheets>
    <sheet name="Sheet1" sheetId="1" r:id="rId1"/>
    <sheet name="Sheet4" sheetId="6" r:id="rId2"/>
    <sheet name="Sheet3" sheetId="3" r:id="rId3"/>
    <sheet name="Sheet2" sheetId="4" r:id="rId4"/>
    <sheet name="Sheet6" sheetId="8" r:id="rId5"/>
    <sheet name="Sheet5" sheetId="7" r:id="rId6"/>
  </sheets>
  <definedNames>
    <definedName name="_xlnm._FilterDatabase" localSheetId="0" hidden="1">Sheet1!$A$4:$U$92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F13" i="8"/>
  <c r="F12" i="8"/>
  <c r="F11" i="8"/>
  <c r="F9" i="8"/>
  <c r="O14" i="4"/>
  <c r="K110" i="1" l="1"/>
  <c r="K112" i="1" s="1"/>
  <c r="I110" i="1"/>
  <c r="D107" i="1"/>
  <c r="F8" i="4"/>
  <c r="F9" i="4" s="1"/>
  <c r="F10" i="4" s="1"/>
  <c r="F11" i="4" s="1"/>
  <c r="F12" i="4" s="1"/>
  <c r="F13" i="4" s="1"/>
  <c r="K114" i="1" l="1"/>
  <c r="K113" i="1"/>
  <c r="B6" i="3"/>
  <c r="G3" i="3"/>
  <c r="D3" i="3"/>
  <c r="I3" i="3"/>
  <c r="J3" i="3" l="1"/>
  <c r="K3" i="3" s="1"/>
  <c r="M3" i="3" s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O74" i="1"/>
  <c r="O75" i="1"/>
  <c r="O85" i="1"/>
  <c r="M92" i="1"/>
  <c r="M91" i="1"/>
  <c r="M90" i="1"/>
  <c r="M8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6" i="1"/>
  <c r="J5" i="1"/>
  <c r="P74" i="1" l="1"/>
  <c r="Q74" i="1" s="1"/>
  <c r="S74" i="1" s="1"/>
  <c r="P85" i="1"/>
  <c r="Q85" i="1" s="1"/>
  <c r="S85" i="1" s="1"/>
  <c r="P75" i="1"/>
  <c r="Q75" i="1" s="1"/>
  <c r="S75" i="1" s="1"/>
  <c r="F92" i="1"/>
  <c r="O92" i="1" s="1"/>
  <c r="P92" i="1" s="1"/>
  <c r="Q92" i="1" s="1"/>
  <c r="S92" i="1" s="1"/>
  <c r="F91" i="1"/>
  <c r="O91" i="1" s="1"/>
  <c r="P91" i="1" s="1"/>
  <c r="F90" i="1"/>
  <c r="O90" i="1" s="1"/>
  <c r="P90" i="1" s="1"/>
  <c r="Q90" i="1" s="1"/>
  <c r="S90" i="1" s="1"/>
  <c r="F89" i="1"/>
  <c r="O89" i="1" s="1"/>
  <c r="P89" i="1" s="1"/>
  <c r="F88" i="1"/>
  <c r="O88" i="1" s="1"/>
  <c r="P88" i="1" s="1"/>
  <c r="Q88" i="1" s="1"/>
  <c r="S88" i="1" s="1"/>
  <c r="F87" i="1"/>
  <c r="O87" i="1" s="1"/>
  <c r="P87" i="1" s="1"/>
  <c r="Q87" i="1" s="1"/>
  <c r="S87" i="1" s="1"/>
  <c r="F86" i="1"/>
  <c r="O86" i="1" s="1"/>
  <c r="P86" i="1" s="1"/>
  <c r="Q86" i="1" s="1"/>
  <c r="S86" i="1" s="1"/>
  <c r="E85" i="1"/>
  <c r="F84" i="1"/>
  <c r="O84" i="1" s="1"/>
  <c r="P84" i="1" s="1"/>
  <c r="Q84" i="1" s="1"/>
  <c r="S84" i="1" s="1"/>
  <c r="F83" i="1"/>
  <c r="O83" i="1" s="1"/>
  <c r="P83" i="1" s="1"/>
  <c r="Q83" i="1" s="1"/>
  <c r="S83" i="1" s="1"/>
  <c r="E82" i="1"/>
  <c r="F82" i="1"/>
  <c r="O82" i="1" s="1"/>
  <c r="P82" i="1" s="1"/>
  <c r="Q82" i="1" s="1"/>
  <c r="S82" i="1" s="1"/>
  <c r="F81" i="1"/>
  <c r="O81" i="1" s="1"/>
  <c r="P81" i="1" s="1"/>
  <c r="Q81" i="1" s="1"/>
  <c r="S81" i="1" s="1"/>
  <c r="F80" i="1"/>
  <c r="O80" i="1" s="1"/>
  <c r="P80" i="1" s="1"/>
  <c r="Q80" i="1" s="1"/>
  <c r="S80" i="1" s="1"/>
  <c r="F79" i="1"/>
  <c r="O79" i="1" s="1"/>
  <c r="P79" i="1" s="1"/>
  <c r="F78" i="1"/>
  <c r="O78" i="1" s="1"/>
  <c r="P78" i="1" s="1"/>
  <c r="F77" i="1"/>
  <c r="O77" i="1" s="1"/>
  <c r="P77" i="1" s="1"/>
  <c r="Q77" i="1" s="1"/>
  <c r="S77" i="1" s="1"/>
  <c r="F76" i="1"/>
  <c r="O76" i="1" s="1"/>
  <c r="P76" i="1" s="1"/>
  <c r="Q76" i="1" s="1"/>
  <c r="S76" i="1" s="1"/>
  <c r="E75" i="1"/>
  <c r="E74" i="1"/>
  <c r="F73" i="1"/>
  <c r="O73" i="1" s="1"/>
  <c r="P73" i="1" s="1"/>
  <c r="Q73" i="1" s="1"/>
  <c r="S73" i="1" s="1"/>
  <c r="F72" i="1"/>
  <c r="O72" i="1" s="1"/>
  <c r="F71" i="1"/>
  <c r="O71" i="1" s="1"/>
  <c r="P71" i="1" s="1"/>
  <c r="F70" i="1"/>
  <c r="O70" i="1" s="1"/>
  <c r="P70" i="1" s="1"/>
  <c r="Q70" i="1" s="1"/>
  <c r="S70" i="1" s="1"/>
  <c r="F69" i="1"/>
  <c r="O69" i="1" s="1"/>
  <c r="P69" i="1" s="1"/>
  <c r="Q69" i="1" s="1"/>
  <c r="S69" i="1" s="1"/>
  <c r="F68" i="1"/>
  <c r="O68" i="1" s="1"/>
  <c r="P68" i="1" s="1"/>
  <c r="Q68" i="1" s="1"/>
  <c r="S68" i="1" s="1"/>
  <c r="F67" i="1"/>
  <c r="O67" i="1" s="1"/>
  <c r="P67" i="1" s="1"/>
  <c r="F66" i="1"/>
  <c r="O66" i="1" s="1"/>
  <c r="P66" i="1" s="1"/>
  <c r="Q66" i="1" s="1"/>
  <c r="S66" i="1" s="1"/>
  <c r="F63" i="1"/>
  <c r="O63" i="1" s="1"/>
  <c r="F64" i="1"/>
  <c r="O64" i="1" s="1"/>
  <c r="P64" i="1" s="1"/>
  <c r="Q64" i="1" s="1"/>
  <c r="S64" i="1" s="1"/>
  <c r="F65" i="1"/>
  <c r="O65" i="1" s="1"/>
  <c r="P65" i="1" s="1"/>
  <c r="F62" i="1"/>
  <c r="O62" i="1" s="1"/>
  <c r="P62" i="1" s="1"/>
  <c r="Q62" i="1" s="1"/>
  <c r="S62" i="1" s="1"/>
  <c r="E62" i="1"/>
  <c r="F59" i="1"/>
  <c r="O59" i="1" s="1"/>
  <c r="P59" i="1" s="1"/>
  <c r="Q59" i="1" s="1"/>
  <c r="S59" i="1" s="1"/>
  <c r="F60" i="1"/>
  <c r="O60" i="1" s="1"/>
  <c r="P60" i="1" s="1"/>
  <c r="F61" i="1"/>
  <c r="O61" i="1" s="1"/>
  <c r="P61" i="1" s="1"/>
  <c r="Q61" i="1" s="1"/>
  <c r="S61" i="1" s="1"/>
  <c r="F58" i="1"/>
  <c r="O58" i="1" s="1"/>
  <c r="P58" i="1" s="1"/>
  <c r="Q58" i="1" s="1"/>
  <c r="S58" i="1" s="1"/>
  <c r="F57" i="1"/>
  <c r="O57" i="1" s="1"/>
  <c r="P57" i="1" s="1"/>
  <c r="Q57" i="1" s="1"/>
  <c r="S57" i="1" s="1"/>
  <c r="F56" i="1"/>
  <c r="O56" i="1" s="1"/>
  <c r="P56" i="1" s="1"/>
  <c r="Q56" i="1" s="1"/>
  <c r="S56" i="1" s="1"/>
  <c r="F55" i="1"/>
  <c r="O55" i="1" s="1"/>
  <c r="P55" i="1" s="1"/>
  <c r="Q55" i="1" s="1"/>
  <c r="S55" i="1" s="1"/>
  <c r="F54" i="1"/>
  <c r="O54" i="1" s="1"/>
  <c r="F53" i="1"/>
  <c r="O53" i="1" s="1"/>
  <c r="P53" i="1" s="1"/>
  <c r="Q53" i="1" s="1"/>
  <c r="S53" i="1" s="1"/>
  <c r="F52" i="1"/>
  <c r="O52" i="1" s="1"/>
  <c r="P52" i="1" s="1"/>
  <c r="F50" i="1"/>
  <c r="O50" i="1" s="1"/>
  <c r="P50" i="1" s="1"/>
  <c r="F51" i="1"/>
  <c r="O51" i="1" s="1"/>
  <c r="P51" i="1" s="1"/>
  <c r="Q51" i="1" s="1"/>
  <c r="S51" i="1" s="1"/>
  <c r="F49" i="1"/>
  <c r="O49" i="1" s="1"/>
  <c r="P49" i="1" s="1"/>
  <c r="Q49" i="1" s="1"/>
  <c r="S49" i="1" s="1"/>
  <c r="F48" i="1"/>
  <c r="O48" i="1" s="1"/>
  <c r="P48" i="1" s="1"/>
  <c r="Q48" i="1" s="1"/>
  <c r="S48" i="1" s="1"/>
  <c r="F47" i="1"/>
  <c r="O47" i="1" s="1"/>
  <c r="P47" i="1" s="1"/>
  <c r="Q47" i="1" s="1"/>
  <c r="S47" i="1" s="1"/>
  <c r="F46" i="1"/>
  <c r="O46" i="1" s="1"/>
  <c r="P46" i="1" s="1"/>
  <c r="Q46" i="1" s="1"/>
  <c r="S46" i="1" s="1"/>
  <c r="F45" i="1"/>
  <c r="O45" i="1" s="1"/>
  <c r="P45" i="1" s="1"/>
  <c r="Q45" i="1" s="1"/>
  <c r="S45" i="1" s="1"/>
  <c r="F44" i="1"/>
  <c r="O44" i="1" s="1"/>
  <c r="P44" i="1" s="1"/>
  <c r="F43" i="1"/>
  <c r="O43" i="1" s="1"/>
  <c r="P43" i="1" s="1"/>
  <c r="Q43" i="1" s="1"/>
  <c r="S43" i="1" s="1"/>
  <c r="F42" i="1"/>
  <c r="O42" i="1" s="1"/>
  <c r="F41" i="1"/>
  <c r="O41" i="1" s="1"/>
  <c r="P41" i="1" s="1"/>
  <c r="Q41" i="1" s="1"/>
  <c r="S41" i="1" s="1"/>
  <c r="F40" i="1"/>
  <c r="O40" i="1" s="1"/>
  <c r="P40" i="1" s="1"/>
  <c r="Q40" i="1" s="1"/>
  <c r="S40" i="1" s="1"/>
  <c r="F39" i="1"/>
  <c r="O39" i="1" s="1"/>
  <c r="F38" i="1"/>
  <c r="O38" i="1" s="1"/>
  <c r="P38" i="1" s="1"/>
  <c r="F37" i="1"/>
  <c r="O37" i="1" s="1"/>
  <c r="P37" i="1" s="1"/>
  <c r="Q37" i="1" s="1"/>
  <c r="S37" i="1" s="1"/>
  <c r="F34" i="1"/>
  <c r="O34" i="1" s="1"/>
  <c r="F35" i="1"/>
  <c r="O35" i="1" s="1"/>
  <c r="P35" i="1" s="1"/>
  <c r="Q35" i="1" s="1"/>
  <c r="S35" i="1" s="1"/>
  <c r="F36" i="1"/>
  <c r="O36" i="1" s="1"/>
  <c r="P36" i="1" s="1"/>
  <c r="Q36" i="1" s="1"/>
  <c r="S36" i="1" s="1"/>
  <c r="F33" i="1"/>
  <c r="O33" i="1" s="1"/>
  <c r="P33" i="1" s="1"/>
  <c r="Q33" i="1" s="1"/>
  <c r="S33" i="1" s="1"/>
  <c r="F32" i="1"/>
  <c r="O32" i="1" s="1"/>
  <c r="P32" i="1" s="1"/>
  <c r="Q32" i="1" s="1"/>
  <c r="S32" i="1" s="1"/>
  <c r="F30" i="1"/>
  <c r="O30" i="1" s="1"/>
  <c r="P30" i="1" s="1"/>
  <c r="Q30" i="1" s="1"/>
  <c r="S30" i="1" s="1"/>
  <c r="F31" i="1"/>
  <c r="O31" i="1" s="1"/>
  <c r="P31" i="1" s="1"/>
  <c r="Q31" i="1" s="1"/>
  <c r="S31" i="1" s="1"/>
  <c r="F27" i="1"/>
  <c r="O27" i="1" s="1"/>
  <c r="P27" i="1" s="1"/>
  <c r="Q27" i="1" s="1"/>
  <c r="S27" i="1" s="1"/>
  <c r="F28" i="1"/>
  <c r="O28" i="1" s="1"/>
  <c r="P28" i="1" s="1"/>
  <c r="F24" i="1"/>
  <c r="O24" i="1" s="1"/>
  <c r="P24" i="1" s="1"/>
  <c r="Q24" i="1" s="1"/>
  <c r="S24" i="1" s="1"/>
  <c r="F25" i="1"/>
  <c r="O25" i="1" s="1"/>
  <c r="P25" i="1" s="1"/>
  <c r="F23" i="1"/>
  <c r="O23" i="1" s="1"/>
  <c r="P23" i="1" s="1"/>
  <c r="Q23" i="1" s="1"/>
  <c r="S23" i="1" s="1"/>
  <c r="F17" i="1"/>
  <c r="O17" i="1" s="1"/>
  <c r="P17" i="1" s="1"/>
  <c r="F18" i="1"/>
  <c r="O18" i="1" s="1"/>
  <c r="P18" i="1" s="1"/>
  <c r="Q18" i="1" s="1"/>
  <c r="S18" i="1" s="1"/>
  <c r="F15" i="1"/>
  <c r="O15" i="1" s="1"/>
  <c r="P15" i="1" s="1"/>
  <c r="Q15" i="1" s="1"/>
  <c r="S15" i="1" s="1"/>
  <c r="F14" i="1"/>
  <c r="O14" i="1" s="1"/>
  <c r="P14" i="1" s="1"/>
  <c r="Q14" i="1" s="1"/>
  <c r="S14" i="1" s="1"/>
  <c r="F12" i="1"/>
  <c r="O12" i="1" s="1"/>
  <c r="P12" i="1" s="1"/>
  <c r="Q12" i="1" s="1"/>
  <c r="S12" i="1" s="1"/>
  <c r="F11" i="1"/>
  <c r="O11" i="1" s="1"/>
  <c r="P11" i="1" s="1"/>
  <c r="Q11" i="1" s="1"/>
  <c r="S11" i="1" s="1"/>
  <c r="F10" i="1"/>
  <c r="O10" i="1" s="1"/>
  <c r="P10" i="1" s="1"/>
  <c r="Q10" i="1" s="1"/>
  <c r="S10" i="1" s="1"/>
  <c r="F6" i="1"/>
  <c r="O6" i="1" s="1"/>
  <c r="P6" i="1" s="1"/>
  <c r="Q6" i="1" s="1"/>
  <c r="S6" i="1" s="1"/>
  <c r="F7" i="1"/>
  <c r="O7" i="1" s="1"/>
  <c r="P7" i="1" s="1"/>
  <c r="Q7" i="1" s="1"/>
  <c r="S7" i="1" s="1"/>
  <c r="F8" i="1"/>
  <c r="O8" i="1" s="1"/>
  <c r="P8" i="1" s="1"/>
  <c r="Q8" i="1" s="1"/>
  <c r="S8" i="1" s="1"/>
  <c r="Q44" i="1" l="1"/>
  <c r="S44" i="1" s="1"/>
  <c r="P72" i="1"/>
  <c r="Q72" i="1" s="1"/>
  <c r="S72" i="1" s="1"/>
  <c r="E91" i="1"/>
  <c r="P63" i="1"/>
  <c r="Q63" i="1" s="1"/>
  <c r="S63" i="1" s="1"/>
  <c r="Q17" i="1"/>
  <c r="S17" i="1" s="1"/>
  <c r="Q71" i="1"/>
  <c r="S71" i="1" s="1"/>
  <c r="P42" i="1"/>
  <c r="Q42" i="1" s="1"/>
  <c r="S42" i="1" s="1"/>
  <c r="E87" i="1"/>
  <c r="Q67" i="1"/>
  <c r="S67" i="1" s="1"/>
  <c r="Q78" i="1"/>
  <c r="S78" i="1" s="1"/>
  <c r="P34" i="1"/>
  <c r="Q34" i="1" s="1"/>
  <c r="S34" i="1" s="1"/>
  <c r="Q38" i="1"/>
  <c r="S38" i="1" s="1"/>
  <c r="Q50" i="1"/>
  <c r="S50" i="1" s="1"/>
  <c r="Q60" i="1"/>
  <c r="S60" i="1" s="1"/>
  <c r="Q89" i="1"/>
  <c r="S89" i="1" s="1"/>
  <c r="Q79" i="1"/>
  <c r="S79" i="1" s="1"/>
  <c r="Q25" i="1"/>
  <c r="S25" i="1" s="1"/>
  <c r="P54" i="1"/>
  <c r="Q54" i="1" s="1"/>
  <c r="S54" i="1" s="1"/>
  <c r="E89" i="1"/>
  <c r="Q52" i="1"/>
  <c r="S52" i="1" s="1"/>
  <c r="Q91" i="1"/>
  <c r="S91" i="1" s="1"/>
  <c r="Q65" i="1"/>
  <c r="S65" i="1" s="1"/>
  <c r="P39" i="1"/>
  <c r="Q39" i="1" s="1"/>
  <c r="S39" i="1" s="1"/>
  <c r="E84" i="1"/>
  <c r="Q28" i="1"/>
  <c r="S28" i="1" s="1"/>
  <c r="E55" i="1"/>
  <c r="E61" i="1"/>
  <c r="E63" i="1"/>
  <c r="E72" i="1"/>
  <c r="E80" i="1"/>
  <c r="E56" i="1"/>
  <c r="E66" i="1"/>
  <c r="E73" i="1"/>
  <c r="E81" i="1"/>
  <c r="E83" i="1"/>
  <c r="E88" i="1"/>
  <c r="E92" i="1"/>
  <c r="E53" i="1"/>
  <c r="E57" i="1"/>
  <c r="E59" i="1"/>
  <c r="E65" i="1"/>
  <c r="E67" i="1"/>
  <c r="E70" i="1"/>
  <c r="E78" i="1"/>
  <c r="E86" i="1"/>
  <c r="E69" i="1"/>
  <c r="E76" i="1"/>
  <c r="E77" i="1"/>
  <c r="E90" i="1"/>
  <c r="E58" i="1"/>
  <c r="E60" i="1"/>
  <c r="E64" i="1"/>
  <c r="E68" i="1"/>
  <c r="E71" i="1"/>
  <c r="E79" i="1"/>
  <c r="F21" i="1"/>
  <c r="O21" i="1" s="1"/>
  <c r="P21" i="1" s="1"/>
  <c r="Q21" i="1" s="1"/>
  <c r="S21" i="1" s="1"/>
  <c r="E96" i="1" l="1"/>
  <c r="F22" i="1"/>
  <c r="O22" i="1" s="1"/>
  <c r="P22" i="1" s="1"/>
  <c r="Q22" i="1" s="1"/>
  <c r="S22" i="1" s="1"/>
  <c r="F29" i="1"/>
  <c r="O29" i="1" s="1"/>
  <c r="P29" i="1" s="1"/>
  <c r="Q29" i="1" s="1"/>
  <c r="S29" i="1" s="1"/>
  <c r="F26" i="1"/>
  <c r="O26" i="1" s="1"/>
  <c r="P26" i="1" s="1"/>
  <c r="Q26" i="1" s="1"/>
  <c r="S26" i="1" s="1"/>
  <c r="F16" i="1"/>
  <c r="O16" i="1" s="1"/>
  <c r="P16" i="1" s="1"/>
  <c r="Q16" i="1" s="1"/>
  <c r="S16" i="1" s="1"/>
  <c r="F19" i="1"/>
  <c r="O19" i="1" s="1"/>
  <c r="P19" i="1" s="1"/>
  <c r="Q19" i="1" s="1"/>
  <c r="S19" i="1" s="1"/>
  <c r="F20" i="1"/>
  <c r="O20" i="1" s="1"/>
  <c r="P20" i="1" s="1"/>
  <c r="Q20" i="1" s="1"/>
  <c r="S20" i="1" s="1"/>
  <c r="F9" i="1"/>
  <c r="O9" i="1" s="1"/>
  <c r="F13" i="1"/>
  <c r="O13" i="1" s="1"/>
  <c r="P13" i="1" s="1"/>
  <c r="Q13" i="1" s="1"/>
  <c r="S13" i="1" s="1"/>
  <c r="P9" i="1" l="1"/>
  <c r="Q9" i="1" s="1"/>
  <c r="S9" i="1" s="1"/>
  <c r="F5" i="1" l="1"/>
  <c r="F96" i="1" s="1"/>
  <c r="M5" i="1" l="1"/>
  <c r="O5" i="1" l="1"/>
  <c r="O96" i="1" s="1"/>
  <c r="P5" i="1" l="1"/>
  <c r="P96" i="1" s="1"/>
  <c r="Q5" i="1" l="1"/>
  <c r="Q96" i="1" s="1"/>
  <c r="S5" i="1" l="1"/>
  <c r="S96" i="1" s="1"/>
  <c r="D105" i="1" l="1"/>
  <c r="D106" i="1" s="1"/>
  <c r="D108" i="1" s="1"/>
  <c r="S103" i="1"/>
</calcChain>
</file>

<file path=xl/sharedStrings.xml><?xml version="1.0" encoding="utf-8"?>
<sst xmlns="http://schemas.openxmlformats.org/spreadsheetml/2006/main" count="517" uniqueCount="141">
  <si>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</si>
  <si>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</si>
  <si>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</si>
  <si>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</si>
  <si>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</si>
  <si>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</si>
  <si>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</si>
  <si>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</si>
  <si>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</si>
  <si>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</si>
  <si>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</si>
  <si>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</si>
  <si>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</si>
  <si>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</si>
  <si>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</si>
  <si>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</si>
  <si>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</si>
  <si>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</si>
  <si>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</si>
  <si>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</si>
  <si>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RCC structure bounded by brick wall</t>
  </si>
  <si>
    <t xml:space="preserve">First Floor </t>
  </si>
  <si>
    <t>2. Construction year of the plant has been taken from the information provided by the client during site survey.</t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</si>
  <si>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</si>
  <si>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Structure Name </t>
  </si>
  <si>
    <t>TG Building 12 MW</t>
  </si>
  <si>
    <t>TG Building 37 MW</t>
  </si>
  <si>
    <t>ACC Building 37 MW</t>
  </si>
  <si>
    <t>ACC Building 12 MW</t>
  </si>
  <si>
    <t>Ground Floor</t>
  </si>
  <si>
    <t>Second Floor</t>
  </si>
  <si>
    <t>Third Floor</t>
  </si>
  <si>
    <t>GI Shed Mounted on RCC Structure</t>
  </si>
  <si>
    <t xml:space="preserve">Ground Floor </t>
  </si>
  <si>
    <t xml:space="preserve">Second Floor </t>
  </si>
  <si>
    <t xml:space="preserve">Third Floor </t>
  </si>
  <si>
    <t xml:space="preserve">RCC Framed Structure </t>
  </si>
  <si>
    <t>RCC Framed Structure</t>
  </si>
  <si>
    <t>Control Room 33 KV</t>
  </si>
  <si>
    <t>DM Plant 12 MW</t>
  </si>
  <si>
    <t>DM Plant 37 MW</t>
  </si>
  <si>
    <t>GI shed mounted on brick wall</t>
  </si>
  <si>
    <t>MCC Building 650 TPD</t>
  </si>
  <si>
    <t>MCC Building 350 TPD</t>
  </si>
  <si>
    <t>MCC Building 100 TPD</t>
  </si>
  <si>
    <t>First Floor</t>
  </si>
  <si>
    <t>Panel room</t>
  </si>
  <si>
    <t>Ground floor</t>
  </si>
  <si>
    <t>STP</t>
  </si>
  <si>
    <t>HT Break Room</t>
  </si>
  <si>
    <t>Store Room</t>
  </si>
  <si>
    <t>Water Complex-1</t>
  </si>
  <si>
    <t>Water Complex-2</t>
  </si>
  <si>
    <t>DG Panel Room And Canteen Building</t>
  </si>
  <si>
    <t>Office</t>
  </si>
  <si>
    <t>First floor</t>
  </si>
  <si>
    <t>Weigh Bridge Building</t>
  </si>
  <si>
    <t>Near 3 no Gate</t>
  </si>
  <si>
    <t>Near Admin(GF)</t>
  </si>
  <si>
    <t>Near Admin(FF)</t>
  </si>
  <si>
    <t>Dispensary (Under Finishing)</t>
  </si>
  <si>
    <t>Near Main Gate</t>
  </si>
  <si>
    <t>Union Office (old)</t>
  </si>
  <si>
    <t>Helath Centre</t>
  </si>
  <si>
    <t>Security Office</t>
  </si>
  <si>
    <t>Time Office</t>
  </si>
  <si>
    <t>SMS Shed</t>
  </si>
  <si>
    <t>Tin Shed</t>
  </si>
  <si>
    <t>Furnace 1</t>
  </si>
  <si>
    <t>Furnace 2</t>
  </si>
  <si>
    <t>Furnace 3</t>
  </si>
  <si>
    <t>Furnace 4</t>
  </si>
  <si>
    <t>CCM Building 1</t>
  </si>
  <si>
    <t>CCM Building 2</t>
  </si>
  <si>
    <t>GI Shed</t>
  </si>
  <si>
    <t>Billet Storage</t>
  </si>
  <si>
    <t>Rolling Mill</t>
  </si>
  <si>
    <t>CNC M/C Room</t>
  </si>
  <si>
    <t>Lab Room</t>
  </si>
  <si>
    <t>Rolling Mill Office</t>
  </si>
  <si>
    <t>Automobile Workshop</t>
  </si>
  <si>
    <t>Automobile Office</t>
  </si>
  <si>
    <t>Security Barack</t>
  </si>
  <si>
    <t>Cooling Tower Rolling mill</t>
  </si>
  <si>
    <t>Shed Store 1</t>
  </si>
  <si>
    <t>Shed Store 2</t>
  </si>
  <si>
    <t>Shed Store 3</t>
  </si>
  <si>
    <t>Coal Storage 1</t>
  </si>
  <si>
    <t>Coal Storage 2,3 &amp; 4</t>
  </si>
  <si>
    <t>Workshop</t>
  </si>
  <si>
    <t>GI Shed on Brick Wall</t>
  </si>
  <si>
    <t>RMHS Control Room for kiln</t>
  </si>
  <si>
    <t>DRI Lab</t>
  </si>
  <si>
    <t>Iron Ore Crusher Control Room</t>
  </si>
  <si>
    <t>Stock House</t>
  </si>
  <si>
    <t>Cooling Tower 1</t>
  </si>
  <si>
    <t>Cooling Tower 2</t>
  </si>
  <si>
    <t>Mechanical Room CPP</t>
  </si>
  <si>
    <t>Tin Shed mounted on Brick Wall</t>
  </si>
  <si>
    <t>DG Set Room 1</t>
  </si>
  <si>
    <t>DG Set Room 2</t>
  </si>
  <si>
    <t>DG Set Room 3</t>
  </si>
  <si>
    <t xml:space="preserve">GI Shed </t>
  </si>
  <si>
    <t>GI Shed Mounted on RCC Column</t>
  </si>
  <si>
    <t>GI Shed Mounted on Rcc Wall</t>
  </si>
  <si>
    <t>GI Tin Shed</t>
  </si>
  <si>
    <t>BUILDING VALUATION FOR M/S. NILACHAL IRON &amp; POWER LTD.|LOCATED AT RATNAPUR-KANDRA CHANDIL ROAD, DISTRICT SARAIKEL-KHARASWAN, JHARKHAND, PIN CODE 832402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</si>
  <si>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Nilachal Iron and Power Limited</t>
    </r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</si>
  <si>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</si>
  <si>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</si>
  <si>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</si>
  <si>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 xml:space="preserve">Mention the Phase </t>
  </si>
  <si>
    <t>PHASE - I</t>
  </si>
  <si>
    <t>PHASE - III</t>
  </si>
  <si>
    <t>PHASE - II</t>
  </si>
  <si>
    <t>EXISTING</t>
  </si>
  <si>
    <t>S.no</t>
  </si>
  <si>
    <t>Row Labels</t>
  </si>
  <si>
    <t>Grand Total</t>
  </si>
  <si>
    <t>Sum of Depreciated Replacement Market Value
(INR)</t>
  </si>
  <si>
    <t>Road Development</t>
  </si>
  <si>
    <t>and other development</t>
  </si>
  <si>
    <t>2,85,00,000/-</t>
  </si>
  <si>
    <t xml:space="preserve">Land </t>
  </si>
  <si>
    <t>Plant and Machinery</t>
  </si>
  <si>
    <t>Building</t>
  </si>
  <si>
    <t>Particulars</t>
  </si>
  <si>
    <t>Phase 1</t>
  </si>
  <si>
    <t>Phase 2</t>
  </si>
  <si>
    <t>Phase 3</t>
  </si>
  <si>
    <t>Common</t>
  </si>
  <si>
    <t>Existing</t>
  </si>
  <si>
    <t>In INR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</si>
  <si>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pertaing to the building area statement such as area, floor, etc has been taken from physical site measurement only.</t>
    </r>
  </si>
  <si>
    <t>Sum of Gross Replacement Value
(INR)</t>
  </si>
  <si>
    <t>Area (in sq. mtr.)</t>
  </si>
  <si>
    <t>Area 
(in sq.ft)</t>
  </si>
  <si>
    <t>Height (in ft.)</t>
  </si>
  <si>
    <t>Total Life Consumed 
(in years)</t>
  </si>
  <si>
    <t>Total Economical Life
(in years)</t>
  </si>
  <si>
    <t>Plinth Area  Rate 
(in per sq.ft)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</si>
</sst>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3" applyNumberFormat="1" applyFont="1"/>
    <xf numFmtId="43" fontId="0" fillId="0" borderId="0" xfId="0" applyNumberFormat="1"/>
    <xf numFmtId="43" fontId="0" fillId="0" borderId="0" xfId="3" applyFont="1"/>
    <xf numFmtId="166" fontId="0" fillId="0" borderId="4" xfId="3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166" fontId="2" fillId="0" borderId="4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pivotButton="1" applyBorder="1"/>
    <xf numFmtId="166" fontId="0" fillId="0" borderId="4" xfId="0" applyNumberFormat="1" applyBorder="1"/>
    <xf numFmtId="0" fontId="0" fillId="0" borderId="4" xfId="0" applyBorder="1" applyAlignment="1">
      <alignment horizontal="left"/>
    </xf>
    <xf numFmtId="44" fontId="0" fillId="0" borderId="0" xfId="0" applyNumberForma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" fillId="0" borderId="3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 applyAlignment="1">
      <alignment horizontal="center"/>
    </xf>
    <xf numFmtId="166" fontId="0" fillId="0" borderId="4" xfId="3" applyNumberFormat="1" applyFon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4" fontId="0" fillId="4" borderId="4" xfId="0" applyNumberFormat="1" applyFill="1" applyBorder="1" applyAlignment="1">
      <alignment horizontal="center"/>
    </xf>
    <xf numFmtId="166" fontId="0" fillId="4" borderId="4" xfId="3" applyNumberFormat="1" applyFon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5" fontId="0" fillId="4" borderId="4" xfId="1" applyNumberFormat="1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8">
    <dxf>
      <numFmt numFmtId="166" formatCode="_ * #,##0_ ;_ * \-#,##0_ ;_ * &quot;-&quot;??_ ;_ @_ "/>
    </dxf>
    <dxf>
      <numFmt numFmtId="166" formatCode="_ * #,##0_ ;_ * \-#,##0_ ;_ * &quot;-&quot;??_ ;_ @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ul Gupta" refreshedDate="45148.703623611109" createdVersion="5" refreshedVersion="5" minRefreshableVersion="3" recordCount="88">
  <cacheSource type="worksheet">
    <worksheetSource ref="A4:T92" sheet="Sheet1"/>
  </cacheSource>
  <cacheFields count="20">
    <cacheField name="SR. No." numFmtId="0">
      <sharedItems containsSemiMixedTypes="0" containsString="0" containsNumber="1" containsInteger="1" minValue="1" maxValue="88"/>
    </cacheField>
    <cacheField name="Structure Name " numFmtId="0">
      <sharedItems containsBlank="1"/>
    </cacheField>
    <cacheField name="Floor" numFmtId="0">
      <sharedItems/>
    </cacheField>
    <cacheField name="Type of Structure" numFmtId="0">
      <sharedItems/>
    </cacheField>
    <cacheField name="Area (in sq. mtr.)" numFmtId="4">
      <sharedItems containsSemiMixedTypes="0" containsString="0" containsNumber="1" minValue="16.722408026755854" maxValue="1124.1174284652545"/>
    </cacheField>
    <cacheField name="Area _x000a_(in sq.ft)" numFmtId="166">
      <sharedItems containsSemiMixedTypes="0" containsString="0" containsNumber="1" minValue="180" maxValue="12100"/>
    </cacheField>
    <cacheField name="Height (in ft.)" numFmtId="1">
      <sharedItems containsSemiMixedTypes="0" containsString="0" containsNumber="1" containsInteger="1" minValue="10" maxValue="50"/>
    </cacheField>
    <cacheField name="Year of Construction" numFmtId="0">
      <sharedItems containsSemiMixedTypes="0" containsString="0" containsNumber="1" containsInteger="1" minValue="2004" maxValue="2022"/>
    </cacheField>
    <cacheField name="Year of Valuation " numFmtId="0">
      <sharedItems containsSemiMixedTypes="0" containsString="0" containsNumber="1" containsInteger="1" minValue="2023" maxValue="2023"/>
    </cacheField>
    <cacheField name="Total Life Consumed _x000a_(in years)" numFmtId="0">
      <sharedItems containsSemiMixedTypes="0" containsString="0" containsNumber="1" containsInteger="1" minValue="1" maxValue="19"/>
    </cacheField>
    <cacheField name="Total Economical Life_x000a_(in years)" numFmtId="0">
      <sharedItems containsSemiMixedTypes="0" containsString="0" containsNumber="1" containsInteger="1" minValue="45" maxValue="60"/>
    </cacheField>
    <cacheField name="Salvage value" numFmtId="9">
      <sharedItems containsSemiMixedTypes="0" containsString="0" containsNumber="1" minValue="0.1" maxValue="0.1"/>
    </cacheField>
    <cacheField name="Depreciation Rate" numFmtId="164">
      <sharedItems containsSemiMixedTypes="0" containsString="0" containsNumber="1" minValue="1.5000000000000001E-2" maxValue="0.02"/>
    </cacheField>
    <cacheField name="Plinth Area  Rate _x000a_(in per sq.ft)" numFmtId="165">
      <sharedItems containsSemiMixedTypes="0" containsString="0" containsNumber="1" containsInteger="1" minValue="500" maxValue="2200"/>
    </cacheField>
    <cacheField name="Gross Replacement Value_x000a_(INR)" numFmtId="165">
      <sharedItems containsSemiMixedTypes="0" containsString="0" containsNumber="1" minValue="288000" maxValue="24200000"/>
    </cacheField>
    <cacheField name="Depreciation_x000a_(INR) " numFmtId="165">
      <sharedItems containsSemiMixedTypes="0" containsString="0" containsNumber="1" minValue="7920.0000000000009" maxValue="1795500"/>
    </cacheField>
    <cacheField name="Depreciated Value_x000a_(INR)" numFmtId="165">
      <sharedItems containsSemiMixedTypes="0" containsString="0" containsNumber="1" minValue="205920" maxValue="23716000"/>
    </cacheField>
    <cacheField name="Discounting Factor" numFmtId="9">
      <sharedItems containsSemiMixedTypes="0" containsString="0" containsNumber="1" containsInteger="1" minValue="0" maxValue="0"/>
    </cacheField>
    <cacheField name="Depreciated Replacement Market Value_x000a_(INR)" numFmtId="165">
      <sharedItems containsSemiMixedTypes="0" containsString="0" containsNumber="1" minValue="205920" maxValue="23716000"/>
    </cacheField>
    <cacheField name="Mention the Phase " numFmtId="0">
      <sharedItems count="4">
        <s v="PHASE - I"/>
        <s v="PHASE - III"/>
        <s v="PHASE - II"/>
        <s v="EXIST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n v="1"/>
    <s v="TG Building 12 MW"/>
    <s v="Ground Floor"/>
    <s v="RCC Framed Structure"/>
    <n v="694"/>
    <n v="7470.2159999999994"/>
    <n v="15"/>
    <n v="2022"/>
    <n v="2023"/>
    <n v="1"/>
    <n v="60"/>
    <n v="0.1"/>
    <n v="1.5000000000000001E-2"/>
    <n v="2200"/>
    <n v="16434475.199999999"/>
    <n v="246517.128"/>
    <n v="16187958.071999999"/>
    <n v="0"/>
    <n v="16187958.071999999"/>
    <x v="0"/>
  </r>
  <r>
    <n v="2"/>
    <m/>
    <s v="First Floor "/>
    <s v="RCC Framed Structure"/>
    <n v="694"/>
    <n v="7470.2159999999994"/>
    <n v="15"/>
    <n v="2022"/>
    <n v="2023"/>
    <n v="1"/>
    <n v="60"/>
    <n v="0.1"/>
    <n v="1.5000000000000001E-2"/>
    <n v="2200"/>
    <n v="16434475.199999999"/>
    <n v="246517.128"/>
    <n v="16187958.071999999"/>
    <n v="0"/>
    <n v="16187958.071999999"/>
    <x v="0"/>
  </r>
  <r>
    <n v="3"/>
    <m/>
    <s v="Second Floor"/>
    <s v="RCC Framed Structure"/>
    <n v="694"/>
    <n v="7470.2159999999994"/>
    <n v="15"/>
    <n v="2022"/>
    <n v="2023"/>
    <n v="1"/>
    <n v="60"/>
    <n v="0.1"/>
    <n v="1.5000000000000001E-2"/>
    <n v="2200"/>
    <n v="16434475.199999999"/>
    <n v="246517.128"/>
    <n v="16187958.071999999"/>
    <n v="0"/>
    <n v="16187958.071999999"/>
    <x v="0"/>
  </r>
  <r>
    <n v="4"/>
    <m/>
    <s v="Third Floor"/>
    <s v="GI Shed Mounted on RCC Structure"/>
    <n v="694"/>
    <n v="7470.2159999999994"/>
    <n v="15"/>
    <n v="2022"/>
    <n v="2023"/>
    <n v="1"/>
    <n v="45"/>
    <n v="0.1"/>
    <n v="0.02"/>
    <n v="2200"/>
    <n v="16434475.199999999"/>
    <n v="328689.50400000002"/>
    <n v="16105785.695999999"/>
    <n v="0"/>
    <n v="16105785.695999999"/>
    <x v="0"/>
  </r>
  <r>
    <n v="5"/>
    <s v="TG Building 37 MW"/>
    <s v="Ground Floor "/>
    <s v="RCC Framed Structure "/>
    <n v="924"/>
    <n v="9945.9359999999997"/>
    <n v="15"/>
    <n v="2022"/>
    <n v="2023"/>
    <n v="1"/>
    <n v="60"/>
    <n v="0.1"/>
    <n v="1.5000000000000001E-2"/>
    <n v="2200"/>
    <n v="21881059.199999999"/>
    <n v="328215.88800000004"/>
    <n v="21552843.311999999"/>
    <n v="0"/>
    <n v="21552843.311999999"/>
    <x v="1"/>
  </r>
  <r>
    <n v="6"/>
    <m/>
    <s v="First Floor "/>
    <s v="RCC Framed Structure"/>
    <n v="923"/>
    <n v="9935.1719999999987"/>
    <n v="15"/>
    <n v="2022"/>
    <n v="2023"/>
    <n v="1"/>
    <n v="60"/>
    <n v="0.1"/>
    <n v="1.5000000000000001E-2"/>
    <n v="2200"/>
    <n v="21857378.399999999"/>
    <n v="327860.67599999998"/>
    <n v="21529517.723999999"/>
    <n v="0"/>
    <n v="21529517.723999999"/>
    <x v="1"/>
  </r>
  <r>
    <n v="7"/>
    <m/>
    <s v="Second Floor "/>
    <s v="RCC Framed Structure"/>
    <n v="923"/>
    <n v="9935.1719999999987"/>
    <n v="15"/>
    <n v="2022"/>
    <n v="2023"/>
    <n v="1"/>
    <n v="60"/>
    <n v="0.1"/>
    <n v="1.5000000000000001E-2"/>
    <n v="2200"/>
    <n v="21857378.399999999"/>
    <n v="327860.67599999998"/>
    <n v="21529517.723999999"/>
    <n v="0"/>
    <n v="21529517.723999999"/>
    <x v="1"/>
  </r>
  <r>
    <n v="8"/>
    <m/>
    <s v="Third Floor "/>
    <s v="GI Shed Mounted on RCC Structure"/>
    <n v="923"/>
    <n v="9935.1719999999987"/>
    <n v="15"/>
    <n v="2022"/>
    <n v="2023"/>
    <n v="1"/>
    <n v="45"/>
    <n v="0.1"/>
    <n v="0.02"/>
    <n v="2200"/>
    <n v="21857378.399999999"/>
    <n v="437147.56799999997"/>
    <n v="21420230.831999999"/>
    <n v="0"/>
    <n v="21420230.831999999"/>
    <x v="1"/>
  </r>
  <r>
    <n v="9"/>
    <s v="ACC Building 12 MW"/>
    <s v="Ground Floor"/>
    <s v="RCC Framed Structure "/>
    <n v="619"/>
    <n v="6662.9159999999993"/>
    <n v="12"/>
    <n v="2022"/>
    <n v="2023"/>
    <n v="1"/>
    <n v="60"/>
    <n v="0.1"/>
    <n v="1.5000000000000001E-2"/>
    <n v="2100"/>
    <n v="13992123.599999998"/>
    <n v="209881.85399999999"/>
    <n v="13782241.745999997"/>
    <n v="0"/>
    <n v="13782241.745999997"/>
    <x v="0"/>
  </r>
  <r>
    <n v="10"/>
    <m/>
    <s v="First Floor "/>
    <s v="RCC Framed Structure "/>
    <n v="619"/>
    <n v="6662.9159999999993"/>
    <n v="12"/>
    <n v="2022"/>
    <n v="2023"/>
    <n v="1"/>
    <n v="60"/>
    <n v="0.1"/>
    <n v="1.5000000000000001E-2"/>
    <n v="2100"/>
    <n v="13992123.599999998"/>
    <n v="209881.85399999999"/>
    <n v="13782241.745999997"/>
    <n v="0"/>
    <n v="13782241.745999997"/>
    <x v="0"/>
  </r>
  <r>
    <n v="11"/>
    <m/>
    <s v="Second Floor"/>
    <s v="GI Shed Mounted on RCC Structure"/>
    <n v="619"/>
    <n v="6662.9159999999993"/>
    <n v="12"/>
    <n v="2022"/>
    <n v="2023"/>
    <n v="1"/>
    <n v="45"/>
    <n v="0.1"/>
    <n v="0.02"/>
    <n v="2100"/>
    <n v="13992123.599999998"/>
    <n v="279842.47199999995"/>
    <n v="13712281.127999999"/>
    <n v="0"/>
    <n v="13712281.127999999"/>
    <x v="0"/>
  </r>
  <r>
    <n v="12"/>
    <s v="ACC Building 37 MW"/>
    <s v="Ground Floor "/>
    <s v="RCC Framed Structure "/>
    <n v="619"/>
    <n v="6662.9159999999993"/>
    <n v="12"/>
    <n v="2022"/>
    <n v="2023"/>
    <n v="1"/>
    <n v="60"/>
    <n v="0.1"/>
    <n v="1.5000000000000001E-2"/>
    <n v="2100"/>
    <n v="13992123.599999998"/>
    <n v="209881.85399999999"/>
    <n v="13782241.745999997"/>
    <n v="0"/>
    <n v="13782241.745999997"/>
    <x v="1"/>
  </r>
  <r>
    <n v="13"/>
    <m/>
    <s v="First Floor "/>
    <s v="RCC Framed Structure "/>
    <n v="619"/>
    <n v="6662.9159999999993"/>
    <n v="12"/>
    <n v="2022"/>
    <n v="2023"/>
    <n v="1"/>
    <n v="60"/>
    <n v="0.1"/>
    <n v="1.5000000000000001E-2"/>
    <n v="2100"/>
    <n v="13992123.599999998"/>
    <n v="209881.85399999999"/>
    <n v="13782241.745999997"/>
    <n v="0"/>
    <n v="13782241.745999997"/>
    <x v="1"/>
  </r>
  <r>
    <n v="14"/>
    <m/>
    <s v="Second Floor"/>
    <s v="GI Shed Mounted on RCC Structure"/>
    <n v="619"/>
    <n v="6662.9159999999993"/>
    <n v="12"/>
    <n v="2022"/>
    <n v="2023"/>
    <n v="1"/>
    <n v="45"/>
    <n v="0.1"/>
    <n v="0.02"/>
    <n v="2100"/>
    <n v="13992123.599999998"/>
    <n v="279842.47199999995"/>
    <n v="13712281.127999999"/>
    <n v="0"/>
    <n v="13712281.127999999"/>
    <x v="1"/>
  </r>
  <r>
    <n v="15"/>
    <s v="Control Room 33 KV"/>
    <s v="Ground Floor"/>
    <s v="RCC structure bounded by brick wall"/>
    <n v="148"/>
    <n v="1593.0719999999999"/>
    <n v="10"/>
    <n v="2022"/>
    <n v="2023"/>
    <n v="1"/>
    <n v="60"/>
    <n v="0.1"/>
    <n v="1.5000000000000001E-2"/>
    <n v="1600"/>
    <n v="2548915.1999999997"/>
    <n v="38233.727999999996"/>
    <n v="2510681.4719999996"/>
    <n v="0"/>
    <n v="2510681.4719999996"/>
    <x v="0"/>
  </r>
  <r>
    <n v="16"/>
    <s v="DM Plant 12 MW"/>
    <s v="Ground Floor"/>
    <s v="GI shed mounted on brick wall"/>
    <n v="232"/>
    <n v="2497.248"/>
    <n v="11"/>
    <n v="2022"/>
    <n v="2023"/>
    <n v="1"/>
    <n v="45"/>
    <n v="0.1"/>
    <n v="0.02"/>
    <n v="1200"/>
    <n v="2996697.6"/>
    <n v="59933.952000000005"/>
    <n v="2936763.648"/>
    <n v="0"/>
    <n v="2936763.648"/>
    <x v="0"/>
  </r>
  <r>
    <n v="17"/>
    <s v="DM Plant 37 MW"/>
    <s v="Ground Floor"/>
    <s v="GI shed mounted on brick wall"/>
    <n v="600"/>
    <n v="6458.4"/>
    <n v="20"/>
    <n v="2022"/>
    <n v="2023"/>
    <n v="1"/>
    <n v="45"/>
    <n v="0.1"/>
    <n v="0.02"/>
    <n v="1400"/>
    <n v="9041760"/>
    <n v="180835.20000000001"/>
    <n v="8860924.8000000007"/>
    <n v="0"/>
    <n v="8860924.8000000007"/>
    <x v="1"/>
  </r>
  <r>
    <n v="18"/>
    <s v="MCC Building 650 TPD"/>
    <s v="Ground Floor"/>
    <s v="RCC structure bounded by brick wall"/>
    <n v="172.32"/>
    <n v="1854.8524799999998"/>
    <n v="11"/>
    <n v="2022"/>
    <n v="2023"/>
    <n v="1"/>
    <n v="60"/>
    <n v="0.1"/>
    <n v="1.5000000000000001E-2"/>
    <n v="1600"/>
    <n v="2967763.9679999999"/>
    <n v="44516.459520000004"/>
    <n v="2923247.5084799998"/>
    <n v="0"/>
    <n v="2923247.5084799998"/>
    <x v="2"/>
  </r>
  <r>
    <n v="19"/>
    <m/>
    <s v="First Floor"/>
    <s v="RCC structure bounded by brick wall"/>
    <n v="478"/>
    <n v="5145.192"/>
    <n v="11"/>
    <n v="2022"/>
    <n v="2023"/>
    <n v="1"/>
    <n v="60"/>
    <n v="0.1"/>
    <n v="1.5000000000000001E-2"/>
    <n v="1600"/>
    <n v="8232307.2000000002"/>
    <n v="123484.60800000001"/>
    <n v="8108822.5920000002"/>
    <n v="0"/>
    <n v="8108822.5920000002"/>
    <x v="2"/>
  </r>
  <r>
    <n v="20"/>
    <m/>
    <s v="Second Floor"/>
    <s v="RCC structure bounded by brick wall"/>
    <n v="478"/>
    <n v="5145.192"/>
    <n v="11"/>
    <n v="2022"/>
    <n v="2023"/>
    <n v="1"/>
    <n v="60"/>
    <n v="0.1"/>
    <n v="1.5000000000000001E-2"/>
    <n v="1600"/>
    <n v="8232307.2000000002"/>
    <n v="123484.60800000001"/>
    <n v="8108822.5920000002"/>
    <n v="0"/>
    <n v="8108822.5920000002"/>
    <x v="1"/>
  </r>
  <r>
    <n v="21"/>
    <m/>
    <s v="Third Floor"/>
    <s v="RCC structure bounded by brick wall"/>
    <n v="478"/>
    <n v="5145.192"/>
    <n v="11"/>
    <n v="2022"/>
    <n v="2023"/>
    <n v="1"/>
    <n v="60"/>
    <n v="0.1"/>
    <n v="1.5000000000000001E-2"/>
    <n v="1600"/>
    <n v="8232307.2000000002"/>
    <n v="123484.60800000001"/>
    <n v="8108822.5920000002"/>
    <n v="0"/>
    <n v="8108822.5920000002"/>
    <x v="1"/>
  </r>
  <r>
    <n v="22"/>
    <s v="MCC Building 350 TPD"/>
    <s v="Ground Floor"/>
    <s v="RCC structure bounded by brick wall"/>
    <n v="288"/>
    <n v="3100.0319999999997"/>
    <n v="11"/>
    <n v="2022"/>
    <n v="2023"/>
    <n v="1"/>
    <n v="60"/>
    <n v="0.1"/>
    <n v="1.5000000000000001E-2"/>
    <n v="1600"/>
    <n v="4960051.1999999993"/>
    <n v="74400.767999999996"/>
    <n v="4885650.4319999991"/>
    <n v="0"/>
    <n v="4885650.4319999991"/>
    <x v="3"/>
  </r>
  <r>
    <n v="23"/>
    <m/>
    <s v="First Floor"/>
    <s v="RCC structure bounded by brick wall"/>
    <n v="288"/>
    <n v="3100.0319999999997"/>
    <n v="11"/>
    <n v="2022"/>
    <n v="2023"/>
    <n v="1"/>
    <n v="60"/>
    <n v="0.1"/>
    <n v="1.5000000000000001E-2"/>
    <n v="1600"/>
    <n v="4960051.1999999993"/>
    <n v="74400.767999999996"/>
    <n v="4885650.4319999991"/>
    <n v="0"/>
    <n v="4885650.4319999991"/>
    <x v="3"/>
  </r>
  <r>
    <n v="24"/>
    <m/>
    <s v="Second Floor"/>
    <s v="RCC structure bounded by brick wall"/>
    <n v="288"/>
    <n v="3100.0319999999997"/>
    <n v="11"/>
    <n v="2022"/>
    <n v="2023"/>
    <n v="1"/>
    <n v="60"/>
    <n v="0.1"/>
    <n v="1.5000000000000001E-2"/>
    <n v="1600"/>
    <n v="4960051.1999999993"/>
    <n v="74400.767999999996"/>
    <n v="4885650.4319999991"/>
    <n v="0"/>
    <n v="4885650.4319999991"/>
    <x v="3"/>
  </r>
  <r>
    <n v="25"/>
    <s v="MCC Building 100 TPD"/>
    <s v="Ground Floor"/>
    <s v="RCC structure bounded by brick wall"/>
    <n v="288"/>
    <n v="3100.0319999999997"/>
    <n v="10"/>
    <n v="2022"/>
    <n v="2023"/>
    <n v="1"/>
    <n v="60"/>
    <n v="0.1"/>
    <n v="1.5000000000000001E-2"/>
    <n v="1600"/>
    <n v="4960051.1999999993"/>
    <n v="74400.767999999996"/>
    <n v="4885650.4319999991"/>
    <n v="0"/>
    <n v="4885650.4319999991"/>
    <x v="3"/>
  </r>
  <r>
    <n v="26"/>
    <m/>
    <s v="First Floor"/>
    <s v="RCC structure bounded by brick wall"/>
    <n v="288"/>
    <n v="3100.0319999999997"/>
    <n v="10"/>
    <n v="2022"/>
    <n v="2023"/>
    <n v="1"/>
    <n v="60"/>
    <n v="0.1"/>
    <n v="1.5000000000000001E-2"/>
    <n v="1600"/>
    <n v="4960051.1999999993"/>
    <n v="74400.767999999996"/>
    <n v="4885650.4319999991"/>
    <n v="0"/>
    <n v="4885650.4319999991"/>
    <x v="3"/>
  </r>
  <r>
    <n v="27"/>
    <m/>
    <s v="Second Floor"/>
    <s v="RCC structure bounded by brick wall"/>
    <n v="288"/>
    <n v="3100.0319999999997"/>
    <n v="10"/>
    <n v="2022"/>
    <n v="2023"/>
    <n v="1"/>
    <n v="60"/>
    <n v="0.1"/>
    <n v="1.5000000000000001E-2"/>
    <n v="1600"/>
    <n v="4960051.1999999993"/>
    <n v="74400.767999999996"/>
    <n v="4885650.4319999991"/>
    <n v="0"/>
    <n v="4885650.4319999991"/>
    <x v="3"/>
  </r>
  <r>
    <n v="28"/>
    <s v="Panel room"/>
    <s v="Ground Floor"/>
    <s v="RCC structure bounded by brick wall"/>
    <n v="224"/>
    <n v="2411.136"/>
    <n v="15"/>
    <n v="2022"/>
    <n v="2023"/>
    <n v="1"/>
    <n v="60"/>
    <n v="0.1"/>
    <n v="1.5000000000000001E-2"/>
    <n v="1600"/>
    <n v="3857817.6000000001"/>
    <n v="57867.264000000003"/>
    <n v="3799950.3360000001"/>
    <n v="0"/>
    <n v="3799950.3360000001"/>
    <x v="0"/>
  </r>
  <r>
    <n v="29"/>
    <m/>
    <s v="First Floor"/>
    <s v="GI shed mounted on brick wall"/>
    <n v="224"/>
    <n v="2411.136"/>
    <n v="15"/>
    <n v="2022"/>
    <n v="2023"/>
    <n v="1"/>
    <n v="45"/>
    <n v="0.1"/>
    <n v="0.02"/>
    <n v="1200"/>
    <n v="2893363.2000000002"/>
    <n v="57867.264000000003"/>
    <n v="2835495.9360000002"/>
    <n v="0"/>
    <n v="2835495.9360000002"/>
    <x v="0"/>
  </r>
  <r>
    <n v="30"/>
    <s v="STP"/>
    <s v="Ground Floor"/>
    <s v="GI shed mounted on brick wall"/>
    <n v="216"/>
    <n v="2325.0239999999999"/>
    <n v="13"/>
    <n v="2022"/>
    <n v="2023"/>
    <n v="1"/>
    <n v="45"/>
    <n v="0.1"/>
    <n v="0.02"/>
    <n v="1200"/>
    <n v="2790028.8"/>
    <n v="55800.576000000001"/>
    <n v="2734228.2239999999"/>
    <n v="0"/>
    <n v="2734228.2239999999"/>
    <x v="0"/>
  </r>
  <r>
    <n v="31"/>
    <s v="HT Break Room"/>
    <s v="Ground Floor"/>
    <s v="RCC structure bounded by brick wall"/>
    <n v="290"/>
    <n v="3121.56"/>
    <n v="10"/>
    <n v="2022"/>
    <n v="2023"/>
    <n v="1"/>
    <n v="60"/>
    <n v="0.1"/>
    <n v="1.5000000000000001E-2"/>
    <n v="1600"/>
    <n v="4994496"/>
    <n v="74917.440000000002"/>
    <n v="4919578.5599999996"/>
    <n v="0"/>
    <n v="4919578.5599999996"/>
    <x v="0"/>
  </r>
  <r>
    <n v="32"/>
    <m/>
    <s v="First Floor"/>
    <s v="RCC structure bounded by brick wall"/>
    <n v="290"/>
    <n v="3121.56"/>
    <n v="10"/>
    <n v="2022"/>
    <n v="2023"/>
    <n v="1"/>
    <n v="60"/>
    <n v="0.1"/>
    <n v="1.5000000000000001E-2"/>
    <n v="1600"/>
    <n v="4994496"/>
    <n v="74917.440000000002"/>
    <n v="4919578.5599999996"/>
    <n v="0"/>
    <n v="4919578.5599999996"/>
    <x v="0"/>
  </r>
  <r>
    <n v="33"/>
    <s v="Store Room"/>
    <s v="Ground Floor"/>
    <s v="RCC structure bounded by brick wall"/>
    <n v="200"/>
    <n v="2152.7999999999997"/>
    <n v="15"/>
    <n v="2022"/>
    <n v="2023"/>
    <n v="1"/>
    <n v="60"/>
    <n v="0.1"/>
    <n v="1.5000000000000001E-2"/>
    <n v="1600"/>
    <n v="3444479.9999999995"/>
    <n v="51667.199999999997"/>
    <n v="3392812.7999999993"/>
    <n v="0"/>
    <n v="3392812.7999999993"/>
    <x v="3"/>
  </r>
  <r>
    <n v="34"/>
    <m/>
    <s v="First Floor"/>
    <s v="RCC structure bounded by brick wall"/>
    <n v="200"/>
    <n v="2152.7999999999997"/>
    <n v="15"/>
    <n v="2022"/>
    <n v="2023"/>
    <n v="1"/>
    <n v="60"/>
    <n v="0.1"/>
    <n v="1.5000000000000001E-2"/>
    <n v="1600"/>
    <n v="3444479.9999999995"/>
    <n v="51667.199999999997"/>
    <n v="3392812.7999999993"/>
    <n v="0"/>
    <n v="3392812.7999999993"/>
    <x v="3"/>
  </r>
  <r>
    <n v="35"/>
    <s v="Water Complex-1"/>
    <s v="Ground Floor"/>
    <s v="RCC structure bounded by brick wall"/>
    <n v="360"/>
    <n v="3875.04"/>
    <n v="15"/>
    <n v="2022"/>
    <n v="2023"/>
    <n v="1"/>
    <n v="60"/>
    <n v="0.1"/>
    <n v="1.5000000000000001E-2"/>
    <n v="1600"/>
    <n v="6200064"/>
    <n v="93000.960000000006"/>
    <n v="6107063.04"/>
    <n v="0"/>
    <n v="6107063.04"/>
    <x v="0"/>
  </r>
  <r>
    <n v="36"/>
    <m/>
    <s v="First Floor"/>
    <s v="RCC structure bounded by brick wall"/>
    <n v="360"/>
    <n v="3875.04"/>
    <n v="15"/>
    <n v="2022"/>
    <n v="2023"/>
    <n v="1"/>
    <n v="60"/>
    <n v="0.1"/>
    <n v="1.5000000000000001E-2"/>
    <n v="1600"/>
    <n v="6200064"/>
    <n v="93000.960000000006"/>
    <n v="6107063.04"/>
    <n v="0"/>
    <n v="6107063.04"/>
    <x v="0"/>
  </r>
  <r>
    <n v="37"/>
    <m/>
    <s v="Second Floor"/>
    <s v="RCC structure bounded by brick wall"/>
    <n v="360"/>
    <n v="3875.04"/>
    <n v="20"/>
    <n v="2022"/>
    <n v="2023"/>
    <n v="1"/>
    <n v="60"/>
    <n v="0.1"/>
    <n v="1.5000000000000001E-2"/>
    <n v="1600"/>
    <n v="6200064"/>
    <n v="93000.960000000006"/>
    <n v="6107063.04"/>
    <n v="0"/>
    <n v="6107063.04"/>
    <x v="0"/>
  </r>
  <r>
    <n v="38"/>
    <s v="Water Complex-2"/>
    <s v="Ground Floor"/>
    <s v="RCC structure bounded by brick wall"/>
    <n v="91"/>
    <n v="979.52399999999989"/>
    <n v="20"/>
    <n v="2022"/>
    <n v="2023"/>
    <n v="1"/>
    <n v="60"/>
    <n v="0.1"/>
    <n v="1.5000000000000001E-2"/>
    <n v="1600"/>
    <n v="1567238.4"/>
    <n v="23508.576000000001"/>
    <n v="1543729.824"/>
    <n v="0"/>
    <n v="1543729.824"/>
    <x v="1"/>
  </r>
  <r>
    <n v="39"/>
    <m/>
    <s v="First Floor"/>
    <s v="RCC structure bounded by brick wall"/>
    <n v="91"/>
    <n v="979.52399999999989"/>
    <n v="20"/>
    <n v="2022"/>
    <n v="2023"/>
    <n v="1"/>
    <n v="60"/>
    <n v="0.1"/>
    <n v="1.5000000000000001E-2"/>
    <n v="1600"/>
    <n v="1567238.4"/>
    <n v="23508.576000000001"/>
    <n v="1543729.824"/>
    <n v="0"/>
    <n v="1543729.824"/>
    <x v="1"/>
  </r>
  <r>
    <n v="40"/>
    <m/>
    <s v="Second Floor"/>
    <s v="RCC structure bounded by brick wall"/>
    <n v="91"/>
    <n v="979.52399999999989"/>
    <n v="20"/>
    <n v="2022"/>
    <n v="2023"/>
    <n v="1"/>
    <n v="60"/>
    <n v="0.1"/>
    <n v="1.5000000000000001E-2"/>
    <n v="1600"/>
    <n v="1567238.4"/>
    <n v="23508.576000000001"/>
    <n v="1543729.824"/>
    <n v="0"/>
    <n v="1543729.824"/>
    <x v="1"/>
  </r>
  <r>
    <n v="41"/>
    <s v="DG Panel Room And Canteen Building"/>
    <s v="Ground Floor"/>
    <s v="RCC structure bounded by brick wall"/>
    <n v="279.83999999999997"/>
    <n v="3012.1977599999996"/>
    <n v="15"/>
    <n v="2022"/>
    <n v="2023"/>
    <n v="1"/>
    <n v="60"/>
    <n v="0.1"/>
    <n v="1.5000000000000001E-2"/>
    <n v="1700"/>
    <n v="5120736.1919999989"/>
    <n v="76811.042879999994"/>
    <n v="5043925.1491199993"/>
    <n v="0"/>
    <n v="5043925.1491199993"/>
    <x v="1"/>
  </r>
  <r>
    <n v="42"/>
    <m/>
    <s v="First Floor"/>
    <s v="RCC structure bounded by brick wall"/>
    <n v="279.83999999999997"/>
    <n v="3012.1977599999996"/>
    <n v="15"/>
    <n v="2022"/>
    <n v="2023"/>
    <n v="1"/>
    <n v="60"/>
    <n v="0.1"/>
    <n v="1.5000000000000001E-2"/>
    <n v="1700"/>
    <n v="5120736.1919999989"/>
    <n v="76811.042879999994"/>
    <n v="5043925.1491199993"/>
    <n v="0"/>
    <n v="5043925.1491199993"/>
    <x v="1"/>
  </r>
  <r>
    <n v="43"/>
    <s v="Office"/>
    <s v="Ground Floor"/>
    <s v="RCC structure bounded by brick wall"/>
    <n v="132"/>
    <n v="1420.848"/>
    <n v="11"/>
    <n v="2005"/>
    <n v="2023"/>
    <n v="18"/>
    <n v="60"/>
    <n v="0.1"/>
    <n v="1.5000000000000001E-2"/>
    <n v="1600"/>
    <n v="2273356.7999999998"/>
    <n v="613806.33600000001"/>
    <n v="1659550.4639999997"/>
    <n v="0"/>
    <n v="1659550.4639999997"/>
    <x v="3"/>
  </r>
  <r>
    <n v="44"/>
    <m/>
    <s v="First Floor"/>
    <s v="RCC structure bounded by brick wall"/>
    <n v="132"/>
    <n v="1420.848"/>
    <n v="11"/>
    <n v="2005"/>
    <n v="2023"/>
    <n v="18"/>
    <n v="60"/>
    <n v="0.1"/>
    <n v="1.5000000000000001E-2"/>
    <n v="1600"/>
    <n v="2273356.7999999998"/>
    <n v="613806.33600000001"/>
    <n v="1659550.4639999997"/>
    <n v="0"/>
    <n v="1659550.4639999997"/>
    <x v="3"/>
  </r>
  <r>
    <n v="45"/>
    <s v="Weigh Bridge Building"/>
    <s v="Near Admin(GF)"/>
    <s v="RCC structure bounded by brick wall"/>
    <n v="72"/>
    <n v="775.00799999999992"/>
    <n v="15"/>
    <n v="2005"/>
    <n v="2023"/>
    <n v="18"/>
    <n v="60"/>
    <n v="0.1"/>
    <n v="1.5000000000000001E-2"/>
    <n v="1600"/>
    <n v="1240012.7999999998"/>
    <n v="334803.45600000001"/>
    <n v="905209.34399999981"/>
    <n v="0"/>
    <n v="905209.34399999981"/>
    <x v="3"/>
  </r>
  <r>
    <n v="46"/>
    <m/>
    <s v="Near Admin(FF)"/>
    <s v="RCC structure bounded by brick wall"/>
    <n v="72"/>
    <n v="775.00799999999992"/>
    <n v="11"/>
    <n v="2005"/>
    <n v="2023"/>
    <n v="18"/>
    <n v="60"/>
    <n v="0.1"/>
    <n v="1.5000000000000001E-2"/>
    <n v="1600"/>
    <n v="1240012.7999999998"/>
    <n v="334803.45600000001"/>
    <n v="905209.34399999981"/>
    <n v="0"/>
    <n v="905209.34399999981"/>
    <x v="3"/>
  </r>
  <r>
    <n v="47"/>
    <s v="Weigh Bridge Building"/>
    <s v="Near 3 no Gate"/>
    <s v="RCC structure bounded by brick wall"/>
    <n v="35"/>
    <n v="376.73999999999995"/>
    <n v="13"/>
    <n v="2022"/>
    <n v="2023"/>
    <n v="1"/>
    <n v="60"/>
    <n v="0.1"/>
    <n v="1.5000000000000001E-2"/>
    <n v="1600"/>
    <n v="602783.99999999988"/>
    <n v="9041.7599999999984"/>
    <n v="593742.23999999987"/>
    <n v="0"/>
    <n v="593742.23999999987"/>
    <x v="1"/>
  </r>
  <r>
    <n v="48"/>
    <s v="Dispensary (Under Finishing)"/>
    <s v="Near Main Gate"/>
    <s v="RCC structure bounded by brick wall"/>
    <n v="40"/>
    <n v="430.55999999999995"/>
    <n v="10"/>
    <n v="2022"/>
    <n v="2023"/>
    <n v="1"/>
    <n v="60"/>
    <n v="0.1"/>
    <n v="1.5000000000000001E-2"/>
    <n v="1600"/>
    <n v="688895.99999999988"/>
    <n v="10333.439999999999"/>
    <n v="678562.55999999994"/>
    <n v="0"/>
    <n v="678562.55999999994"/>
    <x v="3"/>
  </r>
  <r>
    <n v="49"/>
    <s v="Union Office (old)"/>
    <s v="Ground Floor"/>
    <s v="RCC structure bounded by brick wall"/>
    <n v="22.482348569305092"/>
    <n v="242"/>
    <n v="10"/>
    <n v="2004"/>
    <n v="2023"/>
    <n v="19"/>
    <n v="60"/>
    <n v="0.1"/>
    <n v="1.5000000000000001E-2"/>
    <n v="1200"/>
    <n v="290400"/>
    <n v="82764"/>
    <n v="207636"/>
    <n v="0"/>
    <n v="207636"/>
    <x v="3"/>
  </r>
  <r>
    <n v="50"/>
    <s v="Helath Centre"/>
    <s v="Ground Floor"/>
    <s v="RCC structure bounded by brick wall"/>
    <n v="22.48"/>
    <n v="242"/>
    <n v="10"/>
    <n v="2004"/>
    <n v="2023"/>
    <n v="19"/>
    <n v="60"/>
    <n v="0.1"/>
    <n v="1.5000000000000001E-2"/>
    <n v="1200"/>
    <n v="290400"/>
    <n v="82764"/>
    <n v="207636"/>
    <n v="0"/>
    <n v="207636"/>
    <x v="3"/>
  </r>
  <r>
    <n v="51"/>
    <s v="Security Office"/>
    <s v="Ground Floor"/>
    <s v="RCC structure bounded by brick wall"/>
    <n v="16.722408026755854"/>
    <n v="180"/>
    <n v="10"/>
    <n v="2004"/>
    <n v="2023"/>
    <n v="19"/>
    <n v="60"/>
    <n v="0.1"/>
    <n v="1.5000000000000001E-2"/>
    <n v="1600"/>
    <n v="288000"/>
    <n v="82080"/>
    <n v="205920"/>
    <n v="0"/>
    <n v="205920"/>
    <x v="3"/>
  </r>
  <r>
    <n v="52"/>
    <s v="Time Office"/>
    <s v="Ground Floor"/>
    <s v="RCC structure bounded by brick wall"/>
    <n v="16.722408026755854"/>
    <n v="180"/>
    <n v="10"/>
    <n v="2004"/>
    <n v="2023"/>
    <n v="19"/>
    <n v="60"/>
    <n v="0.1"/>
    <n v="1.5000000000000001E-2"/>
    <n v="1600"/>
    <n v="288000"/>
    <n v="82080"/>
    <n v="205920"/>
    <n v="0"/>
    <n v="205920"/>
    <x v="3"/>
  </r>
  <r>
    <n v="53"/>
    <s v="SMS Shed"/>
    <s v="Ground Floor"/>
    <s v="GI Tin Shed"/>
    <n v="1083.6120401337794"/>
    <n v="11664"/>
    <n v="50"/>
    <n v="2022"/>
    <n v="2023"/>
    <n v="1"/>
    <n v="45"/>
    <n v="0.1"/>
    <n v="0.02"/>
    <n v="2000"/>
    <n v="23328000"/>
    <n v="466560"/>
    <n v="22861440"/>
    <n v="0"/>
    <n v="22861440"/>
    <x v="0"/>
  </r>
  <r>
    <n v="54"/>
    <s v="Furnace 1"/>
    <s v="Ground Floor"/>
    <s v="RCC structure bounded by brick wall"/>
    <n v="301.83946488294316"/>
    <n v="3249"/>
    <n v="10"/>
    <n v="2022"/>
    <n v="2023"/>
    <n v="1"/>
    <n v="60"/>
    <n v="0.1"/>
    <n v="1.5000000000000001E-2"/>
    <n v="1600"/>
    <n v="5198400"/>
    <n v="77976"/>
    <n v="5120424"/>
    <n v="0"/>
    <n v="5120424"/>
    <x v="1"/>
  </r>
  <r>
    <n v="55"/>
    <s v="Furnace 2"/>
    <s v="Ground Floor"/>
    <s v="RCC structure bounded by brick wall"/>
    <n v="301.83946488294316"/>
    <n v="3249"/>
    <n v="10"/>
    <n v="2022"/>
    <n v="2023"/>
    <n v="1"/>
    <n v="60"/>
    <n v="0.1"/>
    <n v="1.5000000000000001E-2"/>
    <n v="1600"/>
    <n v="5198400"/>
    <n v="77976"/>
    <n v="5120424"/>
    <n v="0"/>
    <n v="5120424"/>
    <x v="1"/>
  </r>
  <r>
    <n v="56"/>
    <s v="Furnace 3"/>
    <s v="Ground Floor"/>
    <s v="RCC structure bounded by brick wall"/>
    <n v="301.83946488294316"/>
    <n v="3249"/>
    <n v="10"/>
    <n v="2022"/>
    <n v="2023"/>
    <n v="1"/>
    <n v="60"/>
    <n v="0.1"/>
    <n v="1.5000000000000001E-2"/>
    <n v="1600"/>
    <n v="5198400"/>
    <n v="77976"/>
    <n v="5120424"/>
    <n v="0"/>
    <n v="5120424"/>
    <x v="1"/>
  </r>
  <r>
    <n v="57"/>
    <s v="Furnace 4"/>
    <s v="Ground Floor"/>
    <s v="RCC structure bounded by brick wall"/>
    <n v="301.83946488294316"/>
    <n v="3249"/>
    <n v="10"/>
    <n v="2022"/>
    <n v="2023"/>
    <n v="1"/>
    <n v="60"/>
    <n v="0.1"/>
    <n v="1.5000000000000001E-2"/>
    <n v="1600"/>
    <n v="5198400"/>
    <n v="77976"/>
    <n v="5120424"/>
    <n v="0"/>
    <n v="5120424"/>
    <x v="1"/>
  </r>
  <r>
    <n v="58"/>
    <s v="CCM Building 1"/>
    <s v="Ground Floor"/>
    <s v="RCC structure bounded by brick wall"/>
    <n v="65.403195837978444"/>
    <n v="704"/>
    <n v="10"/>
    <n v="2022"/>
    <n v="2023"/>
    <n v="1"/>
    <n v="60"/>
    <n v="0.1"/>
    <n v="1.5000000000000001E-2"/>
    <n v="1600"/>
    <n v="1126400"/>
    <n v="16896"/>
    <n v="1109504"/>
    <n v="0"/>
    <n v="1109504"/>
    <x v="0"/>
  </r>
  <r>
    <n v="59"/>
    <m/>
    <s v="First Floor"/>
    <s v="GI Shed"/>
    <n v="65.403195837978444"/>
    <n v="704"/>
    <n v="10"/>
    <n v="2022"/>
    <n v="2023"/>
    <n v="1"/>
    <n v="45"/>
    <n v="0.1"/>
    <n v="0.02"/>
    <n v="1200"/>
    <n v="844800"/>
    <n v="16896"/>
    <n v="827904"/>
    <n v="0"/>
    <n v="827904"/>
    <x v="0"/>
  </r>
  <r>
    <n v="60"/>
    <s v="CCM Building 2"/>
    <s v="Ground Floor"/>
    <s v="RCC structure bounded by brick wall"/>
    <n v="65.403195837978444"/>
    <n v="704"/>
    <n v="10"/>
    <n v="2022"/>
    <n v="2023"/>
    <n v="1"/>
    <n v="60"/>
    <n v="0.1"/>
    <n v="1.5000000000000001E-2"/>
    <n v="1600"/>
    <n v="1126400"/>
    <n v="16896"/>
    <n v="1109504"/>
    <n v="0"/>
    <n v="1109504"/>
    <x v="1"/>
  </r>
  <r>
    <n v="61"/>
    <m/>
    <s v="First Floor"/>
    <s v="GI Shed"/>
    <n v="65.403195837978444"/>
    <n v="704"/>
    <n v="10"/>
    <n v="2022"/>
    <n v="2023"/>
    <n v="1"/>
    <n v="45"/>
    <n v="0.1"/>
    <n v="0.02"/>
    <n v="1200"/>
    <n v="844800"/>
    <n v="16896"/>
    <n v="827904"/>
    <n v="0"/>
    <n v="827904"/>
    <x v="1"/>
  </r>
  <r>
    <n v="62"/>
    <s v="Billet Storage"/>
    <s v="Ground Floor"/>
    <s v="GI Shed"/>
    <n v="139.35340022296546"/>
    <n v="1500"/>
    <n v="40"/>
    <n v="2022"/>
    <n v="2023"/>
    <n v="1"/>
    <n v="45"/>
    <n v="0.1"/>
    <n v="0.02"/>
    <n v="1700"/>
    <n v="2550000"/>
    <n v="51000"/>
    <n v="2499000"/>
    <n v="0"/>
    <n v="2499000"/>
    <x v="0"/>
  </r>
  <r>
    <n v="63"/>
    <s v="Rolling Mill"/>
    <s v="Ground Floor"/>
    <s v="GI Shed"/>
    <n v="1124.1174284652545"/>
    <n v="12100"/>
    <n v="50"/>
    <n v="2022"/>
    <n v="2023"/>
    <n v="1"/>
    <n v="45"/>
    <n v="0.1"/>
    <n v="0.02"/>
    <n v="2000"/>
    <n v="24200000"/>
    <n v="484000"/>
    <n v="23716000"/>
    <n v="0"/>
    <n v="23716000"/>
    <x v="0"/>
  </r>
  <r>
    <n v="64"/>
    <s v="CNC M/C Room"/>
    <s v="Ground Floor"/>
    <s v="Tin Shed"/>
    <n v="40.876997398736535"/>
    <n v="440"/>
    <n v="12"/>
    <n v="2022"/>
    <n v="2023"/>
    <n v="1"/>
    <n v="45"/>
    <n v="0.1"/>
    <n v="0.02"/>
    <n v="1100"/>
    <n v="484000"/>
    <n v="9680"/>
    <n v="474320"/>
    <n v="0"/>
    <n v="474320"/>
    <x v="0"/>
  </r>
  <r>
    <n v="65"/>
    <s v="Lab Room"/>
    <s v="Ground Floor"/>
    <s v="Tin Shed"/>
    <n v="289.85507246376812"/>
    <n v="3120"/>
    <n v="12"/>
    <n v="2022"/>
    <n v="2023"/>
    <n v="1"/>
    <n v="45"/>
    <n v="0.1"/>
    <n v="0.02"/>
    <n v="1100"/>
    <n v="3432000"/>
    <n v="68640"/>
    <n v="3363360"/>
    <n v="0"/>
    <n v="3363360"/>
    <x v="0"/>
  </r>
  <r>
    <n v="66"/>
    <s v="Rolling Mill Office"/>
    <s v="Ground Floor"/>
    <s v="RCC structure bounded by brick wall"/>
    <n v="37.160906726124118"/>
    <n v="400"/>
    <n v="10"/>
    <n v="2022"/>
    <n v="2023"/>
    <n v="1"/>
    <n v="60"/>
    <n v="0.1"/>
    <n v="1.5000000000000001E-2"/>
    <n v="1600"/>
    <n v="640000"/>
    <n v="9600"/>
    <n v="630400"/>
    <n v="0"/>
    <n v="630400"/>
    <x v="0"/>
  </r>
  <r>
    <n v="67"/>
    <m/>
    <s v="First Floor"/>
    <s v="GI Shed"/>
    <n v="37.160906726124118"/>
    <n v="400"/>
    <n v="10"/>
    <n v="2022"/>
    <n v="2023"/>
    <n v="1"/>
    <n v="45"/>
    <n v="0.1"/>
    <n v="0.02"/>
    <n v="1200"/>
    <n v="480000"/>
    <n v="9600"/>
    <n v="470400"/>
    <n v="0"/>
    <n v="470400"/>
    <x v="0"/>
  </r>
  <r>
    <n v="68"/>
    <s v="Automobile Workshop"/>
    <s v="Ground Floor"/>
    <s v="GI Shed"/>
    <n v="304.71943515421776"/>
    <n v="3280"/>
    <n v="28"/>
    <n v="2022"/>
    <n v="2023"/>
    <n v="1"/>
    <n v="45"/>
    <n v="0.1"/>
    <n v="0.02"/>
    <n v="1400"/>
    <n v="4592000"/>
    <n v="91840"/>
    <n v="4500160"/>
    <n v="0"/>
    <n v="4500160"/>
    <x v="3"/>
  </r>
  <r>
    <n v="69"/>
    <s v="Automobile Office"/>
    <s v="Ground Floor"/>
    <s v="RCC structure bounded by brick wall"/>
    <n v="41.806020066889637"/>
    <n v="450"/>
    <n v="13"/>
    <n v="2022"/>
    <n v="2023"/>
    <n v="1"/>
    <n v="60"/>
    <n v="0.1"/>
    <n v="1.5000000000000001E-2"/>
    <n v="1600"/>
    <n v="720000"/>
    <n v="10800"/>
    <n v="709200"/>
    <n v="0"/>
    <n v="709200"/>
    <x v="3"/>
  </r>
  <r>
    <n v="70"/>
    <s v="Security Barack"/>
    <s v="Ground Floor"/>
    <s v="RCC structure bounded by brick wall"/>
    <n v="130.06317354143442"/>
    <n v="1400"/>
    <n v="10"/>
    <n v="2022"/>
    <n v="2023"/>
    <n v="1"/>
    <n v="60"/>
    <n v="0.1"/>
    <n v="1.5000000000000001E-2"/>
    <n v="1600"/>
    <n v="2240000"/>
    <n v="33600"/>
    <n v="2206400"/>
    <n v="0"/>
    <n v="2206400"/>
    <x v="3"/>
  </r>
  <r>
    <n v="71"/>
    <m/>
    <s v="First Floor"/>
    <s v="RCC structure bounded by brick wall"/>
    <n v="130.06317354143442"/>
    <n v="1400"/>
    <n v="10"/>
    <n v="2022"/>
    <n v="2023"/>
    <n v="1"/>
    <n v="60"/>
    <n v="0.1"/>
    <n v="1.5000000000000001E-2"/>
    <n v="1600"/>
    <n v="2240000"/>
    <n v="33600"/>
    <n v="2206400"/>
    <n v="0"/>
    <n v="2206400"/>
    <x v="3"/>
  </r>
  <r>
    <n v="72"/>
    <s v="Cooling Tower Rolling mill"/>
    <s v="Ground Floor"/>
    <s v="RCC structure bounded by brick wall"/>
    <n v="30.657748049052397"/>
    <n v="330"/>
    <n v="10"/>
    <n v="2022"/>
    <n v="2023"/>
    <n v="1"/>
    <n v="60"/>
    <n v="0.1"/>
    <n v="1.5000000000000001E-2"/>
    <n v="1600"/>
    <n v="528000"/>
    <n v="7920.0000000000009"/>
    <n v="520080"/>
    <n v="0"/>
    <n v="520080"/>
    <x v="0"/>
  </r>
  <r>
    <n v="73"/>
    <s v="Shed Store 1"/>
    <s v="Ground Floor"/>
    <s v="GI Shed"/>
    <n v="501.67224080267562"/>
    <n v="5400"/>
    <n v="30"/>
    <n v="2022"/>
    <n v="2023"/>
    <n v="1"/>
    <n v="45"/>
    <n v="0.1"/>
    <n v="0.02"/>
    <n v="1400"/>
    <n v="7560000"/>
    <n v="151200"/>
    <n v="7408800"/>
    <n v="0"/>
    <n v="7408800"/>
    <x v="3"/>
  </r>
  <r>
    <n v="74"/>
    <s v="Shed Store 2"/>
    <s v="Ground Floor"/>
    <s v="GI Shed"/>
    <n v="313.54515050167225"/>
    <n v="3375"/>
    <n v="30"/>
    <n v="2004"/>
    <n v="2023"/>
    <n v="19"/>
    <n v="45"/>
    <n v="0.1"/>
    <n v="0.02"/>
    <n v="1400"/>
    <n v="4725000"/>
    <n v="1795500"/>
    <n v="2929500"/>
    <n v="0"/>
    <n v="2929500"/>
    <x v="3"/>
  </r>
  <r>
    <n v="75"/>
    <s v="Shed Store 3"/>
    <s v="Ground Floor"/>
    <s v="GI Shed"/>
    <n v="313.54515050167225"/>
    <n v="3375"/>
    <n v="30"/>
    <n v="2004"/>
    <n v="2023"/>
    <n v="19"/>
    <n v="45"/>
    <n v="0.1"/>
    <n v="0.02"/>
    <n v="1400"/>
    <n v="4725000"/>
    <n v="1795500"/>
    <n v="2929500"/>
    <n v="0"/>
    <n v="2929500"/>
    <x v="3"/>
  </r>
  <r>
    <n v="76"/>
    <s v="Coal Storage 1"/>
    <s v="Ground Floor"/>
    <s v="GI Shed"/>
    <n v="371.60906726124119"/>
    <n v="4000"/>
    <n v="30"/>
    <n v="2022"/>
    <n v="2023"/>
    <n v="1"/>
    <n v="45"/>
    <n v="0.1"/>
    <n v="0.02"/>
    <n v="1400"/>
    <n v="5600000"/>
    <n v="112000"/>
    <n v="5488000"/>
    <n v="0"/>
    <n v="5488000"/>
    <x v="3"/>
  </r>
  <r>
    <n v="77"/>
    <s v="Coal Storage 2,3 &amp; 4"/>
    <s v="Ground Floor"/>
    <s v="GI Shed"/>
    <n v="334.4481605351171"/>
    <n v="3600"/>
    <n v="30"/>
    <n v="2022"/>
    <n v="2023"/>
    <n v="1"/>
    <n v="45"/>
    <n v="0.1"/>
    <n v="0.02"/>
    <n v="1400"/>
    <n v="5040000"/>
    <n v="100800"/>
    <n v="4939200"/>
    <n v="0"/>
    <n v="4939200"/>
    <x v="0"/>
  </r>
  <r>
    <n v="78"/>
    <s v="Workshop"/>
    <s v="Ground Floor"/>
    <s v="GI Shed on Brick Wall"/>
    <n v="267.55852842809367"/>
    <n v="2880"/>
    <n v="23"/>
    <n v="2004"/>
    <n v="2023"/>
    <n v="19"/>
    <n v="45"/>
    <n v="0.1"/>
    <n v="0.02"/>
    <n v="1300"/>
    <n v="3744000"/>
    <n v="1422720"/>
    <n v="2321280"/>
    <n v="0"/>
    <n v="2321280"/>
    <x v="3"/>
  </r>
  <r>
    <n v="79"/>
    <s v="RMHS Control Room for kiln"/>
    <s v="Ground Floor"/>
    <s v="RCC structure bounded by brick wall"/>
    <n v="188.12709030100336"/>
    <n v="2025"/>
    <n v="13"/>
    <n v="2022"/>
    <n v="2023"/>
    <n v="1"/>
    <n v="60"/>
    <n v="0.1"/>
    <n v="1.5000000000000001E-2"/>
    <n v="1500"/>
    <n v="3037500"/>
    <n v="45562.5"/>
    <n v="2991937.5"/>
    <n v="0"/>
    <n v="2991937.5"/>
    <x v="3"/>
  </r>
  <r>
    <n v="80"/>
    <s v="DRI Lab"/>
    <s v="Ground Floor"/>
    <s v="GI Shed on Brick Wall"/>
    <n v="185.8045336306206"/>
    <n v="2000"/>
    <n v="10"/>
    <n v="2004"/>
    <n v="2023"/>
    <n v="19"/>
    <n v="45"/>
    <n v="0.1"/>
    <n v="0.02"/>
    <n v="1200"/>
    <n v="2400000"/>
    <n v="912000"/>
    <n v="1488000"/>
    <n v="0"/>
    <n v="1488000"/>
    <x v="3"/>
  </r>
  <r>
    <n v="81"/>
    <s v="Iron Ore Crusher Control Room"/>
    <s v="Ground Floor"/>
    <s v="RCC structure bounded by brick wall"/>
    <n v="18.580453363062059"/>
    <n v="200"/>
    <n v="10"/>
    <n v="2004"/>
    <n v="2023"/>
    <n v="19"/>
    <n v="60"/>
    <n v="0.1"/>
    <n v="1.5000000000000001E-2"/>
    <n v="1600"/>
    <n v="320000"/>
    <n v="91200"/>
    <n v="228800"/>
    <n v="0"/>
    <n v="228800"/>
    <x v="3"/>
  </r>
  <r>
    <n v="82"/>
    <s v="Stock House"/>
    <s v="Ground Floor"/>
    <s v="GI Shed"/>
    <n v="690.82125603864733"/>
    <n v="7436"/>
    <n v="40"/>
    <n v="2022"/>
    <n v="2023"/>
    <n v="1"/>
    <n v="45"/>
    <n v="0.1"/>
    <n v="0.02"/>
    <n v="1700"/>
    <n v="12641200"/>
    <n v="252824"/>
    <n v="12388376"/>
    <n v="0"/>
    <n v="12388376"/>
    <x v="3"/>
  </r>
  <r>
    <n v="83"/>
    <s v="Cooling Tower 1"/>
    <s v="Ground Floor"/>
    <s v="RCC structure bounded by brick wall"/>
    <n v="55.74136008918618"/>
    <n v="600"/>
    <n v="10"/>
    <n v="2022"/>
    <n v="2023"/>
    <n v="1"/>
    <n v="60"/>
    <n v="0.1"/>
    <n v="1.5000000000000001E-2"/>
    <n v="1600"/>
    <n v="960000"/>
    <n v="14400.000000000002"/>
    <n v="945600"/>
    <n v="0"/>
    <n v="945600"/>
    <x v="0"/>
  </r>
  <r>
    <n v="84"/>
    <s v="Cooling Tower 2"/>
    <s v="Ground Floor"/>
    <s v="RCC structure bounded by brick wall"/>
    <n v="55.74136008918618"/>
    <n v="600"/>
    <n v="10"/>
    <n v="2022"/>
    <n v="2023"/>
    <n v="1"/>
    <n v="60"/>
    <n v="0.1"/>
    <n v="1.5000000000000001E-2"/>
    <n v="1600"/>
    <n v="960000"/>
    <n v="14400.000000000002"/>
    <n v="945600"/>
    <n v="0"/>
    <n v="945600"/>
    <x v="1"/>
  </r>
  <r>
    <n v="85"/>
    <s v="Mechanical Room CPP"/>
    <s v="Ground Floor"/>
    <s v="Tin Shed mounted on Brick Wall"/>
    <n v="55.74136008918618"/>
    <n v="600"/>
    <n v="10"/>
    <n v="2022"/>
    <n v="2023"/>
    <n v="1"/>
    <n v="45"/>
    <n v="0.1"/>
    <n v="0.02"/>
    <n v="800"/>
    <n v="480000"/>
    <n v="9600"/>
    <n v="470400"/>
    <n v="0"/>
    <n v="470400"/>
    <x v="0"/>
  </r>
  <r>
    <n v="86"/>
    <s v="DG Set Room 1"/>
    <s v="Ground Floor"/>
    <s v="GI Shed "/>
    <n v="204.38498699368265"/>
    <n v="2200"/>
    <n v="22"/>
    <n v="2022"/>
    <n v="2023"/>
    <n v="1"/>
    <n v="45"/>
    <n v="0.1"/>
    <n v="0.02"/>
    <n v="500"/>
    <n v="1100000"/>
    <n v="22000"/>
    <n v="1078000"/>
    <n v="0"/>
    <n v="1078000"/>
    <x v="0"/>
  </r>
  <r>
    <n v="87"/>
    <s v="DG Set Room 2"/>
    <s v="Ground Floor"/>
    <s v="GI Shed Mounted on RCC Column"/>
    <n v="204.38498699368265"/>
    <n v="2200"/>
    <n v="20"/>
    <n v="2022"/>
    <n v="2023"/>
    <n v="1"/>
    <n v="45"/>
    <n v="0.1"/>
    <n v="0.02"/>
    <n v="1400"/>
    <n v="3080000"/>
    <n v="61600"/>
    <n v="3018400"/>
    <n v="0"/>
    <n v="3018400"/>
    <x v="1"/>
  </r>
  <r>
    <n v="88"/>
    <s v="DG Set Room 3"/>
    <s v="Ground Floor"/>
    <s v="GI Shed Mounted on Rcc Wall"/>
    <n v="188.12709030100336"/>
    <n v="2025"/>
    <n v="20"/>
    <n v="2022"/>
    <n v="2023"/>
    <n v="1"/>
    <n v="45"/>
    <n v="0.1"/>
    <n v="0.02"/>
    <n v="1400"/>
    <n v="2835000"/>
    <n v="56700"/>
    <n v="2778300"/>
    <n v="0"/>
    <n v="27783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8" firstHeaderRow="0" firstDataRow="1" firstDataCol="1"/>
  <pivotFields count="20">
    <pivotField showAll="0"/>
    <pivotField showAll="0"/>
    <pivotField showAll="0"/>
    <pivotField showAll="0"/>
    <pivotField numFmtId="4" showAll="0"/>
    <pivotField numFmtId="166" showAll="0"/>
    <pivotField numFmtId="1" showAll="0"/>
    <pivotField showAll="0"/>
    <pivotField showAll="0"/>
    <pivotField showAll="0"/>
    <pivotField showAll="0"/>
    <pivotField numFmtId="9" showAll="0"/>
    <pivotField numFmtId="164" showAll="0"/>
    <pivotField numFmtId="165" showAll="0"/>
    <pivotField dataField="1" numFmtId="165" showAll="0"/>
    <pivotField numFmtId="165" showAll="0"/>
    <pivotField numFmtId="165" showAll="0"/>
    <pivotField numFmtId="9" showAll="0"/>
    <pivotField dataField="1" numFmtId="165" showAll="0"/>
    <pivotField axis="axisRow" showAll="0">
      <items count="5">
        <item x="3"/>
        <item x="0"/>
        <item x="2"/>
        <item x="1"/>
        <item t="default"/>
      </items>
    </pivotField>
  </pivotFields>
  <rowFields count="1">
    <field x="1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Replacement Value_x000a_(INR)" fld="14" baseField="0" baseItem="0"/>
    <dataField name="Sum of Depreciated Replacement Market Value_x000a_(INR)" fld="18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19" type="button" dataOnly="0" labelOnly="1" outline="0" axis="axisRow" fieldPosition="0"/>
    </format>
    <format dxfId="4">
      <pivotArea dataOnly="0" labelOnly="1" fieldPosition="0">
        <references count="1">
          <reference field="19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T31" totalsRowShown="0">
  <autoFilter ref="A1:T31"/>
  <tableColumns count="20">
    <tableColumn id="1" name="SR. No."/>
    <tableColumn id="2" name="Structure Name "/>
    <tableColumn id="3" name="Floor"/>
    <tableColumn id="4" name="Type of Structure"/>
    <tableColumn id="5" name="Area (in sq. mtr.)"/>
    <tableColumn id="6" name="Area _x000a_(in sq.ft)"/>
    <tableColumn id="7" name="Height (in ft.)"/>
    <tableColumn id="8" name="Year of Construction"/>
    <tableColumn id="9" name="Year of Valuation "/>
    <tableColumn id="10" name="Total Life Consumed _x000a_(in years)"/>
    <tableColumn id="11" name="Total Economical Life_x000a_(in years)"/>
    <tableColumn id="12" name="Salvage value"/>
    <tableColumn id="13" name="Depreciation Rate"/>
    <tableColumn id="14" name="Plinth Area  Rate _x000a_(in per sq.ft)"/>
    <tableColumn id="15" name="Gross Replacement Value_x000a_(INR)"/>
    <tableColumn id="16" name="Depreciation_x000a_(INR) "/>
    <tableColumn id="17" name="Depreciated Value_x000a_(INR)"/>
    <tableColumn id="18" name="Discounting Factor"/>
    <tableColumn id="19" name="Depreciated Replacement Market Value_x000a_(INR)"/>
    <tableColumn id="20" name="Mention the Phase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U114"/>
  <sheetViews>
    <sheetView tabSelected="1" topLeftCell="K50" zoomScaleNormal="100" workbookViewId="0">
      <selection activeCell="T72" sqref="T72"/>
    </sheetView>
  </sheetViews>
  <sheetFormatPr defaultRowHeight="15" x14ac:dyDescent="0.25"/>
  <cols>
    <col min="1" max="1" width="8.7109375" bestFit="1" customWidth="1"/>
    <col min="2" max="2" width="27" style="61" bestFit="1" customWidth="1"/>
    <col min="3" max="3" width="22.42578125" bestFit="1" customWidth="1"/>
    <col min="4" max="4" width="23.28515625" style="9" bestFit="1" customWidth="1"/>
    <col min="5" max="5" width="14.7109375" style="17" bestFit="1" customWidth="1"/>
    <col min="6" max="6" width="12.28515625" bestFit="1" customWidth="1"/>
    <col min="7" max="7" width="16.85546875" style="16" bestFit="1" customWidth="1"/>
    <col min="8" max="8" width="16.85546875" bestFit="1" customWidth="1"/>
    <col min="9" max="9" width="14.85546875" bestFit="1" customWidth="1"/>
    <col min="10" max="10" width="15" bestFit="1" customWidth="1"/>
    <col min="11" max="11" width="20.5703125" bestFit="1" customWidth="1"/>
    <col min="12" max="12" width="12.28515625" bestFit="1" customWidth="1"/>
    <col min="13" max="13" width="15.85546875" bestFit="1" customWidth="1"/>
    <col min="14" max="14" width="15.42578125" bestFit="1" customWidth="1"/>
    <col min="15" max="15" width="17.28515625" bestFit="1" customWidth="1"/>
    <col min="16" max="16" width="17" bestFit="1" customWidth="1"/>
    <col min="17" max="17" width="16.42578125" bestFit="1" customWidth="1"/>
    <col min="18" max="18" width="16" bestFit="1" customWidth="1"/>
    <col min="19" max="19" width="17.7109375" bestFit="1" customWidth="1"/>
    <col min="20" max="20" width="22.7109375" style="23" bestFit="1" customWidth="1"/>
    <col min="21" max="21" width="14.28515625" style="10" bestFit="1" customWidth="1"/>
  </cols>
  <sheetData>
    <row r="3" spans="1:20" ht="15.75" x14ac:dyDescent="0.25">
      <c r="A3" s="69" t="s">
        <v>106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60" x14ac:dyDescent="0.25">
      <c r="A4" s="1" t="s">
        <v>0</v>
      </c>
      <c r="B4" s="1" t="s">
        <v>24</v>
      </c>
      <c r="C4" s="1" t="s">
        <v>1</v>
      </c>
      <c r="D4" s="1" t="s">
        <v>2</v>
      </c>
      <c r="E4" s="18" t="s">
        <v>19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111</v>
      </c>
    </row>
    <row r="5" spans="1:20" hidden="1" x14ac:dyDescent="0.25">
      <c r="A5" s="25">
        <v>1</v>
      </c>
      <c r="B5" s="77" t="s">
        <v>25</v>
      </c>
      <c r="C5" s="42" t="s">
        <v>29</v>
      </c>
      <c r="D5" s="42" t="s">
        <v>37</v>
      </c>
      <c r="E5" s="43">
        <v>694</v>
      </c>
      <c r="F5" s="44">
        <f>10.764*E5</f>
        <v>7470.2159999999994</v>
      </c>
      <c r="G5" s="45">
        <v>15</v>
      </c>
      <c r="H5" s="25">
        <v>2022</v>
      </c>
      <c r="I5" s="25">
        <v>2023</v>
      </c>
      <c r="J5" s="25">
        <f>I5-H5</f>
        <v>1</v>
      </c>
      <c r="K5" s="25">
        <v>60</v>
      </c>
      <c r="L5" s="46">
        <v>0.1</v>
      </c>
      <c r="M5" s="47">
        <f>(1-L5)/K5</f>
        <v>1.5000000000000001E-2</v>
      </c>
      <c r="N5" s="48">
        <v>2200</v>
      </c>
      <c r="O5" s="48">
        <f>N5*F5</f>
        <v>16434475.199999999</v>
      </c>
      <c r="P5" s="48">
        <f>O5*M5*J5</f>
        <v>246517.128</v>
      </c>
      <c r="Q5" s="48">
        <f>MAX(O5-P5,0)</f>
        <v>16187958.071999999</v>
      </c>
      <c r="R5" s="49">
        <v>0</v>
      </c>
      <c r="S5" s="48">
        <f t="shared" ref="S5:S92" si="0">IF(Q5&gt;L5*O5,Q5*(1-R5),O5*L5)</f>
        <v>16187958.071999999</v>
      </c>
      <c r="T5" s="25" t="s">
        <v>112</v>
      </c>
    </row>
    <row r="6" spans="1:20" hidden="1" x14ac:dyDescent="0.25">
      <c r="A6" s="25">
        <v>2</v>
      </c>
      <c r="B6" s="82"/>
      <c r="C6" s="42" t="s">
        <v>21</v>
      </c>
      <c r="D6" s="42" t="s">
        <v>37</v>
      </c>
      <c r="E6" s="43">
        <v>694</v>
      </c>
      <c r="F6" s="44">
        <f t="shared" ref="F6:F8" si="1">10.764*E6</f>
        <v>7470.2159999999994</v>
      </c>
      <c r="G6" s="45">
        <v>15</v>
      </c>
      <c r="H6" s="25">
        <v>2022</v>
      </c>
      <c r="I6" s="25">
        <v>2023</v>
      </c>
      <c r="J6" s="25">
        <f>I6-H6</f>
        <v>1</v>
      </c>
      <c r="K6" s="25">
        <v>60</v>
      </c>
      <c r="L6" s="46">
        <v>0.1</v>
      </c>
      <c r="M6" s="47">
        <f t="shared" ref="M6:M69" si="2">(1-L6)/K6</f>
        <v>1.5000000000000001E-2</v>
      </c>
      <c r="N6" s="48">
        <v>2200</v>
      </c>
      <c r="O6" s="48">
        <f t="shared" ref="O6:O69" si="3">N6*F6</f>
        <v>16434475.199999999</v>
      </c>
      <c r="P6" s="48">
        <f t="shared" ref="P6:P69" si="4">O6*M6*J6</f>
        <v>246517.128</v>
      </c>
      <c r="Q6" s="48">
        <f t="shared" ref="Q6:Q69" si="5">MAX(O6-P6,0)</f>
        <v>16187958.071999999</v>
      </c>
      <c r="R6" s="49">
        <v>0</v>
      </c>
      <c r="S6" s="48">
        <f t="shared" si="0"/>
        <v>16187958.071999999</v>
      </c>
      <c r="T6" s="25" t="s">
        <v>112</v>
      </c>
    </row>
    <row r="7" spans="1:20" hidden="1" x14ac:dyDescent="0.25">
      <c r="A7" s="25">
        <v>3</v>
      </c>
      <c r="B7" s="82"/>
      <c r="C7" s="42" t="s">
        <v>30</v>
      </c>
      <c r="D7" s="42" t="s">
        <v>37</v>
      </c>
      <c r="E7" s="43">
        <v>694</v>
      </c>
      <c r="F7" s="44">
        <f t="shared" si="1"/>
        <v>7470.2159999999994</v>
      </c>
      <c r="G7" s="45">
        <v>15</v>
      </c>
      <c r="H7" s="25">
        <v>2022</v>
      </c>
      <c r="I7" s="25">
        <v>2023</v>
      </c>
      <c r="J7" s="25">
        <f t="shared" ref="J7:J70" si="6">I7-H7</f>
        <v>1</v>
      </c>
      <c r="K7" s="25">
        <v>60</v>
      </c>
      <c r="L7" s="46">
        <v>0.1</v>
      </c>
      <c r="M7" s="47">
        <f t="shared" si="2"/>
        <v>1.5000000000000001E-2</v>
      </c>
      <c r="N7" s="48">
        <v>2200</v>
      </c>
      <c r="O7" s="48">
        <f t="shared" si="3"/>
        <v>16434475.199999999</v>
      </c>
      <c r="P7" s="48">
        <f t="shared" si="4"/>
        <v>246517.128</v>
      </c>
      <c r="Q7" s="48">
        <f t="shared" si="5"/>
        <v>16187958.071999999</v>
      </c>
      <c r="R7" s="49">
        <v>0</v>
      </c>
      <c r="S7" s="48">
        <f t="shared" si="0"/>
        <v>16187958.071999999</v>
      </c>
      <c r="T7" s="25" t="s">
        <v>112</v>
      </c>
    </row>
    <row r="8" spans="1:20" ht="30" hidden="1" x14ac:dyDescent="0.25">
      <c r="A8" s="25">
        <v>4</v>
      </c>
      <c r="B8" s="78"/>
      <c r="C8" s="42" t="s">
        <v>31</v>
      </c>
      <c r="D8" s="42" t="s">
        <v>32</v>
      </c>
      <c r="E8" s="43">
        <v>694</v>
      </c>
      <c r="F8" s="44">
        <f t="shared" si="1"/>
        <v>7470.2159999999994</v>
      </c>
      <c r="G8" s="45">
        <v>15</v>
      </c>
      <c r="H8" s="25">
        <v>2022</v>
      </c>
      <c r="I8" s="25">
        <v>2023</v>
      </c>
      <c r="J8" s="25">
        <f t="shared" si="6"/>
        <v>1</v>
      </c>
      <c r="K8" s="25">
        <v>45</v>
      </c>
      <c r="L8" s="46">
        <v>0.1</v>
      </c>
      <c r="M8" s="47">
        <f t="shared" si="2"/>
        <v>0.02</v>
      </c>
      <c r="N8" s="48">
        <v>2200</v>
      </c>
      <c r="O8" s="48">
        <f t="shared" si="3"/>
        <v>16434475.199999999</v>
      </c>
      <c r="P8" s="48">
        <f t="shared" si="4"/>
        <v>328689.50400000002</v>
      </c>
      <c r="Q8" s="48">
        <f t="shared" si="5"/>
        <v>16105785.695999999</v>
      </c>
      <c r="R8" s="49">
        <v>0</v>
      </c>
      <c r="S8" s="48">
        <f t="shared" si="0"/>
        <v>16105785.695999999</v>
      </c>
      <c r="T8" s="25" t="s">
        <v>112</v>
      </c>
    </row>
    <row r="9" spans="1:20" hidden="1" x14ac:dyDescent="0.25">
      <c r="A9" s="25">
        <v>5</v>
      </c>
      <c r="B9" s="77" t="s">
        <v>26</v>
      </c>
      <c r="C9" s="42" t="s">
        <v>33</v>
      </c>
      <c r="D9" s="42" t="s">
        <v>36</v>
      </c>
      <c r="E9" s="43">
        <v>924</v>
      </c>
      <c r="F9" s="44">
        <f t="shared" ref="F9:F52" si="7">10.764*E9</f>
        <v>9945.9359999999997</v>
      </c>
      <c r="G9" s="45">
        <v>15</v>
      </c>
      <c r="H9" s="25">
        <v>2022</v>
      </c>
      <c r="I9" s="25">
        <v>2023</v>
      </c>
      <c r="J9" s="25">
        <f t="shared" si="6"/>
        <v>1</v>
      </c>
      <c r="K9" s="25">
        <v>60</v>
      </c>
      <c r="L9" s="46">
        <v>0.1</v>
      </c>
      <c r="M9" s="47">
        <f t="shared" si="2"/>
        <v>1.5000000000000001E-2</v>
      </c>
      <c r="N9" s="48">
        <v>2200</v>
      </c>
      <c r="O9" s="48">
        <f t="shared" si="3"/>
        <v>21881059.199999999</v>
      </c>
      <c r="P9" s="48">
        <f t="shared" si="4"/>
        <v>328215.88800000004</v>
      </c>
      <c r="Q9" s="48">
        <f t="shared" si="5"/>
        <v>21552843.311999999</v>
      </c>
      <c r="R9" s="49">
        <v>0</v>
      </c>
      <c r="S9" s="48">
        <f t="shared" si="0"/>
        <v>21552843.311999999</v>
      </c>
      <c r="T9" s="25" t="s">
        <v>113</v>
      </c>
    </row>
    <row r="10" spans="1:20" hidden="1" x14ac:dyDescent="0.25">
      <c r="A10" s="25">
        <v>6</v>
      </c>
      <c r="B10" s="82"/>
      <c r="C10" s="42" t="s">
        <v>21</v>
      </c>
      <c r="D10" s="42" t="s">
        <v>37</v>
      </c>
      <c r="E10" s="43">
        <v>923</v>
      </c>
      <c r="F10" s="44">
        <f t="shared" si="7"/>
        <v>9935.1719999999987</v>
      </c>
      <c r="G10" s="45">
        <v>15</v>
      </c>
      <c r="H10" s="25">
        <v>2022</v>
      </c>
      <c r="I10" s="25">
        <v>2023</v>
      </c>
      <c r="J10" s="25">
        <f t="shared" si="6"/>
        <v>1</v>
      </c>
      <c r="K10" s="25">
        <v>60</v>
      </c>
      <c r="L10" s="46">
        <v>0.1</v>
      </c>
      <c r="M10" s="47">
        <f t="shared" si="2"/>
        <v>1.5000000000000001E-2</v>
      </c>
      <c r="N10" s="48">
        <v>2200</v>
      </c>
      <c r="O10" s="48">
        <f t="shared" si="3"/>
        <v>21857378.399999999</v>
      </c>
      <c r="P10" s="48">
        <f t="shared" si="4"/>
        <v>327860.67599999998</v>
      </c>
      <c r="Q10" s="48">
        <f t="shared" si="5"/>
        <v>21529517.723999999</v>
      </c>
      <c r="R10" s="49">
        <v>0</v>
      </c>
      <c r="S10" s="48">
        <f t="shared" si="0"/>
        <v>21529517.723999999</v>
      </c>
      <c r="T10" s="25" t="s">
        <v>113</v>
      </c>
    </row>
    <row r="11" spans="1:20" hidden="1" x14ac:dyDescent="0.25">
      <c r="A11" s="25">
        <v>7</v>
      </c>
      <c r="B11" s="82"/>
      <c r="C11" s="42" t="s">
        <v>34</v>
      </c>
      <c r="D11" s="42" t="s">
        <v>37</v>
      </c>
      <c r="E11" s="43">
        <v>923</v>
      </c>
      <c r="F11" s="44">
        <f t="shared" si="7"/>
        <v>9935.1719999999987</v>
      </c>
      <c r="G11" s="45">
        <v>15</v>
      </c>
      <c r="H11" s="25">
        <v>2022</v>
      </c>
      <c r="I11" s="25">
        <v>2023</v>
      </c>
      <c r="J11" s="25">
        <f t="shared" si="6"/>
        <v>1</v>
      </c>
      <c r="K11" s="25">
        <v>60</v>
      </c>
      <c r="L11" s="46">
        <v>0.1</v>
      </c>
      <c r="M11" s="47">
        <f t="shared" si="2"/>
        <v>1.5000000000000001E-2</v>
      </c>
      <c r="N11" s="48">
        <v>2200</v>
      </c>
      <c r="O11" s="48">
        <f t="shared" si="3"/>
        <v>21857378.399999999</v>
      </c>
      <c r="P11" s="48">
        <f t="shared" si="4"/>
        <v>327860.67599999998</v>
      </c>
      <c r="Q11" s="48">
        <f t="shared" si="5"/>
        <v>21529517.723999999</v>
      </c>
      <c r="R11" s="49">
        <v>0</v>
      </c>
      <c r="S11" s="48">
        <f t="shared" si="0"/>
        <v>21529517.723999999</v>
      </c>
      <c r="T11" s="25" t="s">
        <v>113</v>
      </c>
    </row>
    <row r="12" spans="1:20" ht="30" hidden="1" x14ac:dyDescent="0.25">
      <c r="A12" s="25">
        <v>8</v>
      </c>
      <c r="B12" s="78"/>
      <c r="C12" s="42" t="s">
        <v>35</v>
      </c>
      <c r="D12" s="42" t="s">
        <v>32</v>
      </c>
      <c r="E12" s="43">
        <v>923</v>
      </c>
      <c r="F12" s="44">
        <f t="shared" si="7"/>
        <v>9935.1719999999987</v>
      </c>
      <c r="G12" s="45">
        <v>15</v>
      </c>
      <c r="H12" s="25">
        <v>2022</v>
      </c>
      <c r="I12" s="25">
        <v>2023</v>
      </c>
      <c r="J12" s="25">
        <f t="shared" si="6"/>
        <v>1</v>
      </c>
      <c r="K12" s="25">
        <v>45</v>
      </c>
      <c r="L12" s="46">
        <v>0.1</v>
      </c>
      <c r="M12" s="47">
        <f t="shared" si="2"/>
        <v>0.02</v>
      </c>
      <c r="N12" s="48">
        <v>2200</v>
      </c>
      <c r="O12" s="48">
        <f t="shared" si="3"/>
        <v>21857378.399999999</v>
      </c>
      <c r="P12" s="48">
        <f t="shared" si="4"/>
        <v>437147.56799999997</v>
      </c>
      <c r="Q12" s="48">
        <f t="shared" si="5"/>
        <v>21420230.831999999</v>
      </c>
      <c r="R12" s="49">
        <v>0</v>
      </c>
      <c r="S12" s="48">
        <f t="shared" si="0"/>
        <v>21420230.831999999</v>
      </c>
      <c r="T12" s="25" t="s">
        <v>113</v>
      </c>
    </row>
    <row r="13" spans="1:20" hidden="1" x14ac:dyDescent="0.25">
      <c r="A13" s="25">
        <v>9</v>
      </c>
      <c r="B13" s="67" t="s">
        <v>28</v>
      </c>
      <c r="C13" s="42" t="s">
        <v>29</v>
      </c>
      <c r="D13" s="42" t="s">
        <v>36</v>
      </c>
      <c r="E13" s="43">
        <v>619</v>
      </c>
      <c r="F13" s="44">
        <f t="shared" si="7"/>
        <v>6662.9159999999993</v>
      </c>
      <c r="G13" s="45">
        <v>12</v>
      </c>
      <c r="H13" s="25">
        <v>2022</v>
      </c>
      <c r="I13" s="25">
        <v>2023</v>
      </c>
      <c r="J13" s="25">
        <f t="shared" si="6"/>
        <v>1</v>
      </c>
      <c r="K13" s="25">
        <v>60</v>
      </c>
      <c r="L13" s="46">
        <v>0.1</v>
      </c>
      <c r="M13" s="47">
        <f t="shared" si="2"/>
        <v>1.5000000000000001E-2</v>
      </c>
      <c r="N13" s="48">
        <v>2100</v>
      </c>
      <c r="O13" s="48">
        <f t="shared" si="3"/>
        <v>13992123.599999998</v>
      </c>
      <c r="P13" s="48">
        <f t="shared" si="4"/>
        <v>209881.85399999999</v>
      </c>
      <c r="Q13" s="48">
        <f t="shared" si="5"/>
        <v>13782241.745999997</v>
      </c>
      <c r="R13" s="49">
        <v>0</v>
      </c>
      <c r="S13" s="48">
        <f t="shared" si="0"/>
        <v>13782241.745999997</v>
      </c>
      <c r="T13" s="25" t="s">
        <v>112</v>
      </c>
    </row>
    <row r="14" spans="1:20" hidden="1" x14ac:dyDescent="0.25">
      <c r="A14" s="25">
        <v>10</v>
      </c>
      <c r="B14" s="79"/>
      <c r="C14" s="42" t="s">
        <v>21</v>
      </c>
      <c r="D14" s="42" t="s">
        <v>36</v>
      </c>
      <c r="E14" s="43">
        <v>619</v>
      </c>
      <c r="F14" s="44">
        <f t="shared" si="7"/>
        <v>6662.9159999999993</v>
      </c>
      <c r="G14" s="45">
        <v>12</v>
      </c>
      <c r="H14" s="25">
        <v>2022</v>
      </c>
      <c r="I14" s="25">
        <v>2023</v>
      </c>
      <c r="J14" s="25">
        <f t="shared" si="6"/>
        <v>1</v>
      </c>
      <c r="K14" s="25">
        <v>60</v>
      </c>
      <c r="L14" s="46">
        <v>0.1</v>
      </c>
      <c r="M14" s="47">
        <f t="shared" si="2"/>
        <v>1.5000000000000001E-2</v>
      </c>
      <c r="N14" s="48">
        <v>2100</v>
      </c>
      <c r="O14" s="48">
        <f t="shared" si="3"/>
        <v>13992123.599999998</v>
      </c>
      <c r="P14" s="48">
        <f t="shared" si="4"/>
        <v>209881.85399999999</v>
      </c>
      <c r="Q14" s="48">
        <f t="shared" si="5"/>
        <v>13782241.745999997</v>
      </c>
      <c r="R14" s="49">
        <v>0</v>
      </c>
      <c r="S14" s="48">
        <f t="shared" si="0"/>
        <v>13782241.745999997</v>
      </c>
      <c r="T14" s="25" t="s">
        <v>112</v>
      </c>
    </row>
    <row r="15" spans="1:20" ht="30" hidden="1" x14ac:dyDescent="0.25">
      <c r="A15" s="25">
        <v>11</v>
      </c>
      <c r="B15" s="68"/>
      <c r="C15" s="42" t="s">
        <v>30</v>
      </c>
      <c r="D15" s="42" t="s">
        <v>32</v>
      </c>
      <c r="E15" s="43">
        <v>619</v>
      </c>
      <c r="F15" s="44">
        <f t="shared" si="7"/>
        <v>6662.9159999999993</v>
      </c>
      <c r="G15" s="45">
        <v>12</v>
      </c>
      <c r="H15" s="25">
        <v>2022</v>
      </c>
      <c r="I15" s="25">
        <v>2023</v>
      </c>
      <c r="J15" s="25">
        <f t="shared" si="6"/>
        <v>1</v>
      </c>
      <c r="K15" s="25">
        <v>45</v>
      </c>
      <c r="L15" s="46">
        <v>0.1</v>
      </c>
      <c r="M15" s="47">
        <f t="shared" si="2"/>
        <v>0.02</v>
      </c>
      <c r="N15" s="48">
        <v>2100</v>
      </c>
      <c r="O15" s="48">
        <f t="shared" si="3"/>
        <v>13992123.599999998</v>
      </c>
      <c r="P15" s="48">
        <f t="shared" si="4"/>
        <v>279842.47199999995</v>
      </c>
      <c r="Q15" s="48">
        <f t="shared" si="5"/>
        <v>13712281.127999999</v>
      </c>
      <c r="R15" s="49">
        <v>0</v>
      </c>
      <c r="S15" s="48">
        <f t="shared" si="0"/>
        <v>13712281.127999999</v>
      </c>
      <c r="T15" s="25" t="s">
        <v>112</v>
      </c>
    </row>
    <row r="16" spans="1:20" hidden="1" x14ac:dyDescent="0.25">
      <c r="A16" s="25">
        <v>12</v>
      </c>
      <c r="B16" s="67" t="s">
        <v>27</v>
      </c>
      <c r="C16" s="42" t="s">
        <v>33</v>
      </c>
      <c r="D16" s="42" t="s">
        <v>36</v>
      </c>
      <c r="E16" s="43">
        <v>619</v>
      </c>
      <c r="F16" s="44">
        <f t="shared" si="7"/>
        <v>6662.9159999999993</v>
      </c>
      <c r="G16" s="45">
        <v>12</v>
      </c>
      <c r="H16" s="25">
        <v>2022</v>
      </c>
      <c r="I16" s="25">
        <v>2023</v>
      </c>
      <c r="J16" s="25">
        <f t="shared" si="6"/>
        <v>1</v>
      </c>
      <c r="K16" s="25">
        <v>60</v>
      </c>
      <c r="L16" s="46">
        <v>0.1</v>
      </c>
      <c r="M16" s="47">
        <f t="shared" si="2"/>
        <v>1.5000000000000001E-2</v>
      </c>
      <c r="N16" s="48">
        <v>2100</v>
      </c>
      <c r="O16" s="48">
        <f t="shared" si="3"/>
        <v>13992123.599999998</v>
      </c>
      <c r="P16" s="48">
        <f t="shared" si="4"/>
        <v>209881.85399999999</v>
      </c>
      <c r="Q16" s="48">
        <f t="shared" si="5"/>
        <v>13782241.745999997</v>
      </c>
      <c r="R16" s="49">
        <v>0</v>
      </c>
      <c r="S16" s="48">
        <f t="shared" si="0"/>
        <v>13782241.745999997</v>
      </c>
      <c r="T16" s="25" t="s">
        <v>113</v>
      </c>
    </row>
    <row r="17" spans="1:20" hidden="1" x14ac:dyDescent="0.25">
      <c r="A17" s="25">
        <v>13</v>
      </c>
      <c r="B17" s="79"/>
      <c r="C17" s="50" t="s">
        <v>21</v>
      </c>
      <c r="D17" s="42" t="s">
        <v>36</v>
      </c>
      <c r="E17" s="43">
        <v>619</v>
      </c>
      <c r="F17" s="44">
        <f t="shared" si="7"/>
        <v>6662.9159999999993</v>
      </c>
      <c r="G17" s="45">
        <v>12</v>
      </c>
      <c r="H17" s="25">
        <v>2022</v>
      </c>
      <c r="I17" s="25">
        <v>2023</v>
      </c>
      <c r="J17" s="25">
        <f t="shared" si="6"/>
        <v>1</v>
      </c>
      <c r="K17" s="25">
        <v>60</v>
      </c>
      <c r="L17" s="46">
        <v>0.1</v>
      </c>
      <c r="M17" s="47">
        <f t="shared" si="2"/>
        <v>1.5000000000000001E-2</v>
      </c>
      <c r="N17" s="48">
        <v>2100</v>
      </c>
      <c r="O17" s="48">
        <f t="shared" si="3"/>
        <v>13992123.599999998</v>
      </c>
      <c r="P17" s="48">
        <f t="shared" si="4"/>
        <v>209881.85399999999</v>
      </c>
      <c r="Q17" s="48">
        <f t="shared" si="5"/>
        <v>13782241.745999997</v>
      </c>
      <c r="R17" s="49">
        <v>0</v>
      </c>
      <c r="S17" s="48">
        <f t="shared" si="0"/>
        <v>13782241.745999997</v>
      </c>
      <c r="T17" s="25" t="s">
        <v>113</v>
      </c>
    </row>
    <row r="18" spans="1:20" ht="30" hidden="1" x14ac:dyDescent="0.25">
      <c r="A18" s="25">
        <v>14</v>
      </c>
      <c r="B18" s="68"/>
      <c r="C18" s="42" t="s">
        <v>30</v>
      </c>
      <c r="D18" s="42" t="s">
        <v>32</v>
      </c>
      <c r="E18" s="43">
        <v>619</v>
      </c>
      <c r="F18" s="44">
        <f t="shared" si="7"/>
        <v>6662.9159999999993</v>
      </c>
      <c r="G18" s="45">
        <v>12</v>
      </c>
      <c r="H18" s="25">
        <v>2022</v>
      </c>
      <c r="I18" s="25">
        <v>2023</v>
      </c>
      <c r="J18" s="25">
        <f t="shared" si="6"/>
        <v>1</v>
      </c>
      <c r="K18" s="25">
        <v>45</v>
      </c>
      <c r="L18" s="46">
        <v>0.1</v>
      </c>
      <c r="M18" s="47">
        <f t="shared" si="2"/>
        <v>0.02</v>
      </c>
      <c r="N18" s="48">
        <v>2100</v>
      </c>
      <c r="O18" s="48">
        <f t="shared" si="3"/>
        <v>13992123.599999998</v>
      </c>
      <c r="P18" s="48">
        <f t="shared" si="4"/>
        <v>279842.47199999995</v>
      </c>
      <c r="Q18" s="48">
        <f t="shared" si="5"/>
        <v>13712281.127999999</v>
      </c>
      <c r="R18" s="49">
        <v>0</v>
      </c>
      <c r="S18" s="48">
        <f t="shared" si="0"/>
        <v>13712281.127999999</v>
      </c>
      <c r="T18" s="25" t="s">
        <v>113</v>
      </c>
    </row>
    <row r="19" spans="1:20" ht="30" hidden="1" x14ac:dyDescent="0.25">
      <c r="A19" s="25">
        <v>15</v>
      </c>
      <c r="B19" s="40" t="s">
        <v>38</v>
      </c>
      <c r="C19" s="42" t="s">
        <v>29</v>
      </c>
      <c r="D19" s="42" t="s">
        <v>20</v>
      </c>
      <c r="E19" s="43">
        <v>148</v>
      </c>
      <c r="F19" s="44">
        <f t="shared" si="7"/>
        <v>1593.0719999999999</v>
      </c>
      <c r="G19" s="45">
        <v>10</v>
      </c>
      <c r="H19" s="25">
        <v>2022</v>
      </c>
      <c r="I19" s="25">
        <v>2023</v>
      </c>
      <c r="J19" s="25">
        <f t="shared" si="6"/>
        <v>1</v>
      </c>
      <c r="K19" s="25">
        <v>60</v>
      </c>
      <c r="L19" s="46">
        <v>0.1</v>
      </c>
      <c r="M19" s="47">
        <f t="shared" si="2"/>
        <v>1.5000000000000001E-2</v>
      </c>
      <c r="N19" s="48">
        <v>1600</v>
      </c>
      <c r="O19" s="48">
        <f t="shared" si="3"/>
        <v>2548915.1999999997</v>
      </c>
      <c r="P19" s="48">
        <f t="shared" si="4"/>
        <v>38233.727999999996</v>
      </c>
      <c r="Q19" s="48">
        <f t="shared" si="5"/>
        <v>2510681.4719999996</v>
      </c>
      <c r="R19" s="49">
        <v>0</v>
      </c>
      <c r="S19" s="48">
        <f t="shared" si="0"/>
        <v>2510681.4719999996</v>
      </c>
      <c r="T19" s="25" t="s">
        <v>112</v>
      </c>
    </row>
    <row r="20" spans="1:20" ht="30" hidden="1" x14ac:dyDescent="0.25">
      <c r="A20" s="25">
        <v>16</v>
      </c>
      <c r="B20" s="40" t="s">
        <v>39</v>
      </c>
      <c r="C20" s="42" t="s">
        <v>29</v>
      </c>
      <c r="D20" s="42" t="s">
        <v>41</v>
      </c>
      <c r="E20" s="43">
        <v>232</v>
      </c>
      <c r="F20" s="44">
        <f t="shared" si="7"/>
        <v>2497.248</v>
      </c>
      <c r="G20" s="45">
        <v>11</v>
      </c>
      <c r="H20" s="25">
        <v>2022</v>
      </c>
      <c r="I20" s="25">
        <v>2023</v>
      </c>
      <c r="J20" s="25">
        <f t="shared" si="6"/>
        <v>1</v>
      </c>
      <c r="K20" s="25">
        <v>45</v>
      </c>
      <c r="L20" s="46">
        <v>0.1</v>
      </c>
      <c r="M20" s="47">
        <f t="shared" si="2"/>
        <v>0.02</v>
      </c>
      <c r="N20" s="48">
        <v>1200</v>
      </c>
      <c r="O20" s="48">
        <f t="shared" si="3"/>
        <v>2996697.6</v>
      </c>
      <c r="P20" s="48">
        <f t="shared" si="4"/>
        <v>59933.952000000005</v>
      </c>
      <c r="Q20" s="48">
        <f t="shared" si="5"/>
        <v>2936763.648</v>
      </c>
      <c r="R20" s="49">
        <v>0</v>
      </c>
      <c r="S20" s="48">
        <f t="shared" si="0"/>
        <v>2936763.648</v>
      </c>
      <c r="T20" s="25" t="s">
        <v>112</v>
      </c>
    </row>
    <row r="21" spans="1:20" ht="30" hidden="1" x14ac:dyDescent="0.25">
      <c r="A21" s="25">
        <v>17</v>
      </c>
      <c r="B21" s="40" t="s">
        <v>40</v>
      </c>
      <c r="C21" s="42" t="s">
        <v>29</v>
      </c>
      <c r="D21" s="42" t="s">
        <v>41</v>
      </c>
      <c r="E21" s="43">
        <v>600</v>
      </c>
      <c r="F21" s="44">
        <f t="shared" si="7"/>
        <v>6458.4</v>
      </c>
      <c r="G21" s="45">
        <v>20</v>
      </c>
      <c r="H21" s="25">
        <v>2022</v>
      </c>
      <c r="I21" s="25">
        <v>2023</v>
      </c>
      <c r="J21" s="25">
        <f t="shared" si="6"/>
        <v>1</v>
      </c>
      <c r="K21" s="25">
        <v>45</v>
      </c>
      <c r="L21" s="46">
        <v>0.1</v>
      </c>
      <c r="M21" s="47">
        <f t="shared" si="2"/>
        <v>0.02</v>
      </c>
      <c r="N21" s="48">
        <v>1400</v>
      </c>
      <c r="O21" s="48">
        <f t="shared" si="3"/>
        <v>9041760</v>
      </c>
      <c r="P21" s="48">
        <f t="shared" si="4"/>
        <v>180835.20000000001</v>
      </c>
      <c r="Q21" s="48">
        <f t="shared" si="5"/>
        <v>8860924.8000000007</v>
      </c>
      <c r="R21" s="49">
        <v>0</v>
      </c>
      <c r="S21" s="48">
        <f t="shared" si="0"/>
        <v>8860924.8000000007</v>
      </c>
      <c r="T21" s="25" t="s">
        <v>113</v>
      </c>
    </row>
    <row r="22" spans="1:20" ht="30" hidden="1" x14ac:dyDescent="0.25">
      <c r="A22" s="25">
        <v>18</v>
      </c>
      <c r="B22" s="67" t="s">
        <v>42</v>
      </c>
      <c r="C22" s="42" t="s">
        <v>29</v>
      </c>
      <c r="D22" s="42" t="s">
        <v>20</v>
      </c>
      <c r="E22" s="43">
        <v>172.32</v>
      </c>
      <c r="F22" s="44">
        <f t="shared" si="7"/>
        <v>1854.8524799999998</v>
      </c>
      <c r="G22" s="45">
        <v>11</v>
      </c>
      <c r="H22" s="25">
        <v>2022</v>
      </c>
      <c r="I22" s="25">
        <v>2023</v>
      </c>
      <c r="J22" s="25">
        <f t="shared" si="6"/>
        <v>1</v>
      </c>
      <c r="K22" s="25">
        <v>60</v>
      </c>
      <c r="L22" s="46">
        <v>0.1</v>
      </c>
      <c r="M22" s="47">
        <f t="shared" si="2"/>
        <v>1.5000000000000001E-2</v>
      </c>
      <c r="N22" s="48">
        <v>1600</v>
      </c>
      <c r="O22" s="48">
        <f t="shared" si="3"/>
        <v>2967763.9679999999</v>
      </c>
      <c r="P22" s="48">
        <f t="shared" si="4"/>
        <v>44516.459520000004</v>
      </c>
      <c r="Q22" s="48">
        <f t="shared" si="5"/>
        <v>2923247.5084799998</v>
      </c>
      <c r="R22" s="49">
        <v>0</v>
      </c>
      <c r="S22" s="48">
        <f t="shared" si="0"/>
        <v>2923247.5084799998</v>
      </c>
      <c r="T22" s="25" t="s">
        <v>114</v>
      </c>
    </row>
    <row r="23" spans="1:20" ht="30" hidden="1" x14ac:dyDescent="0.25">
      <c r="A23" s="25">
        <v>19</v>
      </c>
      <c r="B23" s="79"/>
      <c r="C23" s="42" t="s">
        <v>45</v>
      </c>
      <c r="D23" s="42" t="s">
        <v>20</v>
      </c>
      <c r="E23" s="43">
        <v>478</v>
      </c>
      <c r="F23" s="44">
        <f t="shared" si="7"/>
        <v>5145.192</v>
      </c>
      <c r="G23" s="45">
        <v>11</v>
      </c>
      <c r="H23" s="25">
        <v>2022</v>
      </c>
      <c r="I23" s="25">
        <v>2023</v>
      </c>
      <c r="J23" s="25">
        <f t="shared" si="6"/>
        <v>1</v>
      </c>
      <c r="K23" s="25">
        <v>60</v>
      </c>
      <c r="L23" s="46">
        <v>0.1</v>
      </c>
      <c r="M23" s="47">
        <f t="shared" si="2"/>
        <v>1.5000000000000001E-2</v>
      </c>
      <c r="N23" s="48">
        <v>1600</v>
      </c>
      <c r="O23" s="48">
        <f t="shared" si="3"/>
        <v>8232307.2000000002</v>
      </c>
      <c r="P23" s="48">
        <f t="shared" si="4"/>
        <v>123484.60800000001</v>
      </c>
      <c r="Q23" s="48">
        <f t="shared" si="5"/>
        <v>8108822.5920000002</v>
      </c>
      <c r="R23" s="49">
        <v>0</v>
      </c>
      <c r="S23" s="48">
        <f t="shared" si="0"/>
        <v>8108822.5920000002</v>
      </c>
      <c r="T23" s="25" t="s">
        <v>114</v>
      </c>
    </row>
    <row r="24" spans="1:20" ht="30" hidden="1" x14ac:dyDescent="0.25">
      <c r="A24" s="25">
        <v>20</v>
      </c>
      <c r="B24" s="79"/>
      <c r="C24" s="42" t="s">
        <v>30</v>
      </c>
      <c r="D24" s="42" t="s">
        <v>20</v>
      </c>
      <c r="E24" s="43">
        <v>478</v>
      </c>
      <c r="F24" s="44">
        <f t="shared" si="7"/>
        <v>5145.192</v>
      </c>
      <c r="G24" s="45">
        <v>11</v>
      </c>
      <c r="H24" s="25">
        <v>2022</v>
      </c>
      <c r="I24" s="25">
        <v>2023</v>
      </c>
      <c r="J24" s="25">
        <f t="shared" si="6"/>
        <v>1</v>
      </c>
      <c r="K24" s="25">
        <v>60</v>
      </c>
      <c r="L24" s="46">
        <v>0.1</v>
      </c>
      <c r="M24" s="47">
        <f t="shared" si="2"/>
        <v>1.5000000000000001E-2</v>
      </c>
      <c r="N24" s="48">
        <v>1600</v>
      </c>
      <c r="O24" s="48">
        <f t="shared" si="3"/>
        <v>8232307.2000000002</v>
      </c>
      <c r="P24" s="48">
        <f t="shared" si="4"/>
        <v>123484.60800000001</v>
      </c>
      <c r="Q24" s="48">
        <f t="shared" si="5"/>
        <v>8108822.5920000002</v>
      </c>
      <c r="R24" s="49">
        <v>0</v>
      </c>
      <c r="S24" s="48">
        <f t="shared" si="0"/>
        <v>8108822.5920000002</v>
      </c>
      <c r="T24" s="25" t="s">
        <v>113</v>
      </c>
    </row>
    <row r="25" spans="1:20" ht="30" hidden="1" x14ac:dyDescent="0.25">
      <c r="A25" s="25">
        <v>21</v>
      </c>
      <c r="B25" s="68"/>
      <c r="C25" s="42" t="s">
        <v>31</v>
      </c>
      <c r="D25" s="42" t="s">
        <v>20</v>
      </c>
      <c r="E25" s="43">
        <v>478</v>
      </c>
      <c r="F25" s="44">
        <f t="shared" si="7"/>
        <v>5145.192</v>
      </c>
      <c r="G25" s="45">
        <v>11</v>
      </c>
      <c r="H25" s="25">
        <v>2022</v>
      </c>
      <c r="I25" s="25">
        <v>2023</v>
      </c>
      <c r="J25" s="25">
        <f t="shared" si="6"/>
        <v>1</v>
      </c>
      <c r="K25" s="25">
        <v>60</v>
      </c>
      <c r="L25" s="46">
        <v>0.1</v>
      </c>
      <c r="M25" s="47">
        <f t="shared" si="2"/>
        <v>1.5000000000000001E-2</v>
      </c>
      <c r="N25" s="48">
        <v>1600</v>
      </c>
      <c r="O25" s="48">
        <f t="shared" si="3"/>
        <v>8232307.2000000002</v>
      </c>
      <c r="P25" s="48">
        <f t="shared" si="4"/>
        <v>123484.60800000001</v>
      </c>
      <c r="Q25" s="48">
        <f t="shared" si="5"/>
        <v>8108822.5920000002</v>
      </c>
      <c r="R25" s="49">
        <v>0</v>
      </c>
      <c r="S25" s="48">
        <f t="shared" si="0"/>
        <v>8108822.5920000002</v>
      </c>
      <c r="T25" s="25" t="s">
        <v>113</v>
      </c>
    </row>
    <row r="26" spans="1:20" ht="30" x14ac:dyDescent="0.25">
      <c r="A26" s="25">
        <v>22</v>
      </c>
      <c r="B26" s="67" t="s">
        <v>43</v>
      </c>
      <c r="C26" s="42" t="s">
        <v>29</v>
      </c>
      <c r="D26" s="42" t="s">
        <v>20</v>
      </c>
      <c r="E26" s="43">
        <v>288</v>
      </c>
      <c r="F26" s="44">
        <f t="shared" si="7"/>
        <v>3100.0319999999997</v>
      </c>
      <c r="G26" s="45">
        <v>11</v>
      </c>
      <c r="H26" s="25">
        <v>2022</v>
      </c>
      <c r="I26" s="25">
        <v>2023</v>
      </c>
      <c r="J26" s="25">
        <f t="shared" si="6"/>
        <v>1</v>
      </c>
      <c r="K26" s="25">
        <v>60</v>
      </c>
      <c r="L26" s="46">
        <v>0.1</v>
      </c>
      <c r="M26" s="47">
        <f t="shared" si="2"/>
        <v>1.5000000000000001E-2</v>
      </c>
      <c r="N26" s="48">
        <v>1600</v>
      </c>
      <c r="O26" s="48">
        <f t="shared" si="3"/>
        <v>4960051.1999999993</v>
      </c>
      <c r="P26" s="48">
        <f t="shared" si="4"/>
        <v>74400.767999999996</v>
      </c>
      <c r="Q26" s="48">
        <f t="shared" si="5"/>
        <v>4885650.4319999991</v>
      </c>
      <c r="R26" s="49">
        <v>0</v>
      </c>
      <c r="S26" s="48">
        <f t="shared" si="0"/>
        <v>4885650.4319999991</v>
      </c>
      <c r="T26" s="25" t="s">
        <v>115</v>
      </c>
    </row>
    <row r="27" spans="1:20" ht="30" x14ac:dyDescent="0.25">
      <c r="A27" s="25">
        <v>23</v>
      </c>
      <c r="B27" s="79"/>
      <c r="C27" s="42" t="s">
        <v>45</v>
      </c>
      <c r="D27" s="42" t="s">
        <v>20</v>
      </c>
      <c r="E27" s="43">
        <v>288</v>
      </c>
      <c r="F27" s="44">
        <f t="shared" si="7"/>
        <v>3100.0319999999997</v>
      </c>
      <c r="G27" s="45">
        <v>11</v>
      </c>
      <c r="H27" s="25">
        <v>2022</v>
      </c>
      <c r="I27" s="25">
        <v>2023</v>
      </c>
      <c r="J27" s="25">
        <f t="shared" si="6"/>
        <v>1</v>
      </c>
      <c r="K27" s="25">
        <v>60</v>
      </c>
      <c r="L27" s="46">
        <v>0.1</v>
      </c>
      <c r="M27" s="47">
        <f t="shared" si="2"/>
        <v>1.5000000000000001E-2</v>
      </c>
      <c r="N27" s="48">
        <v>1600</v>
      </c>
      <c r="O27" s="48">
        <f t="shared" si="3"/>
        <v>4960051.1999999993</v>
      </c>
      <c r="P27" s="48">
        <f t="shared" si="4"/>
        <v>74400.767999999996</v>
      </c>
      <c r="Q27" s="48">
        <f t="shared" si="5"/>
        <v>4885650.4319999991</v>
      </c>
      <c r="R27" s="49">
        <v>0</v>
      </c>
      <c r="S27" s="48">
        <f t="shared" si="0"/>
        <v>4885650.4319999991</v>
      </c>
      <c r="T27" s="25" t="s">
        <v>115</v>
      </c>
    </row>
    <row r="28" spans="1:20" ht="30" x14ac:dyDescent="0.25">
      <c r="A28" s="25">
        <v>24</v>
      </c>
      <c r="B28" s="68"/>
      <c r="C28" s="42" t="s">
        <v>30</v>
      </c>
      <c r="D28" s="42" t="s">
        <v>20</v>
      </c>
      <c r="E28" s="43">
        <v>288</v>
      </c>
      <c r="F28" s="44">
        <f t="shared" si="7"/>
        <v>3100.0319999999997</v>
      </c>
      <c r="G28" s="45">
        <v>11</v>
      </c>
      <c r="H28" s="25">
        <v>2022</v>
      </c>
      <c r="I28" s="25">
        <v>2023</v>
      </c>
      <c r="J28" s="25">
        <f t="shared" si="6"/>
        <v>1</v>
      </c>
      <c r="K28" s="25">
        <v>60</v>
      </c>
      <c r="L28" s="46">
        <v>0.1</v>
      </c>
      <c r="M28" s="47">
        <f t="shared" si="2"/>
        <v>1.5000000000000001E-2</v>
      </c>
      <c r="N28" s="48">
        <v>1600</v>
      </c>
      <c r="O28" s="48">
        <f t="shared" si="3"/>
        <v>4960051.1999999993</v>
      </c>
      <c r="P28" s="48">
        <f t="shared" si="4"/>
        <v>74400.767999999996</v>
      </c>
      <c r="Q28" s="48">
        <f t="shared" si="5"/>
        <v>4885650.4319999991</v>
      </c>
      <c r="R28" s="49">
        <v>0</v>
      </c>
      <c r="S28" s="48">
        <f t="shared" si="0"/>
        <v>4885650.4319999991</v>
      </c>
      <c r="T28" s="25" t="s">
        <v>115</v>
      </c>
    </row>
    <row r="29" spans="1:20" ht="30" x14ac:dyDescent="0.25">
      <c r="A29" s="25">
        <v>25</v>
      </c>
      <c r="B29" s="67" t="s">
        <v>44</v>
      </c>
      <c r="C29" s="42" t="s">
        <v>29</v>
      </c>
      <c r="D29" s="42" t="s">
        <v>20</v>
      </c>
      <c r="E29" s="43">
        <v>288</v>
      </c>
      <c r="F29" s="44">
        <f t="shared" si="7"/>
        <v>3100.0319999999997</v>
      </c>
      <c r="G29" s="45">
        <v>10</v>
      </c>
      <c r="H29" s="25">
        <v>2022</v>
      </c>
      <c r="I29" s="25">
        <v>2023</v>
      </c>
      <c r="J29" s="25">
        <f t="shared" si="6"/>
        <v>1</v>
      </c>
      <c r="K29" s="25">
        <v>60</v>
      </c>
      <c r="L29" s="46">
        <v>0.1</v>
      </c>
      <c r="M29" s="47">
        <f t="shared" si="2"/>
        <v>1.5000000000000001E-2</v>
      </c>
      <c r="N29" s="48">
        <v>1600</v>
      </c>
      <c r="O29" s="48">
        <f t="shared" si="3"/>
        <v>4960051.1999999993</v>
      </c>
      <c r="P29" s="48">
        <f t="shared" si="4"/>
        <v>74400.767999999996</v>
      </c>
      <c r="Q29" s="48">
        <f t="shared" si="5"/>
        <v>4885650.4319999991</v>
      </c>
      <c r="R29" s="49">
        <v>0</v>
      </c>
      <c r="S29" s="48">
        <f t="shared" si="0"/>
        <v>4885650.4319999991</v>
      </c>
      <c r="T29" s="25" t="s">
        <v>115</v>
      </c>
    </row>
    <row r="30" spans="1:20" ht="30" x14ac:dyDescent="0.25">
      <c r="A30" s="25">
        <v>26</v>
      </c>
      <c r="B30" s="79"/>
      <c r="C30" s="42" t="s">
        <v>45</v>
      </c>
      <c r="D30" s="42" t="s">
        <v>20</v>
      </c>
      <c r="E30" s="43">
        <v>288</v>
      </c>
      <c r="F30" s="44">
        <f t="shared" si="7"/>
        <v>3100.0319999999997</v>
      </c>
      <c r="G30" s="45">
        <v>10</v>
      </c>
      <c r="H30" s="25">
        <v>2022</v>
      </c>
      <c r="I30" s="25">
        <v>2023</v>
      </c>
      <c r="J30" s="25">
        <f t="shared" si="6"/>
        <v>1</v>
      </c>
      <c r="K30" s="25">
        <v>60</v>
      </c>
      <c r="L30" s="46">
        <v>0.1</v>
      </c>
      <c r="M30" s="47">
        <f t="shared" si="2"/>
        <v>1.5000000000000001E-2</v>
      </c>
      <c r="N30" s="48">
        <v>1600</v>
      </c>
      <c r="O30" s="48">
        <f t="shared" si="3"/>
        <v>4960051.1999999993</v>
      </c>
      <c r="P30" s="48">
        <f t="shared" si="4"/>
        <v>74400.767999999996</v>
      </c>
      <c r="Q30" s="48">
        <f t="shared" si="5"/>
        <v>4885650.4319999991</v>
      </c>
      <c r="R30" s="49">
        <v>0</v>
      </c>
      <c r="S30" s="48">
        <f t="shared" si="0"/>
        <v>4885650.4319999991</v>
      </c>
      <c r="T30" s="25" t="s">
        <v>115</v>
      </c>
    </row>
    <row r="31" spans="1:20" ht="30" x14ac:dyDescent="0.25">
      <c r="A31" s="25">
        <v>27</v>
      </c>
      <c r="B31" s="68"/>
      <c r="C31" s="42" t="s">
        <v>30</v>
      </c>
      <c r="D31" s="42" t="s">
        <v>20</v>
      </c>
      <c r="E31" s="43">
        <v>288</v>
      </c>
      <c r="F31" s="44">
        <f t="shared" si="7"/>
        <v>3100.0319999999997</v>
      </c>
      <c r="G31" s="45">
        <v>10</v>
      </c>
      <c r="H31" s="25">
        <v>2022</v>
      </c>
      <c r="I31" s="25">
        <v>2023</v>
      </c>
      <c r="J31" s="25">
        <f t="shared" si="6"/>
        <v>1</v>
      </c>
      <c r="K31" s="25">
        <v>60</v>
      </c>
      <c r="L31" s="46">
        <v>0.1</v>
      </c>
      <c r="M31" s="47">
        <f t="shared" si="2"/>
        <v>1.5000000000000001E-2</v>
      </c>
      <c r="N31" s="48">
        <v>1600</v>
      </c>
      <c r="O31" s="48">
        <f t="shared" si="3"/>
        <v>4960051.1999999993</v>
      </c>
      <c r="P31" s="48">
        <f t="shared" si="4"/>
        <v>74400.767999999996</v>
      </c>
      <c r="Q31" s="48">
        <f t="shared" si="5"/>
        <v>4885650.4319999991</v>
      </c>
      <c r="R31" s="49">
        <v>0</v>
      </c>
      <c r="S31" s="48">
        <f t="shared" si="0"/>
        <v>4885650.4319999991</v>
      </c>
      <c r="T31" s="25" t="s">
        <v>115</v>
      </c>
    </row>
    <row r="32" spans="1:20" ht="30" hidden="1" x14ac:dyDescent="0.25">
      <c r="A32" s="25">
        <v>28</v>
      </c>
      <c r="B32" s="67" t="s">
        <v>46</v>
      </c>
      <c r="C32" s="42" t="s">
        <v>47</v>
      </c>
      <c r="D32" s="42" t="s">
        <v>20</v>
      </c>
      <c r="E32" s="43">
        <v>224</v>
      </c>
      <c r="F32" s="44">
        <f t="shared" si="7"/>
        <v>2411.136</v>
      </c>
      <c r="G32" s="45">
        <v>15</v>
      </c>
      <c r="H32" s="25">
        <v>2022</v>
      </c>
      <c r="I32" s="25">
        <v>2023</v>
      </c>
      <c r="J32" s="25">
        <f t="shared" si="6"/>
        <v>1</v>
      </c>
      <c r="K32" s="25">
        <v>60</v>
      </c>
      <c r="L32" s="46">
        <v>0.1</v>
      </c>
      <c r="M32" s="47">
        <f t="shared" si="2"/>
        <v>1.5000000000000001E-2</v>
      </c>
      <c r="N32" s="48">
        <v>1600</v>
      </c>
      <c r="O32" s="48">
        <f t="shared" si="3"/>
        <v>3857817.6000000001</v>
      </c>
      <c r="P32" s="48">
        <f t="shared" si="4"/>
        <v>57867.264000000003</v>
      </c>
      <c r="Q32" s="48">
        <f t="shared" si="5"/>
        <v>3799950.3360000001</v>
      </c>
      <c r="R32" s="49">
        <v>0</v>
      </c>
      <c r="S32" s="48">
        <f t="shared" si="0"/>
        <v>3799950.3360000001</v>
      </c>
      <c r="T32" s="25" t="s">
        <v>112</v>
      </c>
    </row>
    <row r="33" spans="1:20" ht="30" hidden="1" x14ac:dyDescent="0.25">
      <c r="A33" s="25">
        <v>29</v>
      </c>
      <c r="B33" s="68"/>
      <c r="C33" s="42" t="s">
        <v>45</v>
      </c>
      <c r="D33" s="42" t="s">
        <v>41</v>
      </c>
      <c r="E33" s="43">
        <v>224</v>
      </c>
      <c r="F33" s="44">
        <f t="shared" si="7"/>
        <v>2411.136</v>
      </c>
      <c r="G33" s="45">
        <v>15</v>
      </c>
      <c r="H33" s="25">
        <v>2022</v>
      </c>
      <c r="I33" s="25">
        <v>2023</v>
      </c>
      <c r="J33" s="25">
        <f t="shared" si="6"/>
        <v>1</v>
      </c>
      <c r="K33" s="25">
        <v>45</v>
      </c>
      <c r="L33" s="46">
        <v>0.1</v>
      </c>
      <c r="M33" s="47">
        <f t="shared" si="2"/>
        <v>0.02</v>
      </c>
      <c r="N33" s="48">
        <v>1200</v>
      </c>
      <c r="O33" s="48">
        <f t="shared" si="3"/>
        <v>2893363.2000000002</v>
      </c>
      <c r="P33" s="48">
        <f t="shared" si="4"/>
        <v>57867.264000000003</v>
      </c>
      <c r="Q33" s="48">
        <f t="shared" si="5"/>
        <v>2835495.9360000002</v>
      </c>
      <c r="R33" s="49">
        <v>0</v>
      </c>
      <c r="S33" s="48">
        <f t="shared" si="0"/>
        <v>2835495.9360000002</v>
      </c>
      <c r="T33" s="25" t="s">
        <v>112</v>
      </c>
    </row>
    <row r="34" spans="1:20" ht="30" hidden="1" x14ac:dyDescent="0.25">
      <c r="A34" s="25">
        <v>30</v>
      </c>
      <c r="B34" s="40" t="s">
        <v>48</v>
      </c>
      <c r="C34" s="42" t="s">
        <v>29</v>
      </c>
      <c r="D34" s="42" t="s">
        <v>41</v>
      </c>
      <c r="E34" s="43">
        <v>216</v>
      </c>
      <c r="F34" s="44">
        <f t="shared" si="7"/>
        <v>2325.0239999999999</v>
      </c>
      <c r="G34" s="45">
        <v>13</v>
      </c>
      <c r="H34" s="25">
        <v>2022</v>
      </c>
      <c r="I34" s="25">
        <v>2023</v>
      </c>
      <c r="J34" s="25">
        <f t="shared" si="6"/>
        <v>1</v>
      </c>
      <c r="K34" s="25">
        <v>45</v>
      </c>
      <c r="L34" s="46">
        <v>0.1</v>
      </c>
      <c r="M34" s="47">
        <f t="shared" si="2"/>
        <v>0.02</v>
      </c>
      <c r="N34" s="48">
        <v>1200</v>
      </c>
      <c r="O34" s="48">
        <f t="shared" si="3"/>
        <v>2790028.8</v>
      </c>
      <c r="P34" s="48">
        <f t="shared" si="4"/>
        <v>55800.576000000001</v>
      </c>
      <c r="Q34" s="48">
        <f t="shared" si="5"/>
        <v>2734228.2239999999</v>
      </c>
      <c r="R34" s="49">
        <v>0</v>
      </c>
      <c r="S34" s="48">
        <f t="shared" si="0"/>
        <v>2734228.2239999999</v>
      </c>
      <c r="T34" s="25" t="s">
        <v>112</v>
      </c>
    </row>
    <row r="35" spans="1:20" ht="30" hidden="1" x14ac:dyDescent="0.25">
      <c r="A35" s="25">
        <v>31</v>
      </c>
      <c r="B35" s="67" t="s">
        <v>49</v>
      </c>
      <c r="C35" s="42" t="s">
        <v>29</v>
      </c>
      <c r="D35" s="42" t="s">
        <v>20</v>
      </c>
      <c r="E35" s="43">
        <v>290</v>
      </c>
      <c r="F35" s="44">
        <f t="shared" si="7"/>
        <v>3121.56</v>
      </c>
      <c r="G35" s="45">
        <v>10</v>
      </c>
      <c r="H35" s="25">
        <v>2022</v>
      </c>
      <c r="I35" s="25">
        <v>2023</v>
      </c>
      <c r="J35" s="25">
        <f t="shared" si="6"/>
        <v>1</v>
      </c>
      <c r="K35" s="25">
        <v>60</v>
      </c>
      <c r="L35" s="46">
        <v>0.1</v>
      </c>
      <c r="M35" s="47">
        <f t="shared" si="2"/>
        <v>1.5000000000000001E-2</v>
      </c>
      <c r="N35" s="48">
        <v>1600</v>
      </c>
      <c r="O35" s="48">
        <f t="shared" si="3"/>
        <v>4994496</v>
      </c>
      <c r="P35" s="48">
        <f t="shared" si="4"/>
        <v>74917.440000000002</v>
      </c>
      <c r="Q35" s="48">
        <f t="shared" si="5"/>
        <v>4919578.5599999996</v>
      </c>
      <c r="R35" s="49">
        <v>0</v>
      </c>
      <c r="S35" s="48">
        <f t="shared" si="0"/>
        <v>4919578.5599999996</v>
      </c>
      <c r="T35" s="25" t="s">
        <v>112</v>
      </c>
    </row>
    <row r="36" spans="1:20" ht="30" hidden="1" x14ac:dyDescent="0.25">
      <c r="A36" s="25">
        <v>32</v>
      </c>
      <c r="B36" s="68"/>
      <c r="C36" s="42" t="s">
        <v>45</v>
      </c>
      <c r="D36" s="42" t="s">
        <v>20</v>
      </c>
      <c r="E36" s="43">
        <v>290</v>
      </c>
      <c r="F36" s="44">
        <f t="shared" si="7"/>
        <v>3121.56</v>
      </c>
      <c r="G36" s="45">
        <v>10</v>
      </c>
      <c r="H36" s="25">
        <v>2022</v>
      </c>
      <c r="I36" s="25">
        <v>2023</v>
      </c>
      <c r="J36" s="25">
        <f t="shared" si="6"/>
        <v>1</v>
      </c>
      <c r="K36" s="25">
        <v>60</v>
      </c>
      <c r="L36" s="46">
        <v>0.1</v>
      </c>
      <c r="M36" s="47">
        <f t="shared" si="2"/>
        <v>1.5000000000000001E-2</v>
      </c>
      <c r="N36" s="48">
        <v>1600</v>
      </c>
      <c r="O36" s="48">
        <f t="shared" si="3"/>
        <v>4994496</v>
      </c>
      <c r="P36" s="48">
        <f t="shared" si="4"/>
        <v>74917.440000000002</v>
      </c>
      <c r="Q36" s="48">
        <f t="shared" si="5"/>
        <v>4919578.5599999996</v>
      </c>
      <c r="R36" s="49">
        <v>0</v>
      </c>
      <c r="S36" s="48">
        <f t="shared" si="0"/>
        <v>4919578.5599999996</v>
      </c>
      <c r="T36" s="25" t="s">
        <v>112</v>
      </c>
    </row>
    <row r="37" spans="1:20" ht="30" x14ac:dyDescent="0.25">
      <c r="A37" s="25">
        <v>33</v>
      </c>
      <c r="B37" s="67" t="s">
        <v>50</v>
      </c>
      <c r="C37" s="42" t="s">
        <v>29</v>
      </c>
      <c r="D37" s="42" t="s">
        <v>20</v>
      </c>
      <c r="E37" s="43">
        <v>200</v>
      </c>
      <c r="F37" s="44">
        <f t="shared" si="7"/>
        <v>2152.7999999999997</v>
      </c>
      <c r="G37" s="45">
        <v>15</v>
      </c>
      <c r="H37" s="25">
        <v>2022</v>
      </c>
      <c r="I37" s="25">
        <v>2023</v>
      </c>
      <c r="J37" s="25">
        <f t="shared" si="6"/>
        <v>1</v>
      </c>
      <c r="K37" s="52">
        <v>60</v>
      </c>
      <c r="L37" s="46">
        <v>0.1</v>
      </c>
      <c r="M37" s="47">
        <f t="shared" si="2"/>
        <v>1.5000000000000001E-2</v>
      </c>
      <c r="N37" s="53">
        <v>1600</v>
      </c>
      <c r="O37" s="48">
        <f t="shared" si="3"/>
        <v>3444479.9999999995</v>
      </c>
      <c r="P37" s="48">
        <f t="shared" si="4"/>
        <v>51667.199999999997</v>
      </c>
      <c r="Q37" s="48">
        <f t="shared" si="5"/>
        <v>3392812.7999999993</v>
      </c>
      <c r="R37" s="49">
        <v>0</v>
      </c>
      <c r="S37" s="48">
        <f t="shared" si="0"/>
        <v>3392812.7999999993</v>
      </c>
      <c r="T37" s="25" t="s">
        <v>115</v>
      </c>
    </row>
    <row r="38" spans="1:20" ht="30" x14ac:dyDescent="0.25">
      <c r="A38" s="25">
        <v>34</v>
      </c>
      <c r="B38" s="68"/>
      <c r="C38" s="42" t="s">
        <v>45</v>
      </c>
      <c r="D38" s="42" t="s">
        <v>20</v>
      </c>
      <c r="E38" s="43">
        <v>200</v>
      </c>
      <c r="F38" s="44">
        <f t="shared" si="7"/>
        <v>2152.7999999999997</v>
      </c>
      <c r="G38" s="45">
        <v>15</v>
      </c>
      <c r="H38" s="25">
        <v>2022</v>
      </c>
      <c r="I38" s="25">
        <v>2023</v>
      </c>
      <c r="J38" s="25">
        <f t="shared" si="6"/>
        <v>1</v>
      </c>
      <c r="K38" s="52">
        <v>60</v>
      </c>
      <c r="L38" s="46">
        <v>0.1</v>
      </c>
      <c r="M38" s="47">
        <f t="shared" si="2"/>
        <v>1.5000000000000001E-2</v>
      </c>
      <c r="N38" s="53">
        <v>1600</v>
      </c>
      <c r="O38" s="48">
        <f t="shared" si="3"/>
        <v>3444479.9999999995</v>
      </c>
      <c r="P38" s="48">
        <f t="shared" si="4"/>
        <v>51667.199999999997</v>
      </c>
      <c r="Q38" s="48">
        <f t="shared" si="5"/>
        <v>3392812.7999999993</v>
      </c>
      <c r="R38" s="49">
        <v>0</v>
      </c>
      <c r="S38" s="48">
        <f t="shared" si="0"/>
        <v>3392812.7999999993</v>
      </c>
      <c r="T38" s="25" t="s">
        <v>115</v>
      </c>
    </row>
    <row r="39" spans="1:20" ht="30" hidden="1" x14ac:dyDescent="0.25">
      <c r="A39" s="25">
        <v>35</v>
      </c>
      <c r="B39" s="67" t="s">
        <v>51</v>
      </c>
      <c r="C39" s="42" t="s">
        <v>29</v>
      </c>
      <c r="D39" s="42" t="s">
        <v>20</v>
      </c>
      <c r="E39" s="43">
        <v>360</v>
      </c>
      <c r="F39" s="44">
        <f t="shared" si="7"/>
        <v>3875.04</v>
      </c>
      <c r="G39" s="45">
        <v>15</v>
      </c>
      <c r="H39" s="25">
        <v>2022</v>
      </c>
      <c r="I39" s="25">
        <v>2023</v>
      </c>
      <c r="J39" s="25">
        <f t="shared" si="6"/>
        <v>1</v>
      </c>
      <c r="K39" s="52">
        <v>60</v>
      </c>
      <c r="L39" s="46">
        <v>0.1</v>
      </c>
      <c r="M39" s="47">
        <f t="shared" si="2"/>
        <v>1.5000000000000001E-2</v>
      </c>
      <c r="N39" s="53">
        <v>1600</v>
      </c>
      <c r="O39" s="48">
        <f t="shared" si="3"/>
        <v>6200064</v>
      </c>
      <c r="P39" s="48">
        <f t="shared" si="4"/>
        <v>93000.960000000006</v>
      </c>
      <c r="Q39" s="48">
        <f t="shared" si="5"/>
        <v>6107063.04</v>
      </c>
      <c r="R39" s="49">
        <v>0</v>
      </c>
      <c r="S39" s="48">
        <f t="shared" si="0"/>
        <v>6107063.04</v>
      </c>
      <c r="T39" s="25" t="s">
        <v>112</v>
      </c>
    </row>
    <row r="40" spans="1:20" ht="30" hidden="1" x14ac:dyDescent="0.25">
      <c r="A40" s="25">
        <v>36</v>
      </c>
      <c r="B40" s="79"/>
      <c r="C40" s="42" t="s">
        <v>45</v>
      </c>
      <c r="D40" s="42" t="s">
        <v>20</v>
      </c>
      <c r="E40" s="43">
        <v>360</v>
      </c>
      <c r="F40" s="44">
        <f t="shared" si="7"/>
        <v>3875.04</v>
      </c>
      <c r="G40" s="45">
        <v>15</v>
      </c>
      <c r="H40" s="25">
        <v>2022</v>
      </c>
      <c r="I40" s="25">
        <v>2023</v>
      </c>
      <c r="J40" s="25">
        <f t="shared" si="6"/>
        <v>1</v>
      </c>
      <c r="K40" s="52">
        <v>60</v>
      </c>
      <c r="L40" s="46">
        <v>0.1</v>
      </c>
      <c r="M40" s="47">
        <f t="shared" si="2"/>
        <v>1.5000000000000001E-2</v>
      </c>
      <c r="N40" s="53">
        <v>1600</v>
      </c>
      <c r="O40" s="48">
        <f t="shared" si="3"/>
        <v>6200064</v>
      </c>
      <c r="P40" s="48">
        <f t="shared" si="4"/>
        <v>93000.960000000006</v>
      </c>
      <c r="Q40" s="48">
        <f t="shared" si="5"/>
        <v>6107063.04</v>
      </c>
      <c r="R40" s="49">
        <v>0</v>
      </c>
      <c r="S40" s="48">
        <f t="shared" si="0"/>
        <v>6107063.04</v>
      </c>
      <c r="T40" s="25" t="s">
        <v>112</v>
      </c>
    </row>
    <row r="41" spans="1:20" ht="30" hidden="1" x14ac:dyDescent="0.25">
      <c r="A41" s="25">
        <v>37</v>
      </c>
      <c r="B41" s="68"/>
      <c r="C41" s="42" t="s">
        <v>30</v>
      </c>
      <c r="D41" s="42" t="s">
        <v>20</v>
      </c>
      <c r="E41" s="43">
        <v>360</v>
      </c>
      <c r="F41" s="44">
        <f t="shared" si="7"/>
        <v>3875.04</v>
      </c>
      <c r="G41" s="45">
        <v>20</v>
      </c>
      <c r="H41" s="25">
        <v>2022</v>
      </c>
      <c r="I41" s="25">
        <v>2023</v>
      </c>
      <c r="J41" s="25">
        <f t="shared" si="6"/>
        <v>1</v>
      </c>
      <c r="K41" s="52">
        <v>60</v>
      </c>
      <c r="L41" s="46">
        <v>0.1</v>
      </c>
      <c r="M41" s="47">
        <f t="shared" si="2"/>
        <v>1.5000000000000001E-2</v>
      </c>
      <c r="N41" s="53">
        <v>1600</v>
      </c>
      <c r="O41" s="48">
        <f t="shared" si="3"/>
        <v>6200064</v>
      </c>
      <c r="P41" s="48">
        <f t="shared" si="4"/>
        <v>93000.960000000006</v>
      </c>
      <c r="Q41" s="48">
        <f t="shared" si="5"/>
        <v>6107063.04</v>
      </c>
      <c r="R41" s="49">
        <v>0</v>
      </c>
      <c r="S41" s="48">
        <f t="shared" si="0"/>
        <v>6107063.04</v>
      </c>
      <c r="T41" s="25" t="s">
        <v>112</v>
      </c>
    </row>
    <row r="42" spans="1:20" ht="30" hidden="1" x14ac:dyDescent="0.25">
      <c r="A42" s="25">
        <v>38</v>
      </c>
      <c r="B42" s="67" t="s">
        <v>52</v>
      </c>
      <c r="C42" s="42" t="s">
        <v>29</v>
      </c>
      <c r="D42" s="42" t="s">
        <v>20</v>
      </c>
      <c r="E42" s="43">
        <v>91</v>
      </c>
      <c r="F42" s="44">
        <f t="shared" si="7"/>
        <v>979.52399999999989</v>
      </c>
      <c r="G42" s="45">
        <v>20</v>
      </c>
      <c r="H42" s="25">
        <v>2022</v>
      </c>
      <c r="I42" s="25">
        <v>2023</v>
      </c>
      <c r="J42" s="25">
        <f t="shared" si="6"/>
        <v>1</v>
      </c>
      <c r="K42" s="52">
        <v>60</v>
      </c>
      <c r="L42" s="46">
        <v>0.1</v>
      </c>
      <c r="M42" s="47">
        <f t="shared" si="2"/>
        <v>1.5000000000000001E-2</v>
      </c>
      <c r="N42" s="53">
        <v>1600</v>
      </c>
      <c r="O42" s="48">
        <f t="shared" si="3"/>
        <v>1567238.4</v>
      </c>
      <c r="P42" s="48">
        <f t="shared" si="4"/>
        <v>23508.576000000001</v>
      </c>
      <c r="Q42" s="48">
        <f t="shared" si="5"/>
        <v>1543729.824</v>
      </c>
      <c r="R42" s="49">
        <v>0</v>
      </c>
      <c r="S42" s="48">
        <f t="shared" si="0"/>
        <v>1543729.824</v>
      </c>
      <c r="T42" s="25" t="s">
        <v>113</v>
      </c>
    </row>
    <row r="43" spans="1:20" ht="30" hidden="1" x14ac:dyDescent="0.25">
      <c r="A43" s="25">
        <v>39</v>
      </c>
      <c r="B43" s="79"/>
      <c r="C43" s="42" t="s">
        <v>45</v>
      </c>
      <c r="D43" s="42" t="s">
        <v>20</v>
      </c>
      <c r="E43" s="43">
        <v>91</v>
      </c>
      <c r="F43" s="44">
        <f t="shared" si="7"/>
        <v>979.52399999999989</v>
      </c>
      <c r="G43" s="45">
        <v>20</v>
      </c>
      <c r="H43" s="25">
        <v>2022</v>
      </c>
      <c r="I43" s="25">
        <v>2023</v>
      </c>
      <c r="J43" s="25">
        <f t="shared" si="6"/>
        <v>1</v>
      </c>
      <c r="K43" s="52">
        <v>60</v>
      </c>
      <c r="L43" s="46">
        <v>0.1</v>
      </c>
      <c r="M43" s="47">
        <f t="shared" si="2"/>
        <v>1.5000000000000001E-2</v>
      </c>
      <c r="N43" s="53">
        <v>1600</v>
      </c>
      <c r="O43" s="48">
        <f t="shared" si="3"/>
        <v>1567238.4</v>
      </c>
      <c r="P43" s="48">
        <f t="shared" si="4"/>
        <v>23508.576000000001</v>
      </c>
      <c r="Q43" s="48">
        <f t="shared" si="5"/>
        <v>1543729.824</v>
      </c>
      <c r="R43" s="49">
        <v>0</v>
      </c>
      <c r="S43" s="48">
        <f t="shared" si="0"/>
        <v>1543729.824</v>
      </c>
      <c r="T43" s="25" t="s">
        <v>113</v>
      </c>
    </row>
    <row r="44" spans="1:20" ht="30" hidden="1" x14ac:dyDescent="0.25">
      <c r="A44" s="25">
        <v>40</v>
      </c>
      <c r="B44" s="68"/>
      <c r="C44" s="42" t="s">
        <v>30</v>
      </c>
      <c r="D44" s="42" t="s">
        <v>20</v>
      </c>
      <c r="E44" s="43">
        <v>91</v>
      </c>
      <c r="F44" s="44">
        <f t="shared" si="7"/>
        <v>979.52399999999989</v>
      </c>
      <c r="G44" s="45">
        <v>20</v>
      </c>
      <c r="H44" s="25">
        <v>2022</v>
      </c>
      <c r="I44" s="25">
        <v>2023</v>
      </c>
      <c r="J44" s="25">
        <f t="shared" si="6"/>
        <v>1</v>
      </c>
      <c r="K44" s="52">
        <v>60</v>
      </c>
      <c r="L44" s="46">
        <v>0.1</v>
      </c>
      <c r="M44" s="47">
        <f t="shared" si="2"/>
        <v>1.5000000000000001E-2</v>
      </c>
      <c r="N44" s="53">
        <v>1600</v>
      </c>
      <c r="O44" s="48">
        <f t="shared" si="3"/>
        <v>1567238.4</v>
      </c>
      <c r="P44" s="48">
        <f t="shared" si="4"/>
        <v>23508.576000000001</v>
      </c>
      <c r="Q44" s="48">
        <f t="shared" si="5"/>
        <v>1543729.824</v>
      </c>
      <c r="R44" s="49">
        <v>0</v>
      </c>
      <c r="S44" s="48">
        <f t="shared" si="0"/>
        <v>1543729.824</v>
      </c>
      <c r="T44" s="25" t="s">
        <v>113</v>
      </c>
    </row>
    <row r="45" spans="1:20" ht="30" hidden="1" x14ac:dyDescent="0.25">
      <c r="A45" s="25">
        <v>41</v>
      </c>
      <c r="B45" s="77" t="s">
        <v>53</v>
      </c>
      <c r="C45" s="42" t="s">
        <v>29</v>
      </c>
      <c r="D45" s="42" t="s">
        <v>20</v>
      </c>
      <c r="E45" s="43">
        <v>279.83999999999997</v>
      </c>
      <c r="F45" s="44">
        <f t="shared" si="7"/>
        <v>3012.1977599999996</v>
      </c>
      <c r="G45" s="45">
        <v>15</v>
      </c>
      <c r="H45" s="25">
        <v>2022</v>
      </c>
      <c r="I45" s="25">
        <v>2023</v>
      </c>
      <c r="J45" s="25">
        <f t="shared" si="6"/>
        <v>1</v>
      </c>
      <c r="K45" s="52">
        <v>60</v>
      </c>
      <c r="L45" s="46">
        <v>0.1</v>
      </c>
      <c r="M45" s="47">
        <f t="shared" si="2"/>
        <v>1.5000000000000001E-2</v>
      </c>
      <c r="N45" s="53">
        <v>1700</v>
      </c>
      <c r="O45" s="48">
        <f t="shared" si="3"/>
        <v>5120736.1919999989</v>
      </c>
      <c r="P45" s="48">
        <f t="shared" si="4"/>
        <v>76811.042879999994</v>
      </c>
      <c r="Q45" s="48">
        <f t="shared" si="5"/>
        <v>5043925.1491199993</v>
      </c>
      <c r="R45" s="49">
        <v>0</v>
      </c>
      <c r="S45" s="48">
        <f t="shared" si="0"/>
        <v>5043925.1491199993</v>
      </c>
      <c r="T45" s="25" t="s">
        <v>113</v>
      </c>
    </row>
    <row r="46" spans="1:20" ht="30" hidden="1" x14ac:dyDescent="0.25">
      <c r="A46" s="25">
        <v>42</v>
      </c>
      <c r="B46" s="78"/>
      <c r="C46" s="42" t="s">
        <v>45</v>
      </c>
      <c r="D46" s="42" t="s">
        <v>20</v>
      </c>
      <c r="E46" s="43">
        <v>279.83999999999997</v>
      </c>
      <c r="F46" s="44">
        <f t="shared" si="7"/>
        <v>3012.1977599999996</v>
      </c>
      <c r="G46" s="45">
        <v>15</v>
      </c>
      <c r="H46" s="25">
        <v>2022</v>
      </c>
      <c r="I46" s="25">
        <v>2023</v>
      </c>
      <c r="J46" s="25">
        <f t="shared" si="6"/>
        <v>1</v>
      </c>
      <c r="K46" s="52">
        <v>60</v>
      </c>
      <c r="L46" s="46">
        <v>0.1</v>
      </c>
      <c r="M46" s="47">
        <f t="shared" si="2"/>
        <v>1.5000000000000001E-2</v>
      </c>
      <c r="N46" s="53">
        <v>1700</v>
      </c>
      <c r="O46" s="48">
        <f t="shared" si="3"/>
        <v>5120736.1919999989</v>
      </c>
      <c r="P46" s="48">
        <f t="shared" si="4"/>
        <v>76811.042879999994</v>
      </c>
      <c r="Q46" s="48">
        <f t="shared" si="5"/>
        <v>5043925.1491199993</v>
      </c>
      <c r="R46" s="49">
        <v>0</v>
      </c>
      <c r="S46" s="48">
        <f t="shared" si="0"/>
        <v>5043925.1491199993</v>
      </c>
      <c r="T46" s="25" t="s">
        <v>113</v>
      </c>
    </row>
    <row r="47" spans="1:20" ht="30" x14ac:dyDescent="0.25">
      <c r="A47" s="25">
        <v>43</v>
      </c>
      <c r="B47" s="67" t="s">
        <v>54</v>
      </c>
      <c r="C47" s="42" t="s">
        <v>29</v>
      </c>
      <c r="D47" s="42" t="s">
        <v>20</v>
      </c>
      <c r="E47" s="43">
        <v>132</v>
      </c>
      <c r="F47" s="44">
        <f t="shared" si="7"/>
        <v>1420.848</v>
      </c>
      <c r="G47" s="45">
        <v>11</v>
      </c>
      <c r="H47" s="25">
        <v>2005</v>
      </c>
      <c r="I47" s="25">
        <v>2023</v>
      </c>
      <c r="J47" s="25">
        <f t="shared" si="6"/>
        <v>18</v>
      </c>
      <c r="K47" s="52">
        <v>60</v>
      </c>
      <c r="L47" s="46">
        <v>0.1</v>
      </c>
      <c r="M47" s="47">
        <f t="shared" si="2"/>
        <v>1.5000000000000001E-2</v>
      </c>
      <c r="N47" s="53">
        <v>1600</v>
      </c>
      <c r="O47" s="48">
        <f t="shared" si="3"/>
        <v>2273356.7999999998</v>
      </c>
      <c r="P47" s="48">
        <f t="shared" si="4"/>
        <v>613806.33600000001</v>
      </c>
      <c r="Q47" s="48">
        <f t="shared" si="5"/>
        <v>1659550.4639999997</v>
      </c>
      <c r="R47" s="49">
        <v>0</v>
      </c>
      <c r="S47" s="48">
        <f t="shared" si="0"/>
        <v>1659550.4639999997</v>
      </c>
      <c r="T47" s="25" t="s">
        <v>115</v>
      </c>
    </row>
    <row r="48" spans="1:20" ht="30" x14ac:dyDescent="0.25">
      <c r="A48" s="25">
        <v>44</v>
      </c>
      <c r="B48" s="68"/>
      <c r="C48" s="42" t="s">
        <v>55</v>
      </c>
      <c r="D48" s="42" t="s">
        <v>20</v>
      </c>
      <c r="E48" s="43">
        <v>132</v>
      </c>
      <c r="F48" s="44">
        <f t="shared" si="7"/>
        <v>1420.848</v>
      </c>
      <c r="G48" s="45">
        <v>11</v>
      </c>
      <c r="H48" s="25">
        <v>2005</v>
      </c>
      <c r="I48" s="25">
        <v>2023</v>
      </c>
      <c r="J48" s="25">
        <f t="shared" si="6"/>
        <v>18</v>
      </c>
      <c r="K48" s="25">
        <v>60</v>
      </c>
      <c r="L48" s="46">
        <v>0.1</v>
      </c>
      <c r="M48" s="47">
        <f t="shared" si="2"/>
        <v>1.5000000000000001E-2</v>
      </c>
      <c r="N48" s="48">
        <v>1600</v>
      </c>
      <c r="O48" s="48">
        <f t="shared" si="3"/>
        <v>2273356.7999999998</v>
      </c>
      <c r="P48" s="48">
        <f t="shared" si="4"/>
        <v>613806.33600000001</v>
      </c>
      <c r="Q48" s="48">
        <f t="shared" si="5"/>
        <v>1659550.4639999997</v>
      </c>
      <c r="R48" s="49">
        <v>0</v>
      </c>
      <c r="S48" s="48">
        <f t="shared" si="0"/>
        <v>1659550.4639999997</v>
      </c>
      <c r="T48" s="25" t="s">
        <v>115</v>
      </c>
    </row>
    <row r="49" spans="1:20" ht="30" x14ac:dyDescent="0.25">
      <c r="A49" s="25">
        <v>45</v>
      </c>
      <c r="B49" s="77" t="s">
        <v>56</v>
      </c>
      <c r="C49" s="42" t="s">
        <v>58</v>
      </c>
      <c r="D49" s="42" t="s">
        <v>20</v>
      </c>
      <c r="E49" s="43">
        <v>72</v>
      </c>
      <c r="F49" s="44">
        <f t="shared" si="7"/>
        <v>775.00799999999992</v>
      </c>
      <c r="G49" s="45">
        <v>15</v>
      </c>
      <c r="H49" s="25">
        <v>2005</v>
      </c>
      <c r="I49" s="25">
        <v>2023</v>
      </c>
      <c r="J49" s="25">
        <f t="shared" si="6"/>
        <v>18</v>
      </c>
      <c r="K49" s="25">
        <v>60</v>
      </c>
      <c r="L49" s="46">
        <v>0.1</v>
      </c>
      <c r="M49" s="47">
        <f t="shared" si="2"/>
        <v>1.5000000000000001E-2</v>
      </c>
      <c r="N49" s="48">
        <v>1600</v>
      </c>
      <c r="O49" s="48">
        <f t="shared" si="3"/>
        <v>1240012.7999999998</v>
      </c>
      <c r="P49" s="48">
        <f t="shared" si="4"/>
        <v>334803.45600000001</v>
      </c>
      <c r="Q49" s="48">
        <f t="shared" si="5"/>
        <v>905209.34399999981</v>
      </c>
      <c r="R49" s="49">
        <v>0</v>
      </c>
      <c r="S49" s="48">
        <f t="shared" si="0"/>
        <v>905209.34399999981</v>
      </c>
      <c r="T49" s="25" t="s">
        <v>115</v>
      </c>
    </row>
    <row r="50" spans="1:20" ht="30" x14ac:dyDescent="0.25">
      <c r="A50" s="25">
        <v>46</v>
      </c>
      <c r="B50" s="78"/>
      <c r="C50" s="42" t="s">
        <v>59</v>
      </c>
      <c r="D50" s="42" t="s">
        <v>20</v>
      </c>
      <c r="E50" s="43">
        <v>72</v>
      </c>
      <c r="F50" s="44">
        <f t="shared" si="7"/>
        <v>775.00799999999992</v>
      </c>
      <c r="G50" s="45">
        <v>11</v>
      </c>
      <c r="H50" s="25">
        <v>2005</v>
      </c>
      <c r="I50" s="25">
        <v>2023</v>
      </c>
      <c r="J50" s="25">
        <f t="shared" si="6"/>
        <v>18</v>
      </c>
      <c r="K50" s="25">
        <v>60</v>
      </c>
      <c r="L50" s="46">
        <v>0.1</v>
      </c>
      <c r="M50" s="47">
        <f t="shared" si="2"/>
        <v>1.5000000000000001E-2</v>
      </c>
      <c r="N50" s="48">
        <v>1600</v>
      </c>
      <c r="O50" s="48">
        <f t="shared" si="3"/>
        <v>1240012.7999999998</v>
      </c>
      <c r="P50" s="48">
        <f t="shared" si="4"/>
        <v>334803.45600000001</v>
      </c>
      <c r="Q50" s="48">
        <f t="shared" si="5"/>
        <v>905209.34399999981</v>
      </c>
      <c r="R50" s="49">
        <v>0</v>
      </c>
      <c r="S50" s="48">
        <f t="shared" si="0"/>
        <v>905209.34399999981</v>
      </c>
      <c r="T50" s="25" t="s">
        <v>115</v>
      </c>
    </row>
    <row r="51" spans="1:20" ht="30" hidden="1" x14ac:dyDescent="0.25">
      <c r="A51" s="25">
        <v>47</v>
      </c>
      <c r="B51" s="41" t="s">
        <v>56</v>
      </c>
      <c r="C51" s="42" t="s">
        <v>57</v>
      </c>
      <c r="D51" s="42" t="s">
        <v>20</v>
      </c>
      <c r="E51" s="43">
        <v>35</v>
      </c>
      <c r="F51" s="44">
        <f t="shared" si="7"/>
        <v>376.73999999999995</v>
      </c>
      <c r="G51" s="45">
        <v>13</v>
      </c>
      <c r="H51" s="25">
        <v>2022</v>
      </c>
      <c r="I51" s="25">
        <v>2023</v>
      </c>
      <c r="J51" s="25">
        <f t="shared" si="6"/>
        <v>1</v>
      </c>
      <c r="K51" s="25">
        <v>60</v>
      </c>
      <c r="L51" s="46">
        <v>0.1</v>
      </c>
      <c r="M51" s="47">
        <f t="shared" si="2"/>
        <v>1.5000000000000001E-2</v>
      </c>
      <c r="N51" s="48">
        <v>1600</v>
      </c>
      <c r="O51" s="48">
        <f t="shared" si="3"/>
        <v>602783.99999999988</v>
      </c>
      <c r="P51" s="48">
        <f t="shared" si="4"/>
        <v>9041.7599999999984</v>
      </c>
      <c r="Q51" s="48">
        <f t="shared" si="5"/>
        <v>593742.23999999987</v>
      </c>
      <c r="R51" s="49">
        <v>0</v>
      </c>
      <c r="S51" s="48">
        <f t="shared" si="0"/>
        <v>593742.23999999987</v>
      </c>
      <c r="T51" s="25" t="s">
        <v>113</v>
      </c>
    </row>
    <row r="52" spans="1:20" ht="30" x14ac:dyDescent="0.25">
      <c r="A52" s="25">
        <v>48</v>
      </c>
      <c r="B52" s="41" t="s">
        <v>60</v>
      </c>
      <c r="C52" s="42" t="s">
        <v>61</v>
      </c>
      <c r="D52" s="42" t="s">
        <v>20</v>
      </c>
      <c r="E52" s="43">
        <v>40</v>
      </c>
      <c r="F52" s="44">
        <f t="shared" si="7"/>
        <v>430.55999999999995</v>
      </c>
      <c r="G52" s="45">
        <v>10</v>
      </c>
      <c r="H52" s="25">
        <v>2022</v>
      </c>
      <c r="I52" s="25">
        <v>2023</v>
      </c>
      <c r="J52" s="25">
        <f t="shared" si="6"/>
        <v>1</v>
      </c>
      <c r="K52" s="25">
        <v>60</v>
      </c>
      <c r="L52" s="46">
        <v>0.1</v>
      </c>
      <c r="M52" s="47">
        <f t="shared" si="2"/>
        <v>1.5000000000000001E-2</v>
      </c>
      <c r="N52" s="48">
        <v>1600</v>
      </c>
      <c r="O52" s="48">
        <f t="shared" si="3"/>
        <v>688895.99999999988</v>
      </c>
      <c r="P52" s="48">
        <f t="shared" si="4"/>
        <v>10333.439999999999</v>
      </c>
      <c r="Q52" s="48">
        <f t="shared" si="5"/>
        <v>678562.55999999994</v>
      </c>
      <c r="R52" s="49">
        <v>0</v>
      </c>
      <c r="S52" s="48">
        <f t="shared" si="0"/>
        <v>678562.55999999994</v>
      </c>
      <c r="T52" s="25" t="s">
        <v>115</v>
      </c>
    </row>
    <row r="53" spans="1:20" ht="30" x14ac:dyDescent="0.25">
      <c r="A53" s="25">
        <v>49</v>
      </c>
      <c r="B53" s="40" t="s">
        <v>62</v>
      </c>
      <c r="C53" s="42" t="s">
        <v>29</v>
      </c>
      <c r="D53" s="42" t="s">
        <v>20</v>
      </c>
      <c r="E53" s="43">
        <f>F53/10.764</f>
        <v>22.482348569305092</v>
      </c>
      <c r="F53" s="44">
        <f>11*22</f>
        <v>242</v>
      </c>
      <c r="G53" s="45">
        <v>10</v>
      </c>
      <c r="H53" s="25">
        <v>2004</v>
      </c>
      <c r="I53" s="25">
        <v>2023</v>
      </c>
      <c r="J53" s="25">
        <f t="shared" si="6"/>
        <v>19</v>
      </c>
      <c r="K53" s="25">
        <v>60</v>
      </c>
      <c r="L53" s="46">
        <v>0.1</v>
      </c>
      <c r="M53" s="47">
        <f t="shared" si="2"/>
        <v>1.5000000000000001E-2</v>
      </c>
      <c r="N53" s="48">
        <v>1200</v>
      </c>
      <c r="O53" s="48">
        <f t="shared" si="3"/>
        <v>290400</v>
      </c>
      <c r="P53" s="48">
        <f t="shared" si="4"/>
        <v>82764</v>
      </c>
      <c r="Q53" s="48">
        <f t="shared" si="5"/>
        <v>207636</v>
      </c>
      <c r="R53" s="49">
        <v>0</v>
      </c>
      <c r="S53" s="48">
        <f t="shared" si="0"/>
        <v>207636</v>
      </c>
      <c r="T53" s="25" t="s">
        <v>115</v>
      </c>
    </row>
    <row r="54" spans="1:20" ht="30" x14ac:dyDescent="0.25">
      <c r="A54" s="25">
        <v>50</v>
      </c>
      <c r="B54" s="40" t="s">
        <v>63</v>
      </c>
      <c r="C54" s="42" t="s">
        <v>29</v>
      </c>
      <c r="D54" s="42" t="s">
        <v>20</v>
      </c>
      <c r="E54" s="43">
        <v>22.48</v>
      </c>
      <c r="F54" s="44">
        <f>11*22</f>
        <v>242</v>
      </c>
      <c r="G54" s="45">
        <v>10</v>
      </c>
      <c r="H54" s="25">
        <v>2004</v>
      </c>
      <c r="I54" s="25">
        <v>2023</v>
      </c>
      <c r="J54" s="25">
        <f t="shared" si="6"/>
        <v>19</v>
      </c>
      <c r="K54" s="25">
        <v>60</v>
      </c>
      <c r="L54" s="46">
        <v>0.1</v>
      </c>
      <c r="M54" s="47">
        <f t="shared" si="2"/>
        <v>1.5000000000000001E-2</v>
      </c>
      <c r="N54" s="48">
        <v>1200</v>
      </c>
      <c r="O54" s="48">
        <f t="shared" si="3"/>
        <v>290400</v>
      </c>
      <c r="P54" s="48">
        <f t="shared" si="4"/>
        <v>82764</v>
      </c>
      <c r="Q54" s="48">
        <f t="shared" si="5"/>
        <v>207636</v>
      </c>
      <c r="R54" s="49">
        <v>0</v>
      </c>
      <c r="S54" s="48">
        <f t="shared" si="0"/>
        <v>207636</v>
      </c>
      <c r="T54" s="25" t="s">
        <v>115</v>
      </c>
    </row>
    <row r="55" spans="1:20" ht="30" x14ac:dyDescent="0.25">
      <c r="A55" s="25">
        <v>51</v>
      </c>
      <c r="B55" s="40" t="s">
        <v>64</v>
      </c>
      <c r="C55" s="42" t="s">
        <v>29</v>
      </c>
      <c r="D55" s="42" t="s">
        <v>20</v>
      </c>
      <c r="E55" s="43">
        <f>F55/10.764</f>
        <v>16.722408026755854</v>
      </c>
      <c r="F55" s="44">
        <f>18*10</f>
        <v>180</v>
      </c>
      <c r="G55" s="45">
        <v>10</v>
      </c>
      <c r="H55" s="25">
        <v>2004</v>
      </c>
      <c r="I55" s="25">
        <v>2023</v>
      </c>
      <c r="J55" s="25">
        <f t="shared" si="6"/>
        <v>19</v>
      </c>
      <c r="K55" s="25">
        <v>60</v>
      </c>
      <c r="L55" s="46">
        <v>0.1</v>
      </c>
      <c r="M55" s="47">
        <f t="shared" si="2"/>
        <v>1.5000000000000001E-2</v>
      </c>
      <c r="N55" s="48">
        <v>1600</v>
      </c>
      <c r="O55" s="48">
        <f t="shared" si="3"/>
        <v>288000</v>
      </c>
      <c r="P55" s="48">
        <f t="shared" si="4"/>
        <v>82080</v>
      </c>
      <c r="Q55" s="48">
        <f t="shared" si="5"/>
        <v>205920</v>
      </c>
      <c r="R55" s="49">
        <v>0</v>
      </c>
      <c r="S55" s="48">
        <f t="shared" si="0"/>
        <v>205920</v>
      </c>
      <c r="T55" s="25" t="s">
        <v>115</v>
      </c>
    </row>
    <row r="56" spans="1:20" ht="30" x14ac:dyDescent="0.25">
      <c r="A56" s="25">
        <v>52</v>
      </c>
      <c r="B56" s="40" t="s">
        <v>65</v>
      </c>
      <c r="C56" s="42" t="s">
        <v>29</v>
      </c>
      <c r="D56" s="42" t="s">
        <v>20</v>
      </c>
      <c r="E56" s="43">
        <f>F56/10.764</f>
        <v>16.722408026755854</v>
      </c>
      <c r="F56" s="44">
        <f>18*10</f>
        <v>180</v>
      </c>
      <c r="G56" s="45">
        <v>10</v>
      </c>
      <c r="H56" s="25">
        <v>2004</v>
      </c>
      <c r="I56" s="25">
        <v>2023</v>
      </c>
      <c r="J56" s="25">
        <f t="shared" si="6"/>
        <v>19</v>
      </c>
      <c r="K56" s="25">
        <v>60</v>
      </c>
      <c r="L56" s="46">
        <v>0.1</v>
      </c>
      <c r="M56" s="47">
        <f t="shared" si="2"/>
        <v>1.5000000000000001E-2</v>
      </c>
      <c r="N56" s="48">
        <v>1600</v>
      </c>
      <c r="O56" s="48">
        <f t="shared" si="3"/>
        <v>288000</v>
      </c>
      <c r="P56" s="48">
        <f t="shared" si="4"/>
        <v>82080</v>
      </c>
      <c r="Q56" s="48">
        <f t="shared" si="5"/>
        <v>205920</v>
      </c>
      <c r="R56" s="49">
        <v>0</v>
      </c>
      <c r="S56" s="48">
        <f t="shared" si="0"/>
        <v>205920</v>
      </c>
      <c r="T56" s="25" t="s">
        <v>115</v>
      </c>
    </row>
    <row r="57" spans="1:20" hidden="1" x14ac:dyDescent="0.25">
      <c r="A57" s="25">
        <v>53</v>
      </c>
      <c r="B57" s="40" t="s">
        <v>66</v>
      </c>
      <c r="C57" s="42" t="s">
        <v>29</v>
      </c>
      <c r="D57" s="42" t="s">
        <v>105</v>
      </c>
      <c r="E57" s="43">
        <f>F57/10.764</f>
        <v>1083.6120401337794</v>
      </c>
      <c r="F57" s="44">
        <f>243*48</f>
        <v>11664</v>
      </c>
      <c r="G57" s="45">
        <v>50</v>
      </c>
      <c r="H57" s="25">
        <v>2022</v>
      </c>
      <c r="I57" s="25">
        <v>2023</v>
      </c>
      <c r="J57" s="25">
        <f t="shared" si="6"/>
        <v>1</v>
      </c>
      <c r="K57" s="25">
        <v>45</v>
      </c>
      <c r="L57" s="46">
        <v>0.1</v>
      </c>
      <c r="M57" s="47">
        <f t="shared" si="2"/>
        <v>0.02</v>
      </c>
      <c r="N57" s="48">
        <v>2000</v>
      </c>
      <c r="O57" s="48">
        <f t="shared" si="3"/>
        <v>23328000</v>
      </c>
      <c r="P57" s="48">
        <f t="shared" si="4"/>
        <v>466560</v>
      </c>
      <c r="Q57" s="48">
        <f t="shared" si="5"/>
        <v>22861440</v>
      </c>
      <c r="R57" s="49">
        <v>0</v>
      </c>
      <c r="S57" s="48">
        <f t="shared" si="0"/>
        <v>22861440</v>
      </c>
      <c r="T57" s="25" t="s">
        <v>112</v>
      </c>
    </row>
    <row r="58" spans="1:20" ht="30" hidden="1" x14ac:dyDescent="0.25">
      <c r="A58" s="25">
        <v>54</v>
      </c>
      <c r="B58" s="40" t="s">
        <v>68</v>
      </c>
      <c r="C58" s="42" t="s">
        <v>29</v>
      </c>
      <c r="D58" s="42" t="s">
        <v>20</v>
      </c>
      <c r="E58" s="43">
        <f>F58/10.764</f>
        <v>301.83946488294316</v>
      </c>
      <c r="F58" s="44">
        <f>57*57</f>
        <v>3249</v>
      </c>
      <c r="G58" s="45">
        <v>10</v>
      </c>
      <c r="H58" s="25">
        <v>2022</v>
      </c>
      <c r="I58" s="25">
        <v>2023</v>
      </c>
      <c r="J58" s="25">
        <f t="shared" si="6"/>
        <v>1</v>
      </c>
      <c r="K58" s="25">
        <v>60</v>
      </c>
      <c r="L58" s="46">
        <v>0.1</v>
      </c>
      <c r="M58" s="47">
        <f t="shared" si="2"/>
        <v>1.5000000000000001E-2</v>
      </c>
      <c r="N58" s="48">
        <v>1600</v>
      </c>
      <c r="O58" s="48">
        <f t="shared" si="3"/>
        <v>5198400</v>
      </c>
      <c r="P58" s="48">
        <f t="shared" si="4"/>
        <v>77976</v>
      </c>
      <c r="Q58" s="48">
        <f t="shared" si="5"/>
        <v>5120424</v>
      </c>
      <c r="R58" s="49">
        <v>0</v>
      </c>
      <c r="S58" s="48">
        <f t="shared" si="0"/>
        <v>5120424</v>
      </c>
      <c r="T58" s="25" t="s">
        <v>113</v>
      </c>
    </row>
    <row r="59" spans="1:20" ht="30" hidden="1" x14ac:dyDescent="0.25">
      <c r="A59" s="25">
        <v>55</v>
      </c>
      <c r="B59" s="40" t="s">
        <v>69</v>
      </c>
      <c r="C59" s="42" t="s">
        <v>29</v>
      </c>
      <c r="D59" s="42" t="s">
        <v>20</v>
      </c>
      <c r="E59" s="43">
        <f t="shared" ref="E59:E92" si="8">F59/10.764</f>
        <v>301.83946488294316</v>
      </c>
      <c r="F59" s="44">
        <f t="shared" ref="F59:F61" si="9">57*57</f>
        <v>3249</v>
      </c>
      <c r="G59" s="45">
        <v>10</v>
      </c>
      <c r="H59" s="25">
        <v>2022</v>
      </c>
      <c r="I59" s="25">
        <v>2023</v>
      </c>
      <c r="J59" s="25">
        <f t="shared" si="6"/>
        <v>1</v>
      </c>
      <c r="K59" s="25">
        <v>60</v>
      </c>
      <c r="L59" s="46">
        <v>0.1</v>
      </c>
      <c r="M59" s="47">
        <f t="shared" si="2"/>
        <v>1.5000000000000001E-2</v>
      </c>
      <c r="N59" s="48">
        <v>1600</v>
      </c>
      <c r="O59" s="48">
        <f t="shared" si="3"/>
        <v>5198400</v>
      </c>
      <c r="P59" s="48">
        <f t="shared" si="4"/>
        <v>77976</v>
      </c>
      <c r="Q59" s="48">
        <f t="shared" si="5"/>
        <v>5120424</v>
      </c>
      <c r="R59" s="49">
        <v>0</v>
      </c>
      <c r="S59" s="48">
        <f t="shared" si="0"/>
        <v>5120424</v>
      </c>
      <c r="T59" s="25" t="s">
        <v>113</v>
      </c>
    </row>
    <row r="60" spans="1:20" ht="30" hidden="1" x14ac:dyDescent="0.25">
      <c r="A60" s="25">
        <v>56</v>
      </c>
      <c r="B60" s="40" t="s">
        <v>70</v>
      </c>
      <c r="C60" s="42" t="s">
        <v>29</v>
      </c>
      <c r="D60" s="42" t="s">
        <v>20</v>
      </c>
      <c r="E60" s="43">
        <f t="shared" si="8"/>
        <v>301.83946488294316</v>
      </c>
      <c r="F60" s="44">
        <f t="shared" si="9"/>
        <v>3249</v>
      </c>
      <c r="G60" s="45">
        <v>10</v>
      </c>
      <c r="H60" s="25">
        <v>2022</v>
      </c>
      <c r="I60" s="25">
        <v>2023</v>
      </c>
      <c r="J60" s="25">
        <f t="shared" si="6"/>
        <v>1</v>
      </c>
      <c r="K60" s="25">
        <v>60</v>
      </c>
      <c r="L60" s="46">
        <v>0.1</v>
      </c>
      <c r="M60" s="47">
        <f t="shared" si="2"/>
        <v>1.5000000000000001E-2</v>
      </c>
      <c r="N60" s="48">
        <v>1600</v>
      </c>
      <c r="O60" s="48">
        <f t="shared" si="3"/>
        <v>5198400</v>
      </c>
      <c r="P60" s="48">
        <f t="shared" si="4"/>
        <v>77976</v>
      </c>
      <c r="Q60" s="48">
        <f t="shared" si="5"/>
        <v>5120424</v>
      </c>
      <c r="R60" s="49">
        <v>0</v>
      </c>
      <c r="S60" s="48">
        <f t="shared" si="0"/>
        <v>5120424</v>
      </c>
      <c r="T60" s="25" t="s">
        <v>113</v>
      </c>
    </row>
    <row r="61" spans="1:20" ht="30" hidden="1" x14ac:dyDescent="0.25">
      <c r="A61" s="25">
        <v>57</v>
      </c>
      <c r="B61" s="40" t="s">
        <v>71</v>
      </c>
      <c r="C61" s="42" t="s">
        <v>29</v>
      </c>
      <c r="D61" s="42" t="s">
        <v>20</v>
      </c>
      <c r="E61" s="43">
        <f t="shared" si="8"/>
        <v>301.83946488294316</v>
      </c>
      <c r="F61" s="44">
        <f t="shared" si="9"/>
        <v>3249</v>
      </c>
      <c r="G61" s="45">
        <v>10</v>
      </c>
      <c r="H61" s="25">
        <v>2022</v>
      </c>
      <c r="I61" s="25">
        <v>2023</v>
      </c>
      <c r="J61" s="25">
        <f t="shared" si="6"/>
        <v>1</v>
      </c>
      <c r="K61" s="25">
        <v>60</v>
      </c>
      <c r="L61" s="46">
        <v>0.1</v>
      </c>
      <c r="M61" s="47">
        <f t="shared" si="2"/>
        <v>1.5000000000000001E-2</v>
      </c>
      <c r="N61" s="48">
        <v>1600</v>
      </c>
      <c r="O61" s="48">
        <f t="shared" si="3"/>
        <v>5198400</v>
      </c>
      <c r="P61" s="48">
        <f t="shared" si="4"/>
        <v>77976</v>
      </c>
      <c r="Q61" s="48">
        <f t="shared" si="5"/>
        <v>5120424</v>
      </c>
      <c r="R61" s="49">
        <v>0</v>
      </c>
      <c r="S61" s="48">
        <f t="shared" si="0"/>
        <v>5120424</v>
      </c>
      <c r="T61" s="25" t="s">
        <v>113</v>
      </c>
    </row>
    <row r="62" spans="1:20" ht="30" hidden="1" x14ac:dyDescent="0.25">
      <c r="A62" s="25">
        <v>58</v>
      </c>
      <c r="B62" s="67" t="s">
        <v>72</v>
      </c>
      <c r="C62" s="42" t="s">
        <v>29</v>
      </c>
      <c r="D62" s="42" t="s">
        <v>20</v>
      </c>
      <c r="E62" s="43">
        <f t="shared" si="8"/>
        <v>65.403195837978444</v>
      </c>
      <c r="F62" s="44">
        <f>22*32</f>
        <v>704</v>
      </c>
      <c r="G62" s="45">
        <v>10</v>
      </c>
      <c r="H62" s="25">
        <v>2022</v>
      </c>
      <c r="I62" s="25">
        <v>2023</v>
      </c>
      <c r="J62" s="25">
        <f t="shared" si="6"/>
        <v>1</v>
      </c>
      <c r="K62" s="25">
        <v>60</v>
      </c>
      <c r="L62" s="46">
        <v>0.1</v>
      </c>
      <c r="M62" s="47">
        <f t="shared" si="2"/>
        <v>1.5000000000000001E-2</v>
      </c>
      <c r="N62" s="48">
        <v>1600</v>
      </c>
      <c r="O62" s="48">
        <f t="shared" si="3"/>
        <v>1126400</v>
      </c>
      <c r="P62" s="48">
        <f t="shared" si="4"/>
        <v>16896</v>
      </c>
      <c r="Q62" s="48">
        <f t="shared" si="5"/>
        <v>1109504</v>
      </c>
      <c r="R62" s="49">
        <v>0</v>
      </c>
      <c r="S62" s="48">
        <f t="shared" si="0"/>
        <v>1109504</v>
      </c>
      <c r="T62" s="25" t="s">
        <v>112</v>
      </c>
    </row>
    <row r="63" spans="1:20" hidden="1" x14ac:dyDescent="0.25">
      <c r="A63" s="25">
        <v>59</v>
      </c>
      <c r="B63" s="68"/>
      <c r="C63" s="42" t="s">
        <v>45</v>
      </c>
      <c r="D63" s="42" t="s">
        <v>74</v>
      </c>
      <c r="E63" s="43">
        <f t="shared" si="8"/>
        <v>65.403195837978444</v>
      </c>
      <c r="F63" s="44">
        <f t="shared" ref="F63:F65" si="10">22*32</f>
        <v>704</v>
      </c>
      <c r="G63" s="45">
        <v>10</v>
      </c>
      <c r="H63" s="25">
        <v>2022</v>
      </c>
      <c r="I63" s="25">
        <v>2023</v>
      </c>
      <c r="J63" s="25">
        <f t="shared" si="6"/>
        <v>1</v>
      </c>
      <c r="K63" s="25">
        <v>45</v>
      </c>
      <c r="L63" s="46">
        <v>0.1</v>
      </c>
      <c r="M63" s="47">
        <f t="shared" si="2"/>
        <v>0.02</v>
      </c>
      <c r="N63" s="48">
        <v>1200</v>
      </c>
      <c r="O63" s="48">
        <f t="shared" si="3"/>
        <v>844800</v>
      </c>
      <c r="P63" s="48">
        <f t="shared" si="4"/>
        <v>16896</v>
      </c>
      <c r="Q63" s="48">
        <f t="shared" si="5"/>
        <v>827904</v>
      </c>
      <c r="R63" s="49">
        <v>0</v>
      </c>
      <c r="S63" s="48">
        <f t="shared" si="0"/>
        <v>827904</v>
      </c>
      <c r="T63" s="25" t="s">
        <v>112</v>
      </c>
    </row>
    <row r="64" spans="1:20" ht="30" hidden="1" x14ac:dyDescent="0.25">
      <c r="A64" s="25">
        <v>60</v>
      </c>
      <c r="B64" s="67" t="s">
        <v>73</v>
      </c>
      <c r="C64" s="42" t="s">
        <v>29</v>
      </c>
      <c r="D64" s="42" t="s">
        <v>20</v>
      </c>
      <c r="E64" s="43">
        <f t="shared" si="8"/>
        <v>65.403195837978444</v>
      </c>
      <c r="F64" s="44">
        <f t="shared" si="10"/>
        <v>704</v>
      </c>
      <c r="G64" s="45">
        <v>10</v>
      </c>
      <c r="H64" s="25">
        <v>2022</v>
      </c>
      <c r="I64" s="25">
        <v>2023</v>
      </c>
      <c r="J64" s="25">
        <f t="shared" si="6"/>
        <v>1</v>
      </c>
      <c r="K64" s="25">
        <v>60</v>
      </c>
      <c r="L64" s="46">
        <v>0.1</v>
      </c>
      <c r="M64" s="47">
        <f t="shared" si="2"/>
        <v>1.5000000000000001E-2</v>
      </c>
      <c r="N64" s="48">
        <v>1600</v>
      </c>
      <c r="O64" s="48">
        <f t="shared" si="3"/>
        <v>1126400</v>
      </c>
      <c r="P64" s="48">
        <f t="shared" si="4"/>
        <v>16896</v>
      </c>
      <c r="Q64" s="48">
        <f t="shared" si="5"/>
        <v>1109504</v>
      </c>
      <c r="R64" s="49">
        <v>0</v>
      </c>
      <c r="S64" s="48">
        <f t="shared" si="0"/>
        <v>1109504</v>
      </c>
      <c r="T64" s="25" t="s">
        <v>113</v>
      </c>
    </row>
    <row r="65" spans="1:20" hidden="1" x14ac:dyDescent="0.25">
      <c r="A65" s="25">
        <v>61</v>
      </c>
      <c r="B65" s="68"/>
      <c r="C65" s="42" t="s">
        <v>45</v>
      </c>
      <c r="D65" s="42" t="s">
        <v>74</v>
      </c>
      <c r="E65" s="43">
        <f t="shared" si="8"/>
        <v>65.403195837978444</v>
      </c>
      <c r="F65" s="44">
        <f t="shared" si="10"/>
        <v>704</v>
      </c>
      <c r="G65" s="45">
        <v>10</v>
      </c>
      <c r="H65" s="25">
        <v>2022</v>
      </c>
      <c r="I65" s="25">
        <v>2023</v>
      </c>
      <c r="J65" s="25">
        <f t="shared" si="6"/>
        <v>1</v>
      </c>
      <c r="K65" s="25">
        <v>45</v>
      </c>
      <c r="L65" s="46">
        <v>0.1</v>
      </c>
      <c r="M65" s="47">
        <f t="shared" si="2"/>
        <v>0.02</v>
      </c>
      <c r="N65" s="48">
        <v>1200</v>
      </c>
      <c r="O65" s="48">
        <f t="shared" si="3"/>
        <v>844800</v>
      </c>
      <c r="P65" s="48">
        <f t="shared" si="4"/>
        <v>16896</v>
      </c>
      <c r="Q65" s="48">
        <f t="shared" si="5"/>
        <v>827904</v>
      </c>
      <c r="R65" s="49">
        <v>0</v>
      </c>
      <c r="S65" s="48">
        <f t="shared" si="0"/>
        <v>827904</v>
      </c>
      <c r="T65" s="25" t="s">
        <v>113</v>
      </c>
    </row>
    <row r="66" spans="1:20" hidden="1" x14ac:dyDescent="0.25">
      <c r="A66" s="25">
        <v>62</v>
      </c>
      <c r="B66" s="40" t="s">
        <v>75</v>
      </c>
      <c r="C66" s="42" t="s">
        <v>29</v>
      </c>
      <c r="D66" s="42" t="s">
        <v>74</v>
      </c>
      <c r="E66" s="43">
        <f t="shared" si="8"/>
        <v>139.35340022296546</v>
      </c>
      <c r="F66" s="44">
        <f>100*15</f>
        <v>1500</v>
      </c>
      <c r="G66" s="45">
        <v>40</v>
      </c>
      <c r="H66" s="25">
        <v>2022</v>
      </c>
      <c r="I66" s="25">
        <v>2023</v>
      </c>
      <c r="J66" s="25">
        <f t="shared" si="6"/>
        <v>1</v>
      </c>
      <c r="K66" s="25">
        <v>45</v>
      </c>
      <c r="L66" s="46">
        <v>0.1</v>
      </c>
      <c r="M66" s="47">
        <f t="shared" si="2"/>
        <v>0.02</v>
      </c>
      <c r="N66" s="48">
        <v>1700</v>
      </c>
      <c r="O66" s="48">
        <f t="shared" si="3"/>
        <v>2550000</v>
      </c>
      <c r="P66" s="48">
        <f t="shared" si="4"/>
        <v>51000</v>
      </c>
      <c r="Q66" s="48">
        <f t="shared" si="5"/>
        <v>2499000</v>
      </c>
      <c r="R66" s="49">
        <v>0</v>
      </c>
      <c r="S66" s="48">
        <f t="shared" si="0"/>
        <v>2499000</v>
      </c>
      <c r="T66" s="25" t="s">
        <v>112</v>
      </c>
    </row>
    <row r="67" spans="1:20" hidden="1" x14ac:dyDescent="0.25">
      <c r="A67" s="25">
        <v>63</v>
      </c>
      <c r="B67" s="40" t="s">
        <v>76</v>
      </c>
      <c r="C67" s="42" t="s">
        <v>29</v>
      </c>
      <c r="D67" s="42" t="s">
        <v>74</v>
      </c>
      <c r="E67" s="43">
        <f t="shared" si="8"/>
        <v>1124.1174284652545</v>
      </c>
      <c r="F67" s="44">
        <f>220*55</f>
        <v>12100</v>
      </c>
      <c r="G67" s="45">
        <v>50</v>
      </c>
      <c r="H67" s="25">
        <v>2022</v>
      </c>
      <c r="I67" s="25">
        <v>2023</v>
      </c>
      <c r="J67" s="25">
        <f t="shared" si="6"/>
        <v>1</v>
      </c>
      <c r="K67" s="25">
        <v>45</v>
      </c>
      <c r="L67" s="46">
        <v>0.1</v>
      </c>
      <c r="M67" s="47">
        <f t="shared" si="2"/>
        <v>0.02</v>
      </c>
      <c r="N67" s="48">
        <v>2000</v>
      </c>
      <c r="O67" s="48">
        <f t="shared" si="3"/>
        <v>24200000</v>
      </c>
      <c r="P67" s="48">
        <f t="shared" si="4"/>
        <v>484000</v>
      </c>
      <c r="Q67" s="48">
        <f t="shared" si="5"/>
        <v>23716000</v>
      </c>
      <c r="R67" s="49">
        <v>0</v>
      </c>
      <c r="S67" s="48">
        <f t="shared" si="0"/>
        <v>23716000</v>
      </c>
      <c r="T67" s="25" t="s">
        <v>112</v>
      </c>
    </row>
    <row r="68" spans="1:20" hidden="1" x14ac:dyDescent="0.25">
      <c r="A68" s="25">
        <v>64</v>
      </c>
      <c r="B68" s="40" t="s">
        <v>77</v>
      </c>
      <c r="C68" s="42" t="s">
        <v>29</v>
      </c>
      <c r="D68" s="42" t="s">
        <v>67</v>
      </c>
      <c r="E68" s="43">
        <f t="shared" si="8"/>
        <v>40.876997398736535</v>
      </c>
      <c r="F68" s="44">
        <f>22*20</f>
        <v>440</v>
      </c>
      <c r="G68" s="45">
        <v>12</v>
      </c>
      <c r="H68" s="25">
        <v>2022</v>
      </c>
      <c r="I68" s="25">
        <v>2023</v>
      </c>
      <c r="J68" s="25">
        <f t="shared" si="6"/>
        <v>1</v>
      </c>
      <c r="K68" s="25">
        <v>45</v>
      </c>
      <c r="L68" s="46">
        <v>0.1</v>
      </c>
      <c r="M68" s="47">
        <f t="shared" si="2"/>
        <v>0.02</v>
      </c>
      <c r="N68" s="48">
        <v>1100</v>
      </c>
      <c r="O68" s="48">
        <f t="shared" si="3"/>
        <v>484000</v>
      </c>
      <c r="P68" s="48">
        <f t="shared" si="4"/>
        <v>9680</v>
      </c>
      <c r="Q68" s="48">
        <f t="shared" si="5"/>
        <v>474320</v>
      </c>
      <c r="R68" s="49">
        <v>0</v>
      </c>
      <c r="S68" s="48">
        <f t="shared" si="0"/>
        <v>474320</v>
      </c>
      <c r="T68" s="25" t="s">
        <v>112</v>
      </c>
    </row>
    <row r="69" spans="1:20" hidden="1" x14ac:dyDescent="0.25">
      <c r="A69" s="25">
        <v>65</v>
      </c>
      <c r="B69" s="40" t="s">
        <v>78</v>
      </c>
      <c r="C69" s="42" t="s">
        <v>29</v>
      </c>
      <c r="D69" s="42" t="s">
        <v>67</v>
      </c>
      <c r="E69" s="43">
        <f t="shared" si="8"/>
        <v>289.85507246376812</v>
      </c>
      <c r="F69" s="44">
        <f>104*30</f>
        <v>3120</v>
      </c>
      <c r="G69" s="45">
        <v>12</v>
      </c>
      <c r="H69" s="25">
        <v>2022</v>
      </c>
      <c r="I69" s="25">
        <v>2023</v>
      </c>
      <c r="J69" s="25">
        <f t="shared" si="6"/>
        <v>1</v>
      </c>
      <c r="K69" s="25">
        <v>45</v>
      </c>
      <c r="L69" s="46">
        <v>0.1</v>
      </c>
      <c r="M69" s="47">
        <f t="shared" si="2"/>
        <v>0.02</v>
      </c>
      <c r="N69" s="48">
        <v>1100</v>
      </c>
      <c r="O69" s="48">
        <f t="shared" si="3"/>
        <v>3432000</v>
      </c>
      <c r="P69" s="48">
        <f t="shared" si="4"/>
        <v>68640</v>
      </c>
      <c r="Q69" s="48">
        <f t="shared" si="5"/>
        <v>3363360</v>
      </c>
      <c r="R69" s="49">
        <v>0</v>
      </c>
      <c r="S69" s="48">
        <f t="shared" si="0"/>
        <v>3363360</v>
      </c>
      <c r="T69" s="25" t="s">
        <v>112</v>
      </c>
    </row>
    <row r="70" spans="1:20" ht="30" hidden="1" x14ac:dyDescent="0.25">
      <c r="A70" s="25">
        <v>66</v>
      </c>
      <c r="B70" s="67" t="s">
        <v>79</v>
      </c>
      <c r="C70" s="42" t="s">
        <v>29</v>
      </c>
      <c r="D70" s="42" t="s">
        <v>20</v>
      </c>
      <c r="E70" s="43">
        <f t="shared" si="8"/>
        <v>37.160906726124118</v>
      </c>
      <c r="F70" s="44">
        <f>20*20</f>
        <v>400</v>
      </c>
      <c r="G70" s="45">
        <v>10</v>
      </c>
      <c r="H70" s="25">
        <v>2022</v>
      </c>
      <c r="I70" s="25">
        <v>2023</v>
      </c>
      <c r="J70" s="25">
        <f t="shared" si="6"/>
        <v>1</v>
      </c>
      <c r="K70" s="25">
        <v>60</v>
      </c>
      <c r="L70" s="46">
        <v>0.1</v>
      </c>
      <c r="M70" s="47">
        <f t="shared" ref="M70:M88" si="11">(1-L70)/K70</f>
        <v>1.5000000000000001E-2</v>
      </c>
      <c r="N70" s="48">
        <v>1600</v>
      </c>
      <c r="O70" s="48">
        <f t="shared" ref="O70:O92" si="12">N70*F70</f>
        <v>640000</v>
      </c>
      <c r="P70" s="48">
        <f t="shared" ref="P70:P92" si="13">O70*M70*J70</f>
        <v>9600</v>
      </c>
      <c r="Q70" s="48">
        <f t="shared" ref="Q70:Q92" si="14">MAX(O70-P70,0)</f>
        <v>630400</v>
      </c>
      <c r="R70" s="49">
        <v>0</v>
      </c>
      <c r="S70" s="48">
        <f t="shared" si="0"/>
        <v>630400</v>
      </c>
      <c r="T70" s="25" t="s">
        <v>112</v>
      </c>
    </row>
    <row r="71" spans="1:20" hidden="1" x14ac:dyDescent="0.25">
      <c r="A71" s="25">
        <v>67</v>
      </c>
      <c r="B71" s="68"/>
      <c r="C71" s="42" t="s">
        <v>45</v>
      </c>
      <c r="D71" s="42" t="s">
        <v>74</v>
      </c>
      <c r="E71" s="43">
        <f t="shared" si="8"/>
        <v>37.160906726124118</v>
      </c>
      <c r="F71" s="44">
        <f>20*20</f>
        <v>400</v>
      </c>
      <c r="G71" s="45">
        <v>10</v>
      </c>
      <c r="H71" s="25">
        <v>2022</v>
      </c>
      <c r="I71" s="25">
        <v>2023</v>
      </c>
      <c r="J71" s="25">
        <f t="shared" ref="J71:J92" si="15">I71-H71</f>
        <v>1</v>
      </c>
      <c r="K71" s="25">
        <v>45</v>
      </c>
      <c r="L71" s="46">
        <v>0.1</v>
      </c>
      <c r="M71" s="47">
        <f t="shared" si="11"/>
        <v>0.02</v>
      </c>
      <c r="N71" s="48">
        <v>1200</v>
      </c>
      <c r="O71" s="48">
        <f t="shared" si="12"/>
        <v>480000</v>
      </c>
      <c r="P71" s="48">
        <f t="shared" si="13"/>
        <v>9600</v>
      </c>
      <c r="Q71" s="48">
        <f t="shared" si="14"/>
        <v>470400</v>
      </c>
      <c r="R71" s="49">
        <v>0</v>
      </c>
      <c r="S71" s="48">
        <f t="shared" si="0"/>
        <v>470400</v>
      </c>
      <c r="T71" s="25" t="s">
        <v>112</v>
      </c>
    </row>
    <row r="72" spans="1:20" x14ac:dyDescent="0.25">
      <c r="A72" s="25">
        <v>68</v>
      </c>
      <c r="B72" s="41" t="s">
        <v>80</v>
      </c>
      <c r="C72" s="42" t="s">
        <v>29</v>
      </c>
      <c r="D72" s="42" t="s">
        <v>74</v>
      </c>
      <c r="E72" s="43">
        <f t="shared" si="8"/>
        <v>304.71943515421776</v>
      </c>
      <c r="F72" s="44">
        <f>80*41</f>
        <v>3280</v>
      </c>
      <c r="G72" s="45">
        <v>28</v>
      </c>
      <c r="H72" s="25">
        <v>2022</v>
      </c>
      <c r="I72" s="25">
        <v>2023</v>
      </c>
      <c r="J72" s="25">
        <f t="shared" si="15"/>
        <v>1</v>
      </c>
      <c r="K72" s="25">
        <v>45</v>
      </c>
      <c r="L72" s="46">
        <v>0.1</v>
      </c>
      <c r="M72" s="47">
        <f t="shared" si="11"/>
        <v>0.02</v>
      </c>
      <c r="N72" s="48">
        <v>1400</v>
      </c>
      <c r="O72" s="48">
        <f t="shared" si="12"/>
        <v>4592000</v>
      </c>
      <c r="P72" s="48">
        <f t="shared" si="13"/>
        <v>91840</v>
      </c>
      <c r="Q72" s="48">
        <f t="shared" si="14"/>
        <v>4500160</v>
      </c>
      <c r="R72" s="49">
        <v>0</v>
      </c>
      <c r="S72" s="48">
        <f t="shared" si="0"/>
        <v>4500160</v>
      </c>
      <c r="T72" s="25" t="s">
        <v>115</v>
      </c>
    </row>
    <row r="73" spans="1:20" ht="30" x14ac:dyDescent="0.25">
      <c r="A73" s="25">
        <v>69</v>
      </c>
      <c r="B73" s="40" t="s">
        <v>81</v>
      </c>
      <c r="C73" s="42" t="s">
        <v>29</v>
      </c>
      <c r="D73" s="42" t="s">
        <v>20</v>
      </c>
      <c r="E73" s="43">
        <f t="shared" si="8"/>
        <v>41.806020066889637</v>
      </c>
      <c r="F73" s="44">
        <f>30*15</f>
        <v>450</v>
      </c>
      <c r="G73" s="45">
        <v>13</v>
      </c>
      <c r="H73" s="25">
        <v>2022</v>
      </c>
      <c r="I73" s="25">
        <v>2023</v>
      </c>
      <c r="J73" s="25">
        <f t="shared" si="15"/>
        <v>1</v>
      </c>
      <c r="K73" s="25">
        <v>60</v>
      </c>
      <c r="L73" s="46">
        <v>0.1</v>
      </c>
      <c r="M73" s="47">
        <f t="shared" si="11"/>
        <v>1.5000000000000001E-2</v>
      </c>
      <c r="N73" s="48">
        <v>1600</v>
      </c>
      <c r="O73" s="48">
        <f t="shared" si="12"/>
        <v>720000</v>
      </c>
      <c r="P73" s="48">
        <f t="shared" si="13"/>
        <v>10800</v>
      </c>
      <c r="Q73" s="48">
        <f t="shared" si="14"/>
        <v>709200</v>
      </c>
      <c r="R73" s="49">
        <v>0</v>
      </c>
      <c r="S73" s="48">
        <f t="shared" si="0"/>
        <v>709200</v>
      </c>
      <c r="T73" s="25" t="s">
        <v>115</v>
      </c>
    </row>
    <row r="74" spans="1:20" ht="30" x14ac:dyDescent="0.25">
      <c r="A74" s="25">
        <v>70</v>
      </c>
      <c r="B74" s="67" t="s">
        <v>82</v>
      </c>
      <c r="C74" s="42" t="s">
        <v>29</v>
      </c>
      <c r="D74" s="42" t="s">
        <v>20</v>
      </c>
      <c r="E74" s="43">
        <f t="shared" si="8"/>
        <v>130.06317354143442</v>
      </c>
      <c r="F74" s="44">
        <v>1400</v>
      </c>
      <c r="G74" s="45">
        <v>10</v>
      </c>
      <c r="H74" s="25">
        <v>2022</v>
      </c>
      <c r="I74" s="25">
        <v>2023</v>
      </c>
      <c r="J74" s="25">
        <f t="shared" si="15"/>
        <v>1</v>
      </c>
      <c r="K74" s="25">
        <v>60</v>
      </c>
      <c r="L74" s="46">
        <v>0.1</v>
      </c>
      <c r="M74" s="47">
        <f t="shared" si="11"/>
        <v>1.5000000000000001E-2</v>
      </c>
      <c r="N74" s="48">
        <v>1600</v>
      </c>
      <c r="O74" s="48">
        <f t="shared" si="12"/>
        <v>2240000</v>
      </c>
      <c r="P74" s="48">
        <f t="shared" si="13"/>
        <v>33600</v>
      </c>
      <c r="Q74" s="48">
        <f t="shared" si="14"/>
        <v>2206400</v>
      </c>
      <c r="R74" s="49">
        <v>0</v>
      </c>
      <c r="S74" s="48">
        <f t="shared" si="0"/>
        <v>2206400</v>
      </c>
      <c r="T74" s="25" t="s">
        <v>115</v>
      </c>
    </row>
    <row r="75" spans="1:20" ht="30" x14ac:dyDescent="0.25">
      <c r="A75" s="25">
        <v>71</v>
      </c>
      <c r="B75" s="68"/>
      <c r="C75" s="42" t="s">
        <v>45</v>
      </c>
      <c r="D75" s="42" t="s">
        <v>20</v>
      </c>
      <c r="E75" s="43">
        <f t="shared" si="8"/>
        <v>130.06317354143442</v>
      </c>
      <c r="F75" s="44">
        <v>1400</v>
      </c>
      <c r="G75" s="45">
        <v>10</v>
      </c>
      <c r="H75" s="25">
        <v>2022</v>
      </c>
      <c r="I75" s="25">
        <v>2023</v>
      </c>
      <c r="J75" s="25">
        <f t="shared" si="15"/>
        <v>1</v>
      </c>
      <c r="K75" s="25">
        <v>60</v>
      </c>
      <c r="L75" s="46">
        <v>0.1</v>
      </c>
      <c r="M75" s="47">
        <f t="shared" si="11"/>
        <v>1.5000000000000001E-2</v>
      </c>
      <c r="N75" s="48">
        <v>1600</v>
      </c>
      <c r="O75" s="48">
        <f t="shared" si="12"/>
        <v>2240000</v>
      </c>
      <c r="P75" s="48">
        <f t="shared" si="13"/>
        <v>33600</v>
      </c>
      <c r="Q75" s="48">
        <f t="shared" si="14"/>
        <v>2206400</v>
      </c>
      <c r="R75" s="49">
        <v>0</v>
      </c>
      <c r="S75" s="48">
        <f t="shared" si="0"/>
        <v>2206400</v>
      </c>
      <c r="T75" s="25" t="s">
        <v>115</v>
      </c>
    </row>
    <row r="76" spans="1:20" ht="30" hidden="1" x14ac:dyDescent="0.25">
      <c r="A76" s="25">
        <v>72</v>
      </c>
      <c r="B76" s="41" t="s">
        <v>83</v>
      </c>
      <c r="C76" s="42" t="s">
        <v>29</v>
      </c>
      <c r="D76" s="42" t="s">
        <v>20</v>
      </c>
      <c r="E76" s="43">
        <f t="shared" si="8"/>
        <v>30.657748049052397</v>
      </c>
      <c r="F76" s="44">
        <f>22*15</f>
        <v>330</v>
      </c>
      <c r="G76" s="45">
        <v>10</v>
      </c>
      <c r="H76" s="25">
        <v>2022</v>
      </c>
      <c r="I76" s="25">
        <v>2023</v>
      </c>
      <c r="J76" s="25">
        <f t="shared" si="15"/>
        <v>1</v>
      </c>
      <c r="K76" s="25">
        <v>60</v>
      </c>
      <c r="L76" s="46">
        <v>0.1</v>
      </c>
      <c r="M76" s="47">
        <f t="shared" si="11"/>
        <v>1.5000000000000001E-2</v>
      </c>
      <c r="N76" s="48">
        <v>1600</v>
      </c>
      <c r="O76" s="48">
        <f t="shared" si="12"/>
        <v>528000</v>
      </c>
      <c r="P76" s="48">
        <f t="shared" si="13"/>
        <v>7920.0000000000009</v>
      </c>
      <c r="Q76" s="48">
        <f t="shared" si="14"/>
        <v>520080</v>
      </c>
      <c r="R76" s="49">
        <v>0</v>
      </c>
      <c r="S76" s="48">
        <f t="shared" si="0"/>
        <v>520080</v>
      </c>
      <c r="T76" s="25" t="s">
        <v>112</v>
      </c>
    </row>
    <row r="77" spans="1:20" x14ac:dyDescent="0.25">
      <c r="A77" s="25">
        <v>73</v>
      </c>
      <c r="B77" s="40" t="s">
        <v>84</v>
      </c>
      <c r="C77" s="42" t="s">
        <v>29</v>
      </c>
      <c r="D77" s="42" t="s">
        <v>74</v>
      </c>
      <c r="E77" s="43">
        <f t="shared" si="8"/>
        <v>501.67224080267562</v>
      </c>
      <c r="F77" s="44">
        <f>120*45</f>
        <v>5400</v>
      </c>
      <c r="G77" s="45">
        <v>30</v>
      </c>
      <c r="H77" s="25">
        <v>2022</v>
      </c>
      <c r="I77" s="25">
        <v>2023</v>
      </c>
      <c r="J77" s="25">
        <f t="shared" si="15"/>
        <v>1</v>
      </c>
      <c r="K77" s="25">
        <v>45</v>
      </c>
      <c r="L77" s="46">
        <v>0.1</v>
      </c>
      <c r="M77" s="47">
        <f t="shared" si="11"/>
        <v>0.02</v>
      </c>
      <c r="N77" s="48">
        <v>1400</v>
      </c>
      <c r="O77" s="48">
        <f t="shared" si="12"/>
        <v>7560000</v>
      </c>
      <c r="P77" s="48">
        <f t="shared" si="13"/>
        <v>151200</v>
      </c>
      <c r="Q77" s="48">
        <f t="shared" si="14"/>
        <v>7408800</v>
      </c>
      <c r="R77" s="49">
        <v>0</v>
      </c>
      <c r="S77" s="48">
        <f t="shared" si="0"/>
        <v>7408800</v>
      </c>
      <c r="T77" s="25" t="s">
        <v>115</v>
      </c>
    </row>
    <row r="78" spans="1:20" x14ac:dyDescent="0.25">
      <c r="A78" s="25">
        <v>74</v>
      </c>
      <c r="B78" s="40" t="s">
        <v>85</v>
      </c>
      <c r="C78" s="42" t="s">
        <v>29</v>
      </c>
      <c r="D78" s="42" t="s">
        <v>74</v>
      </c>
      <c r="E78" s="43">
        <f t="shared" si="8"/>
        <v>313.54515050167225</v>
      </c>
      <c r="F78" s="44">
        <f>45*75</f>
        <v>3375</v>
      </c>
      <c r="G78" s="45">
        <v>30</v>
      </c>
      <c r="H78" s="25">
        <v>2004</v>
      </c>
      <c r="I78" s="25">
        <v>2023</v>
      </c>
      <c r="J78" s="25">
        <f t="shared" si="15"/>
        <v>19</v>
      </c>
      <c r="K78" s="25">
        <v>45</v>
      </c>
      <c r="L78" s="46">
        <v>0.1</v>
      </c>
      <c r="M78" s="47">
        <f t="shared" si="11"/>
        <v>0.02</v>
      </c>
      <c r="N78" s="48">
        <v>1400</v>
      </c>
      <c r="O78" s="48">
        <f t="shared" si="12"/>
        <v>4725000</v>
      </c>
      <c r="P78" s="48">
        <f t="shared" si="13"/>
        <v>1795500</v>
      </c>
      <c r="Q78" s="48">
        <f t="shared" si="14"/>
        <v>2929500</v>
      </c>
      <c r="R78" s="49">
        <v>0</v>
      </c>
      <c r="S78" s="48">
        <f t="shared" si="0"/>
        <v>2929500</v>
      </c>
      <c r="T78" s="25" t="s">
        <v>115</v>
      </c>
    </row>
    <row r="79" spans="1:20" x14ac:dyDescent="0.25">
      <c r="A79" s="25">
        <v>75</v>
      </c>
      <c r="B79" s="40" t="s">
        <v>86</v>
      </c>
      <c r="C79" s="42" t="s">
        <v>29</v>
      </c>
      <c r="D79" s="42" t="s">
        <v>74</v>
      </c>
      <c r="E79" s="43">
        <f t="shared" si="8"/>
        <v>313.54515050167225</v>
      </c>
      <c r="F79" s="44">
        <f>45*75</f>
        <v>3375</v>
      </c>
      <c r="G79" s="45">
        <v>30</v>
      </c>
      <c r="H79" s="25">
        <v>2004</v>
      </c>
      <c r="I79" s="25">
        <v>2023</v>
      </c>
      <c r="J79" s="25">
        <f t="shared" si="15"/>
        <v>19</v>
      </c>
      <c r="K79" s="25">
        <v>45</v>
      </c>
      <c r="L79" s="46">
        <v>0.1</v>
      </c>
      <c r="M79" s="47">
        <f t="shared" si="11"/>
        <v>0.02</v>
      </c>
      <c r="N79" s="48">
        <v>1400</v>
      </c>
      <c r="O79" s="48">
        <f t="shared" si="12"/>
        <v>4725000</v>
      </c>
      <c r="P79" s="48">
        <f t="shared" si="13"/>
        <v>1795500</v>
      </c>
      <c r="Q79" s="48">
        <f t="shared" si="14"/>
        <v>2929500</v>
      </c>
      <c r="R79" s="49">
        <v>0</v>
      </c>
      <c r="S79" s="48">
        <f t="shared" si="0"/>
        <v>2929500</v>
      </c>
      <c r="T79" s="25" t="s">
        <v>115</v>
      </c>
    </row>
    <row r="80" spans="1:20" x14ac:dyDescent="0.25">
      <c r="A80" s="25">
        <v>76</v>
      </c>
      <c r="B80" s="40" t="s">
        <v>87</v>
      </c>
      <c r="C80" s="42" t="s">
        <v>29</v>
      </c>
      <c r="D80" s="42" t="s">
        <v>74</v>
      </c>
      <c r="E80" s="43">
        <f t="shared" si="8"/>
        <v>371.60906726124119</v>
      </c>
      <c r="F80" s="44">
        <f>80*50</f>
        <v>4000</v>
      </c>
      <c r="G80" s="45">
        <v>30</v>
      </c>
      <c r="H80" s="25">
        <v>2022</v>
      </c>
      <c r="I80" s="25">
        <v>2023</v>
      </c>
      <c r="J80" s="25">
        <f t="shared" si="15"/>
        <v>1</v>
      </c>
      <c r="K80" s="25">
        <v>45</v>
      </c>
      <c r="L80" s="46">
        <v>0.1</v>
      </c>
      <c r="M80" s="47">
        <f t="shared" si="11"/>
        <v>0.02</v>
      </c>
      <c r="N80" s="48">
        <v>1400</v>
      </c>
      <c r="O80" s="48">
        <f t="shared" si="12"/>
        <v>5600000</v>
      </c>
      <c r="P80" s="48">
        <f t="shared" si="13"/>
        <v>112000</v>
      </c>
      <c r="Q80" s="48">
        <f t="shared" si="14"/>
        <v>5488000</v>
      </c>
      <c r="R80" s="49">
        <v>0</v>
      </c>
      <c r="S80" s="48">
        <f t="shared" si="0"/>
        <v>5488000</v>
      </c>
      <c r="T80" s="25" t="s">
        <v>115</v>
      </c>
    </row>
    <row r="81" spans="1:20" hidden="1" x14ac:dyDescent="0.25">
      <c r="A81" s="25">
        <v>77</v>
      </c>
      <c r="B81" s="40" t="s">
        <v>88</v>
      </c>
      <c r="C81" s="42" t="s">
        <v>29</v>
      </c>
      <c r="D81" s="42" t="s">
        <v>74</v>
      </c>
      <c r="E81" s="43">
        <f t="shared" si="8"/>
        <v>334.4481605351171</v>
      </c>
      <c r="F81" s="44">
        <f>60*60</f>
        <v>3600</v>
      </c>
      <c r="G81" s="45">
        <v>30</v>
      </c>
      <c r="H81" s="25">
        <v>2022</v>
      </c>
      <c r="I81" s="25">
        <v>2023</v>
      </c>
      <c r="J81" s="25">
        <f t="shared" si="15"/>
        <v>1</v>
      </c>
      <c r="K81" s="25">
        <v>45</v>
      </c>
      <c r="L81" s="46">
        <v>0.1</v>
      </c>
      <c r="M81" s="47">
        <f t="shared" si="11"/>
        <v>0.02</v>
      </c>
      <c r="N81" s="48">
        <v>1400</v>
      </c>
      <c r="O81" s="48">
        <f t="shared" si="12"/>
        <v>5040000</v>
      </c>
      <c r="P81" s="48">
        <f t="shared" si="13"/>
        <v>100800</v>
      </c>
      <c r="Q81" s="48">
        <f t="shared" si="14"/>
        <v>4939200</v>
      </c>
      <c r="R81" s="49">
        <v>0</v>
      </c>
      <c r="S81" s="48">
        <f t="shared" si="0"/>
        <v>4939200</v>
      </c>
      <c r="T81" s="25" t="s">
        <v>112</v>
      </c>
    </row>
    <row r="82" spans="1:20" x14ac:dyDescent="0.25">
      <c r="A82" s="25">
        <v>78</v>
      </c>
      <c r="B82" s="40" t="s">
        <v>89</v>
      </c>
      <c r="C82" s="42" t="s">
        <v>29</v>
      </c>
      <c r="D82" s="42" t="s">
        <v>90</v>
      </c>
      <c r="E82" s="43">
        <f t="shared" si="8"/>
        <v>267.55852842809367</v>
      </c>
      <c r="F82" s="44">
        <f>48*60</f>
        <v>2880</v>
      </c>
      <c r="G82" s="45">
        <v>23</v>
      </c>
      <c r="H82" s="25">
        <v>2004</v>
      </c>
      <c r="I82" s="25">
        <v>2023</v>
      </c>
      <c r="J82" s="25">
        <f t="shared" si="15"/>
        <v>19</v>
      </c>
      <c r="K82" s="25">
        <v>45</v>
      </c>
      <c r="L82" s="46">
        <v>0.1</v>
      </c>
      <c r="M82" s="47">
        <f t="shared" si="11"/>
        <v>0.02</v>
      </c>
      <c r="N82" s="48">
        <v>1300</v>
      </c>
      <c r="O82" s="48">
        <f t="shared" si="12"/>
        <v>3744000</v>
      </c>
      <c r="P82" s="48">
        <f t="shared" si="13"/>
        <v>1422720</v>
      </c>
      <c r="Q82" s="48">
        <f t="shared" si="14"/>
        <v>2321280</v>
      </c>
      <c r="R82" s="49">
        <v>0</v>
      </c>
      <c r="S82" s="48">
        <f t="shared" si="0"/>
        <v>2321280</v>
      </c>
      <c r="T82" s="25" t="s">
        <v>115</v>
      </c>
    </row>
    <row r="83" spans="1:20" ht="30" x14ac:dyDescent="0.25">
      <c r="A83" s="25">
        <v>79</v>
      </c>
      <c r="B83" s="41" t="s">
        <v>91</v>
      </c>
      <c r="C83" s="42" t="s">
        <v>29</v>
      </c>
      <c r="D83" s="42" t="s">
        <v>20</v>
      </c>
      <c r="E83" s="43">
        <f t="shared" si="8"/>
        <v>188.12709030100336</v>
      </c>
      <c r="F83" s="44">
        <f>75*27</f>
        <v>2025</v>
      </c>
      <c r="G83" s="45">
        <v>13</v>
      </c>
      <c r="H83" s="25">
        <v>2022</v>
      </c>
      <c r="I83" s="25">
        <v>2023</v>
      </c>
      <c r="J83" s="25">
        <f t="shared" si="15"/>
        <v>1</v>
      </c>
      <c r="K83" s="25">
        <v>60</v>
      </c>
      <c r="L83" s="46">
        <v>0.1</v>
      </c>
      <c r="M83" s="47">
        <f t="shared" si="11"/>
        <v>1.5000000000000001E-2</v>
      </c>
      <c r="N83" s="48">
        <v>1500</v>
      </c>
      <c r="O83" s="48">
        <f t="shared" si="12"/>
        <v>3037500</v>
      </c>
      <c r="P83" s="48">
        <f t="shared" si="13"/>
        <v>45562.5</v>
      </c>
      <c r="Q83" s="48">
        <f t="shared" si="14"/>
        <v>2991937.5</v>
      </c>
      <c r="R83" s="49">
        <v>0</v>
      </c>
      <c r="S83" s="48">
        <f t="shared" si="0"/>
        <v>2991937.5</v>
      </c>
      <c r="T83" s="25" t="s">
        <v>115</v>
      </c>
    </row>
    <row r="84" spans="1:20" x14ac:dyDescent="0.25">
      <c r="A84" s="25">
        <v>80</v>
      </c>
      <c r="B84" s="40" t="s">
        <v>92</v>
      </c>
      <c r="C84" s="42" t="s">
        <v>29</v>
      </c>
      <c r="D84" s="42" t="s">
        <v>90</v>
      </c>
      <c r="E84" s="43">
        <f t="shared" si="8"/>
        <v>185.8045336306206</v>
      </c>
      <c r="F84" s="44">
        <f>50*40</f>
        <v>2000</v>
      </c>
      <c r="G84" s="45">
        <v>10</v>
      </c>
      <c r="H84" s="25">
        <v>2004</v>
      </c>
      <c r="I84" s="25">
        <v>2023</v>
      </c>
      <c r="J84" s="25">
        <f t="shared" si="15"/>
        <v>19</v>
      </c>
      <c r="K84" s="25">
        <v>45</v>
      </c>
      <c r="L84" s="46">
        <v>0.1</v>
      </c>
      <c r="M84" s="47">
        <f t="shared" si="11"/>
        <v>0.02</v>
      </c>
      <c r="N84" s="48">
        <v>1200</v>
      </c>
      <c r="O84" s="48">
        <f t="shared" si="12"/>
        <v>2400000</v>
      </c>
      <c r="P84" s="48">
        <f t="shared" si="13"/>
        <v>912000</v>
      </c>
      <c r="Q84" s="48">
        <f t="shared" si="14"/>
        <v>1488000</v>
      </c>
      <c r="R84" s="49">
        <v>0</v>
      </c>
      <c r="S84" s="48">
        <f t="shared" si="0"/>
        <v>1488000</v>
      </c>
      <c r="T84" s="25" t="s">
        <v>115</v>
      </c>
    </row>
    <row r="85" spans="1:20" ht="30" x14ac:dyDescent="0.25">
      <c r="A85" s="25">
        <v>81</v>
      </c>
      <c r="B85" s="41" t="s">
        <v>93</v>
      </c>
      <c r="C85" s="42" t="s">
        <v>29</v>
      </c>
      <c r="D85" s="42" t="s">
        <v>20</v>
      </c>
      <c r="E85" s="43">
        <f t="shared" si="8"/>
        <v>18.580453363062059</v>
      </c>
      <c r="F85" s="44">
        <v>200</v>
      </c>
      <c r="G85" s="45">
        <v>10</v>
      </c>
      <c r="H85" s="25">
        <v>2004</v>
      </c>
      <c r="I85" s="25">
        <v>2023</v>
      </c>
      <c r="J85" s="25">
        <f t="shared" si="15"/>
        <v>19</v>
      </c>
      <c r="K85" s="25">
        <v>60</v>
      </c>
      <c r="L85" s="46">
        <v>0.1</v>
      </c>
      <c r="M85" s="47">
        <f t="shared" si="11"/>
        <v>1.5000000000000001E-2</v>
      </c>
      <c r="N85" s="48">
        <v>1600</v>
      </c>
      <c r="O85" s="48">
        <f t="shared" si="12"/>
        <v>320000</v>
      </c>
      <c r="P85" s="48">
        <f t="shared" si="13"/>
        <v>91200</v>
      </c>
      <c r="Q85" s="48">
        <f t="shared" si="14"/>
        <v>228800</v>
      </c>
      <c r="R85" s="49">
        <v>0</v>
      </c>
      <c r="S85" s="48">
        <f t="shared" si="0"/>
        <v>228800</v>
      </c>
      <c r="T85" s="25" t="s">
        <v>115</v>
      </c>
    </row>
    <row r="86" spans="1:20" x14ac:dyDescent="0.25">
      <c r="A86" s="25">
        <v>82</v>
      </c>
      <c r="B86" s="40" t="s">
        <v>94</v>
      </c>
      <c r="C86" s="42" t="s">
        <v>29</v>
      </c>
      <c r="D86" s="42" t="s">
        <v>74</v>
      </c>
      <c r="E86" s="43">
        <f t="shared" si="8"/>
        <v>690.82125603864733</v>
      </c>
      <c r="F86" s="44">
        <f>143*52</f>
        <v>7436</v>
      </c>
      <c r="G86" s="45">
        <v>40</v>
      </c>
      <c r="H86" s="25">
        <v>2022</v>
      </c>
      <c r="I86" s="25">
        <v>2023</v>
      </c>
      <c r="J86" s="25">
        <f t="shared" si="15"/>
        <v>1</v>
      </c>
      <c r="K86" s="25">
        <v>45</v>
      </c>
      <c r="L86" s="46">
        <v>0.1</v>
      </c>
      <c r="M86" s="47">
        <f t="shared" si="11"/>
        <v>0.02</v>
      </c>
      <c r="N86" s="48">
        <v>1700</v>
      </c>
      <c r="O86" s="48">
        <f t="shared" si="12"/>
        <v>12641200</v>
      </c>
      <c r="P86" s="48">
        <f t="shared" si="13"/>
        <v>252824</v>
      </c>
      <c r="Q86" s="48">
        <f t="shared" si="14"/>
        <v>12388376</v>
      </c>
      <c r="R86" s="49">
        <v>0</v>
      </c>
      <c r="S86" s="48">
        <f t="shared" si="0"/>
        <v>12388376</v>
      </c>
      <c r="T86" s="25" t="s">
        <v>115</v>
      </c>
    </row>
    <row r="87" spans="1:20" ht="30" hidden="1" x14ac:dyDescent="0.25">
      <c r="A87" s="25">
        <v>83</v>
      </c>
      <c r="B87" s="40" t="s">
        <v>95</v>
      </c>
      <c r="C87" s="42" t="s">
        <v>29</v>
      </c>
      <c r="D87" s="42" t="s">
        <v>20</v>
      </c>
      <c r="E87" s="43">
        <f t="shared" si="8"/>
        <v>55.74136008918618</v>
      </c>
      <c r="F87" s="44">
        <f>20*30</f>
        <v>600</v>
      </c>
      <c r="G87" s="45">
        <v>10</v>
      </c>
      <c r="H87" s="25">
        <v>2022</v>
      </c>
      <c r="I87" s="25">
        <v>2023</v>
      </c>
      <c r="J87" s="25">
        <f t="shared" si="15"/>
        <v>1</v>
      </c>
      <c r="K87" s="25">
        <v>60</v>
      </c>
      <c r="L87" s="46">
        <v>0.1</v>
      </c>
      <c r="M87" s="47">
        <f t="shared" si="11"/>
        <v>1.5000000000000001E-2</v>
      </c>
      <c r="N87" s="48">
        <v>1600</v>
      </c>
      <c r="O87" s="48">
        <f t="shared" si="12"/>
        <v>960000</v>
      </c>
      <c r="P87" s="48">
        <f t="shared" si="13"/>
        <v>14400.000000000002</v>
      </c>
      <c r="Q87" s="48">
        <f t="shared" si="14"/>
        <v>945600</v>
      </c>
      <c r="R87" s="49">
        <v>0</v>
      </c>
      <c r="S87" s="48">
        <f t="shared" si="0"/>
        <v>945600</v>
      </c>
      <c r="T87" s="25" t="s">
        <v>112</v>
      </c>
    </row>
    <row r="88" spans="1:20" ht="30" hidden="1" x14ac:dyDescent="0.25">
      <c r="A88" s="25">
        <v>84</v>
      </c>
      <c r="B88" s="40" t="s">
        <v>96</v>
      </c>
      <c r="C88" s="42" t="s">
        <v>29</v>
      </c>
      <c r="D88" s="42" t="s">
        <v>20</v>
      </c>
      <c r="E88" s="43">
        <f t="shared" si="8"/>
        <v>55.74136008918618</v>
      </c>
      <c r="F88" s="44">
        <f>20*30</f>
        <v>600</v>
      </c>
      <c r="G88" s="45">
        <v>10</v>
      </c>
      <c r="H88" s="25">
        <v>2022</v>
      </c>
      <c r="I88" s="25">
        <v>2023</v>
      </c>
      <c r="J88" s="25">
        <f t="shared" si="15"/>
        <v>1</v>
      </c>
      <c r="K88" s="25">
        <v>60</v>
      </c>
      <c r="L88" s="46">
        <v>0.1</v>
      </c>
      <c r="M88" s="47">
        <f t="shared" si="11"/>
        <v>1.5000000000000001E-2</v>
      </c>
      <c r="N88" s="48">
        <v>1600</v>
      </c>
      <c r="O88" s="48">
        <f t="shared" si="12"/>
        <v>960000</v>
      </c>
      <c r="P88" s="48">
        <f t="shared" si="13"/>
        <v>14400.000000000002</v>
      </c>
      <c r="Q88" s="48">
        <f t="shared" si="14"/>
        <v>945600</v>
      </c>
      <c r="R88" s="49">
        <v>0</v>
      </c>
      <c r="S88" s="48">
        <f t="shared" si="0"/>
        <v>945600</v>
      </c>
      <c r="T88" s="25" t="s">
        <v>113</v>
      </c>
    </row>
    <row r="89" spans="1:20" ht="30" hidden="1" x14ac:dyDescent="0.25">
      <c r="A89" s="25">
        <v>85</v>
      </c>
      <c r="B89" s="41" t="s">
        <v>97</v>
      </c>
      <c r="C89" s="42" t="s">
        <v>29</v>
      </c>
      <c r="D89" s="42" t="s">
        <v>98</v>
      </c>
      <c r="E89" s="43">
        <f t="shared" si="8"/>
        <v>55.74136008918618</v>
      </c>
      <c r="F89" s="44">
        <f>40*15</f>
        <v>600</v>
      </c>
      <c r="G89" s="45">
        <v>10</v>
      </c>
      <c r="H89" s="25">
        <v>2022</v>
      </c>
      <c r="I89" s="25">
        <v>2023</v>
      </c>
      <c r="J89" s="25">
        <f t="shared" si="15"/>
        <v>1</v>
      </c>
      <c r="K89" s="25">
        <v>45</v>
      </c>
      <c r="L89" s="46">
        <v>0.1</v>
      </c>
      <c r="M89" s="47">
        <f t="shared" ref="M89:M92" si="16">(1-L89)/K89</f>
        <v>0.02</v>
      </c>
      <c r="N89" s="48">
        <v>800</v>
      </c>
      <c r="O89" s="48">
        <f t="shared" si="12"/>
        <v>480000</v>
      </c>
      <c r="P89" s="48">
        <f t="shared" si="13"/>
        <v>9600</v>
      </c>
      <c r="Q89" s="48">
        <f t="shared" si="14"/>
        <v>470400</v>
      </c>
      <c r="R89" s="49">
        <v>0</v>
      </c>
      <c r="S89" s="48">
        <f t="shared" si="0"/>
        <v>470400</v>
      </c>
      <c r="T89" s="25" t="s">
        <v>112</v>
      </c>
    </row>
    <row r="90" spans="1:20" hidden="1" x14ac:dyDescent="0.25">
      <c r="A90" s="25">
        <v>86</v>
      </c>
      <c r="B90" s="40" t="s">
        <v>99</v>
      </c>
      <c r="C90" s="42" t="s">
        <v>29</v>
      </c>
      <c r="D90" s="42" t="s">
        <v>102</v>
      </c>
      <c r="E90" s="43">
        <f t="shared" si="8"/>
        <v>204.38498699368265</v>
      </c>
      <c r="F90" s="44">
        <f>40*55</f>
        <v>2200</v>
      </c>
      <c r="G90" s="45">
        <v>22</v>
      </c>
      <c r="H90" s="25">
        <v>2022</v>
      </c>
      <c r="I90" s="25">
        <v>2023</v>
      </c>
      <c r="J90" s="25">
        <f t="shared" si="15"/>
        <v>1</v>
      </c>
      <c r="K90" s="25">
        <v>45</v>
      </c>
      <c r="L90" s="46">
        <v>0.1</v>
      </c>
      <c r="M90" s="47">
        <f t="shared" si="16"/>
        <v>0.02</v>
      </c>
      <c r="N90" s="48">
        <v>500</v>
      </c>
      <c r="O90" s="48">
        <f t="shared" si="12"/>
        <v>1100000</v>
      </c>
      <c r="P90" s="48">
        <f t="shared" si="13"/>
        <v>22000</v>
      </c>
      <c r="Q90" s="48">
        <f t="shared" si="14"/>
        <v>1078000</v>
      </c>
      <c r="R90" s="49">
        <v>0</v>
      </c>
      <c r="S90" s="48">
        <f t="shared" si="0"/>
        <v>1078000</v>
      </c>
      <c r="T90" s="25" t="s">
        <v>112</v>
      </c>
    </row>
    <row r="91" spans="1:20" ht="30" hidden="1" x14ac:dyDescent="0.25">
      <c r="A91" s="25">
        <v>87</v>
      </c>
      <c r="B91" s="40" t="s">
        <v>100</v>
      </c>
      <c r="C91" s="54" t="s">
        <v>29</v>
      </c>
      <c r="D91" s="54" t="s">
        <v>103</v>
      </c>
      <c r="E91" s="55">
        <f t="shared" si="8"/>
        <v>204.38498699368265</v>
      </c>
      <c r="F91" s="56">
        <f>40*55</f>
        <v>2200</v>
      </c>
      <c r="G91" s="45">
        <v>20</v>
      </c>
      <c r="H91" s="51">
        <v>2022</v>
      </c>
      <c r="I91" s="51">
        <v>2023</v>
      </c>
      <c r="J91" s="51">
        <f t="shared" si="15"/>
        <v>1</v>
      </c>
      <c r="K91" s="51">
        <v>45</v>
      </c>
      <c r="L91" s="57">
        <v>0.1</v>
      </c>
      <c r="M91" s="58">
        <f t="shared" si="16"/>
        <v>0.02</v>
      </c>
      <c r="N91" s="59">
        <v>1400</v>
      </c>
      <c r="O91" s="60">
        <f t="shared" si="12"/>
        <v>3080000</v>
      </c>
      <c r="P91" s="48">
        <f t="shared" si="13"/>
        <v>61600</v>
      </c>
      <c r="Q91" s="48">
        <f t="shared" si="14"/>
        <v>3018400</v>
      </c>
      <c r="R91" s="49">
        <v>0</v>
      </c>
      <c r="S91" s="48">
        <f t="shared" si="0"/>
        <v>3018400</v>
      </c>
      <c r="T91" s="25" t="s">
        <v>113</v>
      </c>
    </row>
    <row r="92" spans="1:20" ht="30" hidden="1" x14ac:dyDescent="0.25">
      <c r="A92" s="25">
        <v>88</v>
      </c>
      <c r="B92" s="40" t="s">
        <v>101</v>
      </c>
      <c r="C92" s="54" t="s">
        <v>29</v>
      </c>
      <c r="D92" s="54" t="s">
        <v>104</v>
      </c>
      <c r="E92" s="55">
        <f t="shared" si="8"/>
        <v>188.12709030100336</v>
      </c>
      <c r="F92" s="56">
        <f>45*45</f>
        <v>2025</v>
      </c>
      <c r="G92" s="45">
        <v>20</v>
      </c>
      <c r="H92" s="51">
        <v>2022</v>
      </c>
      <c r="I92" s="51">
        <v>2023</v>
      </c>
      <c r="J92" s="51">
        <f t="shared" si="15"/>
        <v>1</v>
      </c>
      <c r="K92" s="51">
        <v>45</v>
      </c>
      <c r="L92" s="57">
        <v>0.1</v>
      </c>
      <c r="M92" s="58">
        <f t="shared" si="16"/>
        <v>0.02</v>
      </c>
      <c r="N92" s="59">
        <v>1400</v>
      </c>
      <c r="O92" s="60">
        <f t="shared" si="12"/>
        <v>2835000</v>
      </c>
      <c r="P92" s="48">
        <f t="shared" si="13"/>
        <v>56700</v>
      </c>
      <c r="Q92" s="48">
        <f t="shared" si="14"/>
        <v>2778300</v>
      </c>
      <c r="R92" s="49">
        <v>0</v>
      </c>
      <c r="S92" s="48">
        <f t="shared" si="0"/>
        <v>2778300</v>
      </c>
      <c r="T92" s="25" t="s">
        <v>113</v>
      </c>
    </row>
    <row r="93" spans="1:20" hidden="1" x14ac:dyDescent="0.25">
      <c r="A93" s="2"/>
      <c r="B93" s="2"/>
      <c r="C93" s="3"/>
      <c r="D93" s="3"/>
      <c r="E93" s="14"/>
      <c r="F93" s="13"/>
      <c r="G93" s="15"/>
      <c r="H93" s="2"/>
      <c r="I93" s="2"/>
      <c r="J93" s="2"/>
      <c r="K93" s="2"/>
      <c r="L93" s="4"/>
      <c r="M93" s="5"/>
      <c r="N93" s="6"/>
      <c r="O93" s="6"/>
      <c r="P93" s="6"/>
      <c r="Q93" s="6"/>
      <c r="R93" s="7"/>
      <c r="S93" s="6"/>
      <c r="T93" s="25"/>
    </row>
    <row r="94" spans="1:20" hidden="1" x14ac:dyDescent="0.25">
      <c r="A94" s="2"/>
      <c r="B94" s="2"/>
      <c r="C94" s="3"/>
      <c r="D94" s="3"/>
      <c r="E94" s="14"/>
      <c r="F94" s="13"/>
      <c r="G94" s="15"/>
      <c r="H94" s="2"/>
      <c r="I94" s="2"/>
      <c r="J94" s="2"/>
      <c r="K94" s="2"/>
      <c r="L94" s="4"/>
      <c r="M94" s="5"/>
      <c r="N94" s="6"/>
      <c r="O94" s="6"/>
      <c r="P94" s="6"/>
      <c r="Q94" s="6"/>
      <c r="R94" s="7"/>
      <c r="S94" s="6"/>
      <c r="T94" s="25"/>
    </row>
    <row r="95" spans="1:20" x14ac:dyDescent="0.25">
      <c r="A95" s="2"/>
      <c r="B95" s="2"/>
      <c r="C95" s="3"/>
      <c r="D95" s="3"/>
      <c r="E95" s="14"/>
      <c r="F95" s="13"/>
      <c r="G95" s="15"/>
      <c r="H95" s="2"/>
      <c r="I95" s="2"/>
      <c r="J95" s="2"/>
      <c r="K95" s="2"/>
      <c r="L95" s="4"/>
      <c r="M95" s="5"/>
      <c r="N95" s="6"/>
      <c r="O95" s="6"/>
      <c r="P95" s="6"/>
      <c r="Q95" s="6"/>
      <c r="R95" s="7"/>
      <c r="S95" s="6"/>
      <c r="T95" s="25"/>
    </row>
    <row r="96" spans="1:20" x14ac:dyDescent="0.25">
      <c r="A96" s="80" t="s">
        <v>17</v>
      </c>
      <c r="B96" s="80"/>
      <c r="C96" s="80"/>
      <c r="D96" s="80"/>
      <c r="E96" s="19">
        <f>SUM(E5:E92)</f>
        <v>27423.656885916003</v>
      </c>
      <c r="F96" s="20">
        <f>SUM(F5:F92)</f>
        <v>295188.26800000004</v>
      </c>
      <c r="G96" s="80"/>
      <c r="H96" s="80"/>
      <c r="I96" s="80"/>
      <c r="J96" s="80"/>
      <c r="K96" s="80"/>
      <c r="L96" s="80"/>
      <c r="M96" s="80"/>
      <c r="N96" s="80"/>
      <c r="O96" s="8">
        <f>SUM(O5:O92)</f>
        <v>527971662.7519998</v>
      </c>
      <c r="P96" s="8">
        <f>SUM(P5:P92)</f>
        <v>16717388.189280003</v>
      </c>
      <c r="Q96" s="8">
        <f>SUM(Q5:Q92)</f>
        <v>511254274.56271988</v>
      </c>
      <c r="R96" s="8"/>
      <c r="S96" s="8">
        <f>SUM(S5:S95)</f>
        <v>511254274.56271988</v>
      </c>
      <c r="T96" s="25"/>
    </row>
    <row r="97" spans="1:21" x14ac:dyDescent="0.25">
      <c r="A97" s="81" t="s">
        <v>18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25"/>
    </row>
    <row r="98" spans="1:21" x14ac:dyDescent="0.25">
      <c r="A98" s="64" t="s">
        <v>133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</row>
    <row r="99" spans="1:21" x14ac:dyDescent="0.25">
      <c r="A99" s="71" t="s">
        <v>22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3"/>
    </row>
    <row r="100" spans="1:21" ht="15" customHeight="1" x14ac:dyDescent="0.25">
      <c r="A100" s="74" t="s">
        <v>107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6"/>
      <c r="U100" s="12"/>
    </row>
    <row r="101" spans="1:21" x14ac:dyDescent="0.25">
      <c r="A101" s="64" t="s">
        <v>23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</row>
    <row r="103" spans="1:21" x14ac:dyDescent="0.25">
      <c r="I103" s="10"/>
      <c r="J103" s="11"/>
      <c r="K103" s="11"/>
      <c r="O103" s="11"/>
      <c r="P103" s="11"/>
      <c r="S103" s="86">
        <f>S96*0.04</f>
        <v>20450170.982508797</v>
      </c>
    </row>
    <row r="105" spans="1:21" ht="15.75" thickBot="1" x14ac:dyDescent="0.3">
      <c r="C105" t="s">
        <v>120</v>
      </c>
      <c r="D105" s="31">
        <f>S96*0.05</f>
        <v>25562713.728135996</v>
      </c>
    </row>
    <row r="106" spans="1:21" ht="15.75" thickBot="1" x14ac:dyDescent="0.3">
      <c r="C106" t="s">
        <v>121</v>
      </c>
      <c r="D106" s="31">
        <f>ROUND(D105,-5)</f>
        <v>25600000</v>
      </c>
      <c r="I106" s="33">
        <v>1088815446</v>
      </c>
      <c r="J106" s="11"/>
      <c r="K106" s="10">
        <v>1088815446</v>
      </c>
      <c r="O106" s="11"/>
      <c r="P106" s="11"/>
    </row>
    <row r="107" spans="1:21" ht="15.75" thickBot="1" x14ac:dyDescent="0.3">
      <c r="D107" s="9">
        <f>6000000</f>
        <v>6000000</v>
      </c>
      <c r="I107" s="34">
        <v>449103550</v>
      </c>
      <c r="K107" s="10">
        <v>449103550</v>
      </c>
    </row>
    <row r="108" spans="1:21" ht="15.75" thickBot="1" x14ac:dyDescent="0.3">
      <c r="D108" s="31">
        <f>SUM(D106:D107)</f>
        <v>31600000</v>
      </c>
      <c r="I108" s="32" t="s">
        <v>122</v>
      </c>
      <c r="K108" s="10">
        <v>28500000</v>
      </c>
    </row>
    <row r="109" spans="1:21" ht="15.75" thickBot="1" x14ac:dyDescent="0.3">
      <c r="I109" s="34">
        <v>5522562286</v>
      </c>
      <c r="K109" s="10">
        <v>5528286906</v>
      </c>
    </row>
    <row r="110" spans="1:21" x14ac:dyDescent="0.25">
      <c r="I110" s="35">
        <f>SUM(I106:I109)</f>
        <v>7060481282</v>
      </c>
      <c r="K110" s="11">
        <f>SUM(K106:K109)</f>
        <v>7094705902</v>
      </c>
    </row>
    <row r="111" spans="1:21" x14ac:dyDescent="0.25">
      <c r="J111" s="10"/>
    </row>
    <row r="112" spans="1:21" x14ac:dyDescent="0.25">
      <c r="K112" s="11">
        <f>ROUND(K110,-5)</f>
        <v>7094700000</v>
      </c>
      <c r="P112" s="10"/>
    </row>
    <row r="113" spans="11:11" x14ac:dyDescent="0.25">
      <c r="K113" s="11">
        <f>K112*0.85</f>
        <v>6030495000</v>
      </c>
    </row>
    <row r="114" spans="11:11" x14ac:dyDescent="0.25">
      <c r="K114" s="11">
        <f>K112*0.75</f>
        <v>5321025000</v>
      </c>
    </row>
  </sheetData>
  <autoFilter ref="A4:U92">
    <filterColumn colId="19">
      <filters>
        <filter val="EXISTING"/>
      </filters>
    </filterColumn>
  </autoFilter>
  <mergeCells count="27">
    <mergeCell ref="G96:N96"/>
    <mergeCell ref="A96:D96"/>
    <mergeCell ref="A97:S97"/>
    <mergeCell ref="B5:B8"/>
    <mergeCell ref="B9:B12"/>
    <mergeCell ref="B13:B15"/>
    <mergeCell ref="B16:B18"/>
    <mergeCell ref="B22:B25"/>
    <mergeCell ref="B26:B28"/>
    <mergeCell ref="B29:B31"/>
    <mergeCell ref="B32:B33"/>
    <mergeCell ref="A101:T101"/>
    <mergeCell ref="B74:B75"/>
    <mergeCell ref="A3:T3"/>
    <mergeCell ref="A98:T98"/>
    <mergeCell ref="A99:T99"/>
    <mergeCell ref="A100:T100"/>
    <mergeCell ref="B47:B48"/>
    <mergeCell ref="B49:B50"/>
    <mergeCell ref="B62:B63"/>
    <mergeCell ref="B64:B65"/>
    <mergeCell ref="B70:B71"/>
    <mergeCell ref="B35:B36"/>
    <mergeCell ref="B37:B38"/>
    <mergeCell ref="B39:B41"/>
    <mergeCell ref="B42:B44"/>
    <mergeCell ref="B45:B46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4" sqref="C4"/>
    </sheetView>
  </sheetViews>
  <sheetFormatPr defaultRowHeight="15" x14ac:dyDescent="0.25"/>
  <cols>
    <col min="1" max="1" width="13.140625" bestFit="1" customWidth="1"/>
    <col min="2" max="2" width="36.85546875" bestFit="1" customWidth="1"/>
    <col min="3" max="3" width="40.7109375" customWidth="1"/>
  </cols>
  <sheetData>
    <row r="3" spans="1:3" x14ac:dyDescent="0.25">
      <c r="A3" s="28" t="s">
        <v>117</v>
      </c>
      <c r="B3" s="29" t="s">
        <v>134</v>
      </c>
      <c r="C3" s="29" t="s">
        <v>119</v>
      </c>
    </row>
    <row r="4" spans="1:3" x14ac:dyDescent="0.25">
      <c r="A4" s="30" t="s">
        <v>115</v>
      </c>
      <c r="B4" s="29">
        <v>100066402.39999998</v>
      </c>
      <c r="C4" s="29">
        <v>90531075.868000001</v>
      </c>
    </row>
    <row r="5" spans="1:3" x14ac:dyDescent="0.25">
      <c r="A5" s="30" t="s">
        <v>112</v>
      </c>
      <c r="B5" s="29">
        <v>216583477.99999997</v>
      </c>
      <c r="C5" s="29">
        <v>212829498.38799998</v>
      </c>
    </row>
    <row r="6" spans="1:3" x14ac:dyDescent="0.25">
      <c r="A6" s="30" t="s">
        <v>114</v>
      </c>
      <c r="B6" s="29">
        <v>11200071.168</v>
      </c>
      <c r="C6" s="29">
        <v>11032070.10048</v>
      </c>
    </row>
    <row r="7" spans="1:3" x14ac:dyDescent="0.25">
      <c r="A7" s="30" t="s">
        <v>113</v>
      </c>
      <c r="B7" s="29">
        <v>200121711.18399999</v>
      </c>
      <c r="C7" s="29">
        <v>196861630.20624003</v>
      </c>
    </row>
    <row r="8" spans="1:3" x14ac:dyDescent="0.25">
      <c r="A8" s="30" t="s">
        <v>118</v>
      </c>
      <c r="B8" s="29">
        <v>527971662.75199997</v>
      </c>
      <c r="C8" s="29">
        <v>511254274.56272006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D5" sqref="D5"/>
    </sheetView>
  </sheetViews>
  <sheetFormatPr defaultRowHeight="15" x14ac:dyDescent="0.25"/>
  <cols>
    <col min="1" max="2" width="8.7109375" bestFit="1" customWidth="1"/>
    <col min="3" max="3" width="9.5703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70" t="s">
        <v>108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05" x14ac:dyDescent="0.25">
      <c r="A2" s="1" t="s">
        <v>109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110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</row>
    <row r="3" spans="1:13" x14ac:dyDescent="0.25">
      <c r="A3" s="22">
        <v>6828.96</v>
      </c>
      <c r="B3" s="2">
        <v>2004</v>
      </c>
      <c r="C3" s="2">
        <v>2022</v>
      </c>
      <c r="D3" s="2">
        <f>C3-B3</f>
        <v>18</v>
      </c>
      <c r="E3" s="2">
        <v>60</v>
      </c>
      <c r="F3" s="4">
        <v>0.1</v>
      </c>
      <c r="G3" s="5">
        <f>(1-F3)/E3</f>
        <v>1.5000000000000001E-2</v>
      </c>
      <c r="H3" s="6">
        <v>1200</v>
      </c>
      <c r="I3" s="6">
        <f>H3*A3</f>
        <v>8194752</v>
      </c>
      <c r="J3" s="6">
        <f>I3*G3*D3</f>
        <v>2212583.04</v>
      </c>
      <c r="K3" s="6">
        <f>MAX(I3-J3,0)</f>
        <v>5982168.96</v>
      </c>
      <c r="L3" s="7">
        <v>0</v>
      </c>
      <c r="M3" s="6">
        <f>IF(K3&gt;F3*I3,K3*(1-L3),I3*F3)</f>
        <v>5982168.96</v>
      </c>
    </row>
    <row r="4" spans="1:13" x14ac:dyDescent="0.25">
      <c r="A4">
        <f>A3/3.28</f>
        <v>2082</v>
      </c>
    </row>
    <row r="5" spans="1:13" x14ac:dyDescent="0.25">
      <c r="B5">
        <v>2082</v>
      </c>
    </row>
    <row r="6" spans="1:13" x14ac:dyDescent="0.25">
      <c r="B6" s="83">
        <f>B5*3.28</f>
        <v>6828.96</v>
      </c>
      <c r="C6" s="83"/>
    </row>
    <row r="7" spans="1:13" x14ac:dyDescent="0.25">
      <c r="B7" s="83"/>
      <c r="C7" s="83"/>
    </row>
  </sheetData>
  <mergeCells count="3">
    <mergeCell ref="B6:C6"/>
    <mergeCell ref="B7:C7"/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O14"/>
  <sheetViews>
    <sheetView workbookViewId="0">
      <selection activeCell="O14" sqref="O14"/>
    </sheetView>
  </sheetViews>
  <sheetFormatPr defaultRowHeight="15" x14ac:dyDescent="0.25"/>
  <cols>
    <col min="6" max="6" width="4.85546875" style="21" bestFit="1" customWidth="1"/>
    <col min="7" max="7" width="19.28515625" style="21" customWidth="1"/>
    <col min="8" max="10" width="7.7109375" customWidth="1"/>
    <col min="11" max="11" width="9" customWidth="1"/>
    <col min="12" max="12" width="7.7109375" customWidth="1"/>
    <col min="15" max="15" width="16.85546875" bestFit="1" customWidth="1"/>
  </cols>
  <sheetData>
    <row r="5" spans="6:15" x14ac:dyDescent="0.25">
      <c r="F5" s="26" t="s">
        <v>116</v>
      </c>
      <c r="G5" s="26" t="s">
        <v>126</v>
      </c>
      <c r="H5" s="27" t="s">
        <v>127</v>
      </c>
      <c r="I5" s="27" t="s">
        <v>128</v>
      </c>
      <c r="J5" s="27" t="s">
        <v>129</v>
      </c>
      <c r="K5" s="27" t="s">
        <v>130</v>
      </c>
      <c r="L5" s="27" t="s">
        <v>131</v>
      </c>
    </row>
    <row r="6" spans="6:15" x14ac:dyDescent="0.25">
      <c r="F6" s="26"/>
      <c r="G6" s="26"/>
      <c r="H6" s="84" t="s">
        <v>132</v>
      </c>
      <c r="I6" s="85"/>
      <c r="J6" s="85"/>
      <c r="K6" s="85"/>
      <c r="L6" s="36"/>
    </row>
    <row r="7" spans="6:15" x14ac:dyDescent="0.25">
      <c r="F7" s="25">
        <v>1</v>
      </c>
      <c r="G7" s="25" t="s">
        <v>123</v>
      </c>
      <c r="H7" s="37"/>
      <c r="I7" s="38"/>
      <c r="J7" s="38"/>
      <c r="K7" s="38"/>
      <c r="L7" s="39"/>
    </row>
    <row r="8" spans="6:15" x14ac:dyDescent="0.25">
      <c r="F8" s="25">
        <f>F7+1</f>
        <v>2</v>
      </c>
      <c r="G8" s="25" t="s">
        <v>124</v>
      </c>
      <c r="H8" s="24"/>
      <c r="I8" s="24"/>
      <c r="J8" s="24"/>
      <c r="K8" s="24"/>
      <c r="L8" s="24"/>
    </row>
    <row r="9" spans="6:15" x14ac:dyDescent="0.25">
      <c r="F9" s="25">
        <f t="shared" ref="F9:F13" si="0">F8+1</f>
        <v>3</v>
      </c>
      <c r="G9" s="25" t="s">
        <v>125</v>
      </c>
      <c r="H9" s="24"/>
      <c r="I9" s="24"/>
      <c r="J9" s="24"/>
      <c r="K9" s="24"/>
      <c r="L9" s="24"/>
    </row>
    <row r="10" spans="6:15" x14ac:dyDescent="0.25">
      <c r="F10" s="25">
        <f t="shared" si="0"/>
        <v>4</v>
      </c>
      <c r="G10" s="25" t="s">
        <v>118</v>
      </c>
      <c r="H10" s="24"/>
      <c r="I10" s="24"/>
      <c r="J10" s="24"/>
      <c r="K10" s="24"/>
      <c r="L10" s="24"/>
    </row>
    <row r="11" spans="6:15" x14ac:dyDescent="0.25">
      <c r="F11" s="25">
        <f t="shared" si="0"/>
        <v>5</v>
      </c>
      <c r="G11" s="25"/>
      <c r="H11" s="24"/>
      <c r="I11" s="24"/>
      <c r="J11" s="24"/>
      <c r="K11" s="24"/>
      <c r="L11" s="24"/>
    </row>
    <row r="12" spans="6:15" x14ac:dyDescent="0.25">
      <c r="F12" s="25">
        <f t="shared" si="0"/>
        <v>6</v>
      </c>
      <c r="G12" s="25"/>
      <c r="H12" s="24"/>
      <c r="I12" s="24"/>
      <c r="J12" s="24"/>
      <c r="K12" s="24"/>
      <c r="L12" s="24"/>
      <c r="O12">
        <v>229901.91</v>
      </c>
    </row>
    <row r="13" spans="6:15" x14ac:dyDescent="0.25">
      <c r="F13" s="25">
        <f t="shared" si="0"/>
        <v>7</v>
      </c>
      <c r="G13" s="25"/>
      <c r="H13" s="24"/>
      <c r="I13" s="24"/>
      <c r="J13" s="24"/>
      <c r="K13" s="24"/>
      <c r="L13" s="24"/>
      <c r="O13">
        <v>7850</v>
      </c>
    </row>
    <row r="14" spans="6:15" x14ac:dyDescent="0.25">
      <c r="O14" s="10">
        <f>O13*O12</f>
        <v>1804729993.5</v>
      </c>
    </row>
  </sheetData>
  <mergeCells count="1">
    <mergeCell ref="H6:K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F13"/>
  <sheetViews>
    <sheetView workbookViewId="0">
      <selection activeCell="F13" sqref="F13"/>
    </sheetView>
  </sheetViews>
  <sheetFormatPr defaultRowHeight="15" x14ac:dyDescent="0.25"/>
  <cols>
    <col min="6" max="6" width="20.7109375" bestFit="1" customWidth="1"/>
  </cols>
  <sheetData>
    <row r="4" spans="6:6" ht="15.75" thickBot="1" x14ac:dyDescent="0.3"/>
    <row r="5" spans="6:6" ht="15.75" thickBot="1" x14ac:dyDescent="0.3">
      <c r="F5" s="62">
        <v>1088815446</v>
      </c>
    </row>
    <row r="6" spans="6:6" ht="15.75" thickBot="1" x14ac:dyDescent="0.3">
      <c r="F6" s="63">
        <v>511254275</v>
      </c>
    </row>
    <row r="7" spans="6:6" ht="15.75" thickBot="1" x14ac:dyDescent="0.3">
      <c r="F7" s="63">
        <v>28500000</v>
      </c>
    </row>
    <row r="8" spans="6:6" ht="15.75" thickBot="1" x14ac:dyDescent="0.3">
      <c r="F8" s="63">
        <v>5491791460</v>
      </c>
    </row>
    <row r="9" spans="6:6" x14ac:dyDescent="0.25">
      <c r="F9" s="35">
        <f>SUM(F5:F8)</f>
        <v>7120361181</v>
      </c>
    </row>
    <row r="11" spans="6:6" x14ac:dyDescent="0.25">
      <c r="F11" s="35">
        <f>ROUND(F9,-6)</f>
        <v>7120000000</v>
      </c>
    </row>
    <row r="12" spans="6:6" x14ac:dyDescent="0.25">
      <c r="F12">
        <f>F11*0.85</f>
        <v>6052000000</v>
      </c>
    </row>
    <row r="13" spans="6:6" x14ac:dyDescent="0.25">
      <c r="F13">
        <f>F11*0.75</f>
        <v>5340000000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I22" workbookViewId="0">
      <selection activeCell="S30" sqref="S30"/>
    </sheetView>
  </sheetViews>
  <sheetFormatPr defaultRowHeight="15" x14ac:dyDescent="0.25"/>
  <cols>
    <col min="1" max="1" width="9.42578125" customWidth="1"/>
    <col min="2" max="2" width="17.42578125" customWidth="1"/>
    <col min="4" max="4" width="18.28515625" customWidth="1"/>
    <col min="5" max="5" width="18" customWidth="1"/>
    <col min="7" max="7" width="15" customWidth="1"/>
    <col min="8" max="8" width="21.140625" customWidth="1"/>
    <col min="9" max="9" width="18.85546875" customWidth="1"/>
    <col min="12" max="12" width="15.140625" customWidth="1"/>
    <col min="13" max="13" width="19" customWidth="1"/>
    <col min="18" max="18" width="19.42578125" customWidth="1"/>
    <col min="20" max="20" width="20.42578125" customWidth="1"/>
  </cols>
  <sheetData>
    <row r="1" spans="1:20" x14ac:dyDescent="0.25">
      <c r="A1" t="s">
        <v>0</v>
      </c>
      <c r="B1" t="s">
        <v>24</v>
      </c>
      <c r="C1" t="s">
        <v>1</v>
      </c>
      <c r="D1" t="s">
        <v>2</v>
      </c>
      <c r="E1" t="s">
        <v>135</v>
      </c>
      <c r="F1" t="s">
        <v>136</v>
      </c>
      <c r="G1" t="s">
        <v>137</v>
      </c>
      <c r="H1" t="s">
        <v>5</v>
      </c>
      <c r="I1" t="s">
        <v>6</v>
      </c>
      <c r="J1" t="s">
        <v>138</v>
      </c>
      <c r="K1" t="s">
        <v>139</v>
      </c>
      <c r="L1" t="s">
        <v>9</v>
      </c>
      <c r="M1" t="s">
        <v>10</v>
      </c>
      <c r="N1" t="s">
        <v>140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111</v>
      </c>
    </row>
    <row r="2" spans="1:20" x14ac:dyDescent="0.25">
      <c r="A2">
        <v>82</v>
      </c>
      <c r="B2" t="s">
        <v>94</v>
      </c>
      <c r="C2" t="s">
        <v>29</v>
      </c>
      <c r="D2" t="s">
        <v>74</v>
      </c>
      <c r="E2">
        <v>690.82125603864733</v>
      </c>
      <c r="F2">
        <v>7436</v>
      </c>
      <c r="G2">
        <v>40</v>
      </c>
      <c r="H2">
        <v>2022</v>
      </c>
      <c r="I2">
        <v>2023</v>
      </c>
      <c r="J2">
        <v>1</v>
      </c>
      <c r="K2">
        <v>45</v>
      </c>
      <c r="L2">
        <v>0.1</v>
      </c>
      <c r="M2">
        <v>0.02</v>
      </c>
      <c r="N2">
        <v>1700</v>
      </c>
      <c r="O2">
        <v>12641200</v>
      </c>
      <c r="P2">
        <v>252824</v>
      </c>
      <c r="Q2">
        <v>12388376</v>
      </c>
      <c r="R2">
        <v>0</v>
      </c>
      <c r="S2">
        <v>12388376</v>
      </c>
      <c r="T2" t="s">
        <v>115</v>
      </c>
    </row>
    <row r="3" spans="1:20" x14ac:dyDescent="0.25">
      <c r="A3">
        <v>81</v>
      </c>
      <c r="B3" t="s">
        <v>93</v>
      </c>
      <c r="C3" t="s">
        <v>29</v>
      </c>
      <c r="D3" t="s">
        <v>20</v>
      </c>
      <c r="E3">
        <v>18.580453363062059</v>
      </c>
      <c r="F3">
        <v>200</v>
      </c>
      <c r="G3">
        <v>10</v>
      </c>
      <c r="H3">
        <v>2004</v>
      </c>
      <c r="I3">
        <v>2023</v>
      </c>
      <c r="J3">
        <v>19</v>
      </c>
      <c r="K3">
        <v>60</v>
      </c>
      <c r="L3">
        <v>0.1</v>
      </c>
      <c r="M3">
        <v>1.5000000000000001E-2</v>
      </c>
      <c r="N3">
        <v>1600</v>
      </c>
      <c r="O3">
        <v>320000</v>
      </c>
      <c r="P3">
        <v>91200</v>
      </c>
      <c r="Q3">
        <v>228800</v>
      </c>
      <c r="R3">
        <v>0</v>
      </c>
      <c r="S3">
        <v>228800</v>
      </c>
      <c r="T3" t="s">
        <v>115</v>
      </c>
    </row>
    <row r="4" spans="1:20" x14ac:dyDescent="0.25">
      <c r="A4">
        <v>80</v>
      </c>
      <c r="B4" t="s">
        <v>92</v>
      </c>
      <c r="C4" t="s">
        <v>29</v>
      </c>
      <c r="D4" t="s">
        <v>90</v>
      </c>
      <c r="E4">
        <v>185.8045336306206</v>
      </c>
      <c r="F4">
        <v>2000</v>
      </c>
      <c r="G4">
        <v>10</v>
      </c>
      <c r="H4">
        <v>2004</v>
      </c>
      <c r="I4">
        <v>2023</v>
      </c>
      <c r="J4">
        <v>19</v>
      </c>
      <c r="K4">
        <v>45</v>
      </c>
      <c r="L4">
        <v>0.1</v>
      </c>
      <c r="M4">
        <v>0.02</v>
      </c>
      <c r="N4">
        <v>1200</v>
      </c>
      <c r="O4">
        <v>2400000</v>
      </c>
      <c r="P4">
        <v>912000</v>
      </c>
      <c r="Q4">
        <v>1488000</v>
      </c>
      <c r="R4">
        <v>0</v>
      </c>
      <c r="S4">
        <v>1488000</v>
      </c>
      <c r="T4" t="s">
        <v>115</v>
      </c>
    </row>
    <row r="5" spans="1:20" x14ac:dyDescent="0.25">
      <c r="A5">
        <v>79</v>
      </c>
      <c r="B5" t="s">
        <v>91</v>
      </c>
      <c r="C5" t="s">
        <v>29</v>
      </c>
      <c r="D5" t="s">
        <v>20</v>
      </c>
      <c r="E5">
        <v>188.12709030100336</v>
      </c>
      <c r="F5">
        <v>2025</v>
      </c>
      <c r="G5">
        <v>13</v>
      </c>
      <c r="H5">
        <v>2022</v>
      </c>
      <c r="I5">
        <v>2023</v>
      </c>
      <c r="J5">
        <v>1</v>
      </c>
      <c r="K5">
        <v>60</v>
      </c>
      <c r="L5">
        <v>0.1</v>
      </c>
      <c r="M5">
        <v>1.5000000000000001E-2</v>
      </c>
      <c r="N5">
        <v>1500</v>
      </c>
      <c r="O5">
        <v>3037500</v>
      </c>
      <c r="P5">
        <v>45562.5</v>
      </c>
      <c r="Q5">
        <v>2991937.5</v>
      </c>
      <c r="R5">
        <v>0</v>
      </c>
      <c r="S5">
        <v>2991937.5</v>
      </c>
      <c r="T5" t="s">
        <v>115</v>
      </c>
    </row>
    <row r="6" spans="1:20" x14ac:dyDescent="0.25">
      <c r="A6">
        <v>78</v>
      </c>
      <c r="B6" t="s">
        <v>89</v>
      </c>
      <c r="C6" t="s">
        <v>29</v>
      </c>
      <c r="D6" t="s">
        <v>90</v>
      </c>
      <c r="E6">
        <v>267.55852842809367</v>
      </c>
      <c r="F6">
        <v>2880</v>
      </c>
      <c r="G6">
        <v>23</v>
      </c>
      <c r="H6">
        <v>2004</v>
      </c>
      <c r="I6">
        <v>2023</v>
      </c>
      <c r="J6">
        <v>19</v>
      </c>
      <c r="K6">
        <v>45</v>
      </c>
      <c r="L6">
        <v>0.1</v>
      </c>
      <c r="M6">
        <v>0.02</v>
      </c>
      <c r="N6">
        <v>1300</v>
      </c>
      <c r="O6">
        <v>3744000</v>
      </c>
      <c r="P6">
        <v>1422720</v>
      </c>
      <c r="Q6">
        <v>2321280</v>
      </c>
      <c r="R6">
        <v>0</v>
      </c>
      <c r="S6">
        <v>2321280</v>
      </c>
      <c r="T6" t="s">
        <v>115</v>
      </c>
    </row>
    <row r="7" spans="1:20" x14ac:dyDescent="0.25">
      <c r="A7">
        <v>76</v>
      </c>
      <c r="B7" t="s">
        <v>87</v>
      </c>
      <c r="C7" t="s">
        <v>29</v>
      </c>
      <c r="D7" t="s">
        <v>74</v>
      </c>
      <c r="E7">
        <v>371.60906726124119</v>
      </c>
      <c r="F7">
        <v>4000</v>
      </c>
      <c r="G7">
        <v>30</v>
      </c>
      <c r="H7">
        <v>2022</v>
      </c>
      <c r="I7">
        <v>2023</v>
      </c>
      <c r="J7">
        <v>1</v>
      </c>
      <c r="K7">
        <v>45</v>
      </c>
      <c r="L7">
        <v>0.1</v>
      </c>
      <c r="M7">
        <v>0.02</v>
      </c>
      <c r="N7">
        <v>1400</v>
      </c>
      <c r="O7">
        <v>5600000</v>
      </c>
      <c r="P7">
        <v>112000</v>
      </c>
      <c r="Q7">
        <v>5488000</v>
      </c>
      <c r="R7">
        <v>0</v>
      </c>
      <c r="S7">
        <v>5488000</v>
      </c>
      <c r="T7" t="s">
        <v>115</v>
      </c>
    </row>
    <row r="8" spans="1:20" x14ac:dyDescent="0.25">
      <c r="A8">
        <v>75</v>
      </c>
      <c r="B8" t="s">
        <v>86</v>
      </c>
      <c r="C8" t="s">
        <v>29</v>
      </c>
      <c r="D8" t="s">
        <v>74</v>
      </c>
      <c r="E8">
        <v>313.54515050167225</v>
      </c>
      <c r="F8">
        <v>3375</v>
      </c>
      <c r="G8">
        <v>30</v>
      </c>
      <c r="H8">
        <v>2004</v>
      </c>
      <c r="I8">
        <v>2023</v>
      </c>
      <c r="J8">
        <v>19</v>
      </c>
      <c r="K8">
        <v>45</v>
      </c>
      <c r="L8">
        <v>0.1</v>
      </c>
      <c r="M8">
        <v>0.02</v>
      </c>
      <c r="N8">
        <v>1400</v>
      </c>
      <c r="O8">
        <v>4725000</v>
      </c>
      <c r="P8">
        <v>1795500</v>
      </c>
      <c r="Q8">
        <v>2929500</v>
      </c>
      <c r="R8">
        <v>0</v>
      </c>
      <c r="S8">
        <v>2929500</v>
      </c>
      <c r="T8" t="s">
        <v>115</v>
      </c>
    </row>
    <row r="9" spans="1:20" x14ac:dyDescent="0.25">
      <c r="A9">
        <v>74</v>
      </c>
      <c r="B9" t="s">
        <v>85</v>
      </c>
      <c r="C9" t="s">
        <v>29</v>
      </c>
      <c r="D9" t="s">
        <v>74</v>
      </c>
      <c r="E9">
        <v>313.54515050167225</v>
      </c>
      <c r="F9">
        <v>3375</v>
      </c>
      <c r="G9">
        <v>30</v>
      </c>
      <c r="H9">
        <v>2004</v>
      </c>
      <c r="I9">
        <v>2023</v>
      </c>
      <c r="J9">
        <v>19</v>
      </c>
      <c r="K9">
        <v>45</v>
      </c>
      <c r="L9">
        <v>0.1</v>
      </c>
      <c r="M9">
        <v>0.02</v>
      </c>
      <c r="N9">
        <v>1400</v>
      </c>
      <c r="O9">
        <v>4725000</v>
      </c>
      <c r="P9">
        <v>1795500</v>
      </c>
      <c r="Q9">
        <v>2929500</v>
      </c>
      <c r="R9">
        <v>0</v>
      </c>
      <c r="S9">
        <v>2929500</v>
      </c>
      <c r="T9" t="s">
        <v>115</v>
      </c>
    </row>
    <row r="10" spans="1:20" x14ac:dyDescent="0.25">
      <c r="A10">
        <v>73</v>
      </c>
      <c r="B10" t="s">
        <v>84</v>
      </c>
      <c r="C10" t="s">
        <v>29</v>
      </c>
      <c r="D10" t="s">
        <v>74</v>
      </c>
      <c r="E10">
        <v>501.67224080267562</v>
      </c>
      <c r="F10">
        <v>5400</v>
      </c>
      <c r="G10">
        <v>30</v>
      </c>
      <c r="H10">
        <v>2022</v>
      </c>
      <c r="I10">
        <v>2023</v>
      </c>
      <c r="J10">
        <v>1</v>
      </c>
      <c r="K10">
        <v>45</v>
      </c>
      <c r="L10">
        <v>0.1</v>
      </c>
      <c r="M10">
        <v>0.02</v>
      </c>
      <c r="N10">
        <v>1400</v>
      </c>
      <c r="O10">
        <v>7560000</v>
      </c>
      <c r="P10">
        <v>151200</v>
      </c>
      <c r="Q10">
        <v>7408800</v>
      </c>
      <c r="R10">
        <v>0</v>
      </c>
      <c r="S10">
        <v>7408800</v>
      </c>
      <c r="T10" t="s">
        <v>115</v>
      </c>
    </row>
    <row r="11" spans="1:20" x14ac:dyDescent="0.25">
      <c r="A11">
        <v>71</v>
      </c>
      <c r="C11" t="s">
        <v>45</v>
      </c>
      <c r="D11" t="s">
        <v>20</v>
      </c>
      <c r="E11">
        <v>130.06317354143442</v>
      </c>
      <c r="F11">
        <v>1400</v>
      </c>
      <c r="G11">
        <v>10</v>
      </c>
      <c r="H11">
        <v>2022</v>
      </c>
      <c r="I11">
        <v>2023</v>
      </c>
      <c r="J11">
        <v>1</v>
      </c>
      <c r="K11">
        <v>60</v>
      </c>
      <c r="L11">
        <v>0.1</v>
      </c>
      <c r="M11">
        <v>1.5000000000000001E-2</v>
      </c>
      <c r="N11">
        <v>1600</v>
      </c>
      <c r="O11">
        <v>2240000</v>
      </c>
      <c r="P11">
        <v>33600</v>
      </c>
      <c r="Q11">
        <v>2206400</v>
      </c>
      <c r="R11">
        <v>0</v>
      </c>
      <c r="S11">
        <v>2206400</v>
      </c>
      <c r="T11" t="s">
        <v>115</v>
      </c>
    </row>
    <row r="12" spans="1:20" x14ac:dyDescent="0.25">
      <c r="A12">
        <v>70</v>
      </c>
      <c r="B12" t="s">
        <v>82</v>
      </c>
      <c r="C12" t="s">
        <v>29</v>
      </c>
      <c r="D12" t="s">
        <v>20</v>
      </c>
      <c r="E12">
        <v>130.06317354143442</v>
      </c>
      <c r="F12">
        <v>1400</v>
      </c>
      <c r="G12">
        <v>10</v>
      </c>
      <c r="H12">
        <v>2022</v>
      </c>
      <c r="I12">
        <v>2023</v>
      </c>
      <c r="J12">
        <v>1</v>
      </c>
      <c r="K12">
        <v>60</v>
      </c>
      <c r="L12">
        <v>0.1</v>
      </c>
      <c r="M12">
        <v>1.5000000000000001E-2</v>
      </c>
      <c r="N12">
        <v>1600</v>
      </c>
      <c r="O12">
        <v>2240000</v>
      </c>
      <c r="P12">
        <v>33600</v>
      </c>
      <c r="Q12">
        <v>2206400</v>
      </c>
      <c r="R12">
        <v>0</v>
      </c>
      <c r="S12">
        <v>2206400</v>
      </c>
      <c r="T12" t="s">
        <v>115</v>
      </c>
    </row>
    <row r="13" spans="1:20" x14ac:dyDescent="0.25">
      <c r="A13">
        <v>69</v>
      </c>
      <c r="B13" t="s">
        <v>81</v>
      </c>
      <c r="C13" t="s">
        <v>29</v>
      </c>
      <c r="D13" t="s">
        <v>20</v>
      </c>
      <c r="E13">
        <v>41.806020066889637</v>
      </c>
      <c r="F13">
        <v>450</v>
      </c>
      <c r="G13">
        <v>13</v>
      </c>
      <c r="H13">
        <v>2022</v>
      </c>
      <c r="I13">
        <v>2023</v>
      </c>
      <c r="J13">
        <v>1</v>
      </c>
      <c r="K13">
        <v>60</v>
      </c>
      <c r="L13">
        <v>0.1</v>
      </c>
      <c r="M13">
        <v>1.5000000000000001E-2</v>
      </c>
      <c r="N13">
        <v>1600</v>
      </c>
      <c r="O13">
        <v>720000</v>
      </c>
      <c r="P13">
        <v>10800</v>
      </c>
      <c r="Q13">
        <v>709200</v>
      </c>
      <c r="R13">
        <v>0</v>
      </c>
      <c r="S13">
        <v>709200</v>
      </c>
      <c r="T13" t="s">
        <v>115</v>
      </c>
    </row>
    <row r="14" spans="1:20" x14ac:dyDescent="0.25">
      <c r="A14">
        <v>68</v>
      </c>
      <c r="B14" t="s">
        <v>80</v>
      </c>
      <c r="C14" t="s">
        <v>29</v>
      </c>
      <c r="D14" t="s">
        <v>74</v>
      </c>
      <c r="E14">
        <v>304.71943515421776</v>
      </c>
      <c r="F14">
        <v>3280</v>
      </c>
      <c r="G14">
        <v>28</v>
      </c>
      <c r="H14">
        <v>2022</v>
      </c>
      <c r="I14">
        <v>2023</v>
      </c>
      <c r="J14">
        <v>1</v>
      </c>
      <c r="K14">
        <v>45</v>
      </c>
      <c r="L14">
        <v>0.1</v>
      </c>
      <c r="M14">
        <v>0.02</v>
      </c>
      <c r="N14">
        <v>1400</v>
      </c>
      <c r="O14">
        <v>4592000</v>
      </c>
      <c r="P14">
        <v>91840</v>
      </c>
      <c r="Q14">
        <v>4500160</v>
      </c>
      <c r="R14">
        <v>0</v>
      </c>
      <c r="S14">
        <v>4500160</v>
      </c>
      <c r="T14" t="s">
        <v>115</v>
      </c>
    </row>
    <row r="15" spans="1:20" x14ac:dyDescent="0.25">
      <c r="A15">
        <v>52</v>
      </c>
      <c r="B15" t="s">
        <v>65</v>
      </c>
      <c r="C15" t="s">
        <v>29</v>
      </c>
      <c r="D15" t="s">
        <v>20</v>
      </c>
      <c r="E15">
        <v>16.722408026755854</v>
      </c>
      <c r="F15">
        <v>180</v>
      </c>
      <c r="G15">
        <v>10</v>
      </c>
      <c r="H15">
        <v>2004</v>
      </c>
      <c r="I15">
        <v>2023</v>
      </c>
      <c r="J15">
        <v>19</v>
      </c>
      <c r="K15">
        <v>60</v>
      </c>
      <c r="L15">
        <v>0.1</v>
      </c>
      <c r="M15">
        <v>1.5000000000000001E-2</v>
      </c>
      <c r="N15">
        <v>1600</v>
      </c>
      <c r="O15">
        <v>288000</v>
      </c>
      <c r="P15">
        <v>82080</v>
      </c>
      <c r="Q15">
        <v>205920</v>
      </c>
      <c r="R15">
        <v>0</v>
      </c>
      <c r="S15">
        <v>205920</v>
      </c>
      <c r="T15" t="s">
        <v>115</v>
      </c>
    </row>
    <row r="16" spans="1:20" x14ac:dyDescent="0.25">
      <c r="A16">
        <v>51</v>
      </c>
      <c r="B16" t="s">
        <v>64</v>
      </c>
      <c r="C16" t="s">
        <v>29</v>
      </c>
      <c r="D16" t="s">
        <v>20</v>
      </c>
      <c r="E16">
        <v>16.722408026755854</v>
      </c>
      <c r="F16">
        <v>180</v>
      </c>
      <c r="G16">
        <v>10</v>
      </c>
      <c r="H16">
        <v>2004</v>
      </c>
      <c r="I16">
        <v>2023</v>
      </c>
      <c r="J16">
        <v>19</v>
      </c>
      <c r="K16">
        <v>60</v>
      </c>
      <c r="L16">
        <v>0.1</v>
      </c>
      <c r="M16">
        <v>1.5000000000000001E-2</v>
      </c>
      <c r="N16">
        <v>1600</v>
      </c>
      <c r="O16">
        <v>288000</v>
      </c>
      <c r="P16">
        <v>82080</v>
      </c>
      <c r="Q16">
        <v>205920</v>
      </c>
      <c r="R16">
        <v>0</v>
      </c>
      <c r="S16">
        <v>205920</v>
      </c>
      <c r="T16" t="s">
        <v>115</v>
      </c>
    </row>
    <row r="17" spans="1:20" x14ac:dyDescent="0.25">
      <c r="A17">
        <v>50</v>
      </c>
      <c r="B17" t="s">
        <v>63</v>
      </c>
      <c r="C17" t="s">
        <v>29</v>
      </c>
      <c r="D17" t="s">
        <v>20</v>
      </c>
      <c r="E17">
        <v>22.48</v>
      </c>
      <c r="F17">
        <v>242</v>
      </c>
      <c r="G17">
        <v>10</v>
      </c>
      <c r="H17">
        <v>2004</v>
      </c>
      <c r="I17">
        <v>2023</v>
      </c>
      <c r="J17">
        <v>19</v>
      </c>
      <c r="K17">
        <v>60</v>
      </c>
      <c r="L17">
        <v>0.1</v>
      </c>
      <c r="M17">
        <v>1.5000000000000001E-2</v>
      </c>
      <c r="N17">
        <v>1200</v>
      </c>
      <c r="O17">
        <v>290400</v>
      </c>
      <c r="P17">
        <v>82764</v>
      </c>
      <c r="Q17">
        <v>207636</v>
      </c>
      <c r="R17">
        <v>0</v>
      </c>
      <c r="S17">
        <v>207636</v>
      </c>
      <c r="T17" t="s">
        <v>115</v>
      </c>
    </row>
    <row r="18" spans="1:20" x14ac:dyDescent="0.25">
      <c r="A18">
        <v>49</v>
      </c>
      <c r="B18" t="s">
        <v>62</v>
      </c>
      <c r="C18" t="s">
        <v>29</v>
      </c>
      <c r="D18" t="s">
        <v>20</v>
      </c>
      <c r="E18">
        <v>22.482348569305092</v>
      </c>
      <c r="F18">
        <v>242</v>
      </c>
      <c r="G18">
        <v>10</v>
      </c>
      <c r="H18">
        <v>2004</v>
      </c>
      <c r="I18">
        <v>2023</v>
      </c>
      <c r="J18">
        <v>19</v>
      </c>
      <c r="K18">
        <v>60</v>
      </c>
      <c r="L18">
        <v>0.1</v>
      </c>
      <c r="M18">
        <v>1.5000000000000001E-2</v>
      </c>
      <c r="N18">
        <v>1200</v>
      </c>
      <c r="O18">
        <v>290400</v>
      </c>
      <c r="P18">
        <v>82764</v>
      </c>
      <c r="Q18">
        <v>207636</v>
      </c>
      <c r="R18">
        <v>0</v>
      </c>
      <c r="S18">
        <v>207636</v>
      </c>
      <c r="T18" t="s">
        <v>115</v>
      </c>
    </row>
    <row r="19" spans="1:20" x14ac:dyDescent="0.25">
      <c r="A19">
        <v>48</v>
      </c>
      <c r="B19" t="s">
        <v>60</v>
      </c>
      <c r="C19" t="s">
        <v>61</v>
      </c>
      <c r="D19" t="s">
        <v>20</v>
      </c>
      <c r="E19">
        <v>40</v>
      </c>
      <c r="F19">
        <v>430.55999999999995</v>
      </c>
      <c r="G19">
        <v>10</v>
      </c>
      <c r="H19">
        <v>2022</v>
      </c>
      <c r="I19">
        <v>2023</v>
      </c>
      <c r="J19">
        <v>1</v>
      </c>
      <c r="K19">
        <v>60</v>
      </c>
      <c r="L19">
        <v>0.1</v>
      </c>
      <c r="M19">
        <v>1.5000000000000001E-2</v>
      </c>
      <c r="N19">
        <v>1600</v>
      </c>
      <c r="O19">
        <v>688895.99999999988</v>
      </c>
      <c r="P19">
        <v>10333.439999999999</v>
      </c>
      <c r="Q19">
        <v>678562.55999999994</v>
      </c>
      <c r="R19">
        <v>0</v>
      </c>
      <c r="S19">
        <v>678562.55999999994</v>
      </c>
      <c r="T19" t="s">
        <v>115</v>
      </c>
    </row>
    <row r="20" spans="1:20" x14ac:dyDescent="0.25">
      <c r="A20">
        <v>46</v>
      </c>
      <c r="C20" t="s">
        <v>59</v>
      </c>
      <c r="D20" t="s">
        <v>20</v>
      </c>
      <c r="E20">
        <v>72</v>
      </c>
      <c r="F20">
        <v>775.00799999999992</v>
      </c>
      <c r="G20">
        <v>11</v>
      </c>
      <c r="H20">
        <v>2005</v>
      </c>
      <c r="I20">
        <v>2023</v>
      </c>
      <c r="J20">
        <v>18</v>
      </c>
      <c r="K20">
        <v>60</v>
      </c>
      <c r="L20">
        <v>0.1</v>
      </c>
      <c r="M20">
        <v>1.5000000000000001E-2</v>
      </c>
      <c r="N20">
        <v>1600</v>
      </c>
      <c r="O20">
        <v>1240012.7999999998</v>
      </c>
      <c r="P20">
        <v>334803.45600000001</v>
      </c>
      <c r="Q20">
        <v>905209.34399999981</v>
      </c>
      <c r="R20">
        <v>0</v>
      </c>
      <c r="S20">
        <v>905209.34399999981</v>
      </c>
      <c r="T20" t="s">
        <v>115</v>
      </c>
    </row>
    <row r="21" spans="1:20" x14ac:dyDescent="0.25">
      <c r="A21">
        <v>45</v>
      </c>
      <c r="B21" t="s">
        <v>56</v>
      </c>
      <c r="C21" t="s">
        <v>58</v>
      </c>
      <c r="D21" t="s">
        <v>20</v>
      </c>
      <c r="E21">
        <v>72</v>
      </c>
      <c r="F21">
        <v>775.00799999999992</v>
      </c>
      <c r="G21">
        <v>15</v>
      </c>
      <c r="H21">
        <v>2005</v>
      </c>
      <c r="I21">
        <v>2023</v>
      </c>
      <c r="J21">
        <v>18</v>
      </c>
      <c r="K21">
        <v>60</v>
      </c>
      <c r="L21">
        <v>0.1</v>
      </c>
      <c r="M21">
        <v>1.5000000000000001E-2</v>
      </c>
      <c r="N21">
        <v>1600</v>
      </c>
      <c r="O21">
        <v>1240012.7999999998</v>
      </c>
      <c r="P21">
        <v>334803.45600000001</v>
      </c>
      <c r="Q21">
        <v>905209.34399999981</v>
      </c>
      <c r="R21">
        <v>0</v>
      </c>
      <c r="S21">
        <v>905209.34399999981</v>
      </c>
      <c r="T21" t="s">
        <v>115</v>
      </c>
    </row>
    <row r="22" spans="1:20" x14ac:dyDescent="0.25">
      <c r="A22">
        <v>44</v>
      </c>
      <c r="C22" t="s">
        <v>45</v>
      </c>
      <c r="D22" t="s">
        <v>20</v>
      </c>
      <c r="E22">
        <v>132</v>
      </c>
      <c r="F22">
        <v>1420.848</v>
      </c>
      <c r="G22">
        <v>11</v>
      </c>
      <c r="H22">
        <v>2005</v>
      </c>
      <c r="I22">
        <v>2023</v>
      </c>
      <c r="J22">
        <v>18</v>
      </c>
      <c r="K22">
        <v>60</v>
      </c>
      <c r="L22">
        <v>0.1</v>
      </c>
      <c r="M22">
        <v>1.5000000000000001E-2</v>
      </c>
      <c r="N22">
        <v>1600</v>
      </c>
      <c r="O22">
        <v>2273356.7999999998</v>
      </c>
      <c r="P22">
        <v>613806.33600000001</v>
      </c>
      <c r="Q22">
        <v>1659550.4639999997</v>
      </c>
      <c r="R22">
        <v>0</v>
      </c>
      <c r="S22">
        <v>1659550.4639999997</v>
      </c>
      <c r="T22" t="s">
        <v>115</v>
      </c>
    </row>
    <row r="23" spans="1:20" x14ac:dyDescent="0.25">
      <c r="A23">
        <v>22</v>
      </c>
      <c r="B23" t="s">
        <v>43</v>
      </c>
      <c r="C23" t="s">
        <v>29</v>
      </c>
      <c r="D23" t="s">
        <v>20</v>
      </c>
      <c r="E23">
        <v>288</v>
      </c>
      <c r="F23">
        <v>3100.0319999999997</v>
      </c>
      <c r="G23">
        <v>11</v>
      </c>
      <c r="H23">
        <v>2022</v>
      </c>
      <c r="I23">
        <v>2023</v>
      </c>
      <c r="J23">
        <v>1</v>
      </c>
      <c r="K23">
        <v>60</v>
      </c>
      <c r="L23">
        <v>0.1</v>
      </c>
      <c r="M23">
        <v>1.5000000000000001E-2</v>
      </c>
      <c r="N23">
        <v>1600</v>
      </c>
      <c r="O23">
        <v>4960051.1999999993</v>
      </c>
      <c r="P23">
        <v>74400.767999999996</v>
      </c>
      <c r="Q23">
        <v>4885650.4319999991</v>
      </c>
      <c r="R23">
        <v>0</v>
      </c>
      <c r="S23">
        <v>4885650.4319999991</v>
      </c>
      <c r="T23" t="s">
        <v>115</v>
      </c>
    </row>
    <row r="24" spans="1:20" x14ac:dyDescent="0.25">
      <c r="A24">
        <v>23</v>
      </c>
      <c r="C24" t="s">
        <v>45</v>
      </c>
      <c r="D24" t="s">
        <v>20</v>
      </c>
      <c r="E24">
        <v>288</v>
      </c>
      <c r="F24">
        <v>3100.0319999999997</v>
      </c>
      <c r="G24">
        <v>11</v>
      </c>
      <c r="H24">
        <v>2022</v>
      </c>
      <c r="I24">
        <v>2023</v>
      </c>
      <c r="J24">
        <v>1</v>
      </c>
      <c r="K24">
        <v>60</v>
      </c>
      <c r="L24">
        <v>0.1</v>
      </c>
      <c r="M24">
        <v>1.5000000000000001E-2</v>
      </c>
      <c r="N24">
        <v>1600</v>
      </c>
      <c r="O24">
        <v>4960051.1999999993</v>
      </c>
      <c r="P24">
        <v>74400.767999999996</v>
      </c>
      <c r="Q24">
        <v>4885650.4319999991</v>
      </c>
      <c r="R24">
        <v>0</v>
      </c>
      <c r="S24">
        <v>4885650.4319999991</v>
      </c>
      <c r="T24" t="s">
        <v>115</v>
      </c>
    </row>
    <row r="25" spans="1:20" x14ac:dyDescent="0.25">
      <c r="A25">
        <v>24</v>
      </c>
      <c r="C25" t="s">
        <v>30</v>
      </c>
      <c r="D25" t="s">
        <v>20</v>
      </c>
      <c r="E25">
        <v>288</v>
      </c>
      <c r="F25">
        <v>3100.0319999999997</v>
      </c>
      <c r="G25">
        <v>11</v>
      </c>
      <c r="H25">
        <v>2022</v>
      </c>
      <c r="I25">
        <v>2023</v>
      </c>
      <c r="J25">
        <v>1</v>
      </c>
      <c r="K25">
        <v>60</v>
      </c>
      <c r="L25">
        <v>0.1</v>
      </c>
      <c r="M25">
        <v>1.5000000000000001E-2</v>
      </c>
      <c r="N25">
        <v>1600</v>
      </c>
      <c r="O25">
        <v>4960051.1999999993</v>
      </c>
      <c r="P25">
        <v>74400.767999999996</v>
      </c>
      <c r="Q25">
        <v>4885650.4319999991</v>
      </c>
      <c r="R25">
        <v>0</v>
      </c>
      <c r="S25">
        <v>4885650.4319999991</v>
      </c>
      <c r="T25" t="s">
        <v>115</v>
      </c>
    </row>
    <row r="26" spans="1:20" x14ac:dyDescent="0.25">
      <c r="A26">
        <v>25</v>
      </c>
      <c r="B26" t="s">
        <v>44</v>
      </c>
      <c r="C26" t="s">
        <v>29</v>
      </c>
      <c r="D26" t="s">
        <v>20</v>
      </c>
      <c r="E26">
        <v>288</v>
      </c>
      <c r="F26">
        <v>3100.0319999999997</v>
      </c>
      <c r="G26">
        <v>10</v>
      </c>
      <c r="H26">
        <v>2022</v>
      </c>
      <c r="I26">
        <v>2023</v>
      </c>
      <c r="J26">
        <v>1</v>
      </c>
      <c r="K26">
        <v>60</v>
      </c>
      <c r="L26">
        <v>0.1</v>
      </c>
      <c r="M26">
        <v>1.5000000000000001E-2</v>
      </c>
      <c r="N26">
        <v>1600</v>
      </c>
      <c r="O26">
        <v>4960051.1999999993</v>
      </c>
      <c r="P26">
        <v>74400.767999999996</v>
      </c>
      <c r="Q26">
        <v>4885650.4319999991</v>
      </c>
      <c r="R26">
        <v>0</v>
      </c>
      <c r="S26">
        <v>4885650.4319999991</v>
      </c>
      <c r="T26" t="s">
        <v>115</v>
      </c>
    </row>
    <row r="27" spans="1:20" x14ac:dyDescent="0.25">
      <c r="A27">
        <v>26</v>
      </c>
      <c r="C27" t="s">
        <v>45</v>
      </c>
      <c r="D27" t="s">
        <v>20</v>
      </c>
      <c r="E27">
        <v>288</v>
      </c>
      <c r="F27">
        <v>3100.0319999999997</v>
      </c>
      <c r="G27">
        <v>10</v>
      </c>
      <c r="H27">
        <v>2022</v>
      </c>
      <c r="I27">
        <v>2023</v>
      </c>
      <c r="J27">
        <v>1</v>
      </c>
      <c r="K27">
        <v>60</v>
      </c>
      <c r="L27">
        <v>0.1</v>
      </c>
      <c r="M27">
        <v>1.5000000000000001E-2</v>
      </c>
      <c r="N27">
        <v>1600</v>
      </c>
      <c r="O27">
        <v>4960051.1999999993</v>
      </c>
      <c r="P27">
        <v>74400.767999999996</v>
      </c>
      <c r="Q27">
        <v>4885650.4319999991</v>
      </c>
      <c r="R27">
        <v>0</v>
      </c>
      <c r="S27">
        <v>4885650.4319999991</v>
      </c>
      <c r="T27" t="s">
        <v>115</v>
      </c>
    </row>
    <row r="28" spans="1:20" x14ac:dyDescent="0.25">
      <c r="A28">
        <v>27</v>
      </c>
      <c r="C28" t="s">
        <v>30</v>
      </c>
      <c r="D28" t="s">
        <v>20</v>
      </c>
      <c r="E28">
        <v>288</v>
      </c>
      <c r="F28">
        <v>3100.0319999999997</v>
      </c>
      <c r="G28">
        <v>10</v>
      </c>
      <c r="H28">
        <v>2022</v>
      </c>
      <c r="I28">
        <v>2023</v>
      </c>
      <c r="J28">
        <v>1</v>
      </c>
      <c r="K28">
        <v>60</v>
      </c>
      <c r="L28">
        <v>0.1</v>
      </c>
      <c r="M28">
        <v>1.5000000000000001E-2</v>
      </c>
      <c r="N28">
        <v>1600</v>
      </c>
      <c r="O28">
        <v>4960051.1999999993</v>
      </c>
      <c r="P28">
        <v>74400.767999999996</v>
      </c>
      <c r="Q28">
        <v>4885650.4319999991</v>
      </c>
      <c r="R28">
        <v>0</v>
      </c>
      <c r="S28">
        <v>4885650.4319999991</v>
      </c>
      <c r="T28" t="s">
        <v>115</v>
      </c>
    </row>
    <row r="29" spans="1:20" x14ac:dyDescent="0.25">
      <c r="A29">
        <v>43</v>
      </c>
      <c r="B29" t="s">
        <v>54</v>
      </c>
      <c r="C29" t="s">
        <v>29</v>
      </c>
      <c r="D29" t="s">
        <v>20</v>
      </c>
      <c r="E29">
        <v>132</v>
      </c>
      <c r="F29">
        <v>1420.848</v>
      </c>
      <c r="G29">
        <v>11</v>
      </c>
      <c r="H29">
        <v>2005</v>
      </c>
      <c r="I29">
        <v>2023</v>
      </c>
      <c r="J29">
        <v>18</v>
      </c>
      <c r="K29">
        <v>60</v>
      </c>
      <c r="L29">
        <v>0.1</v>
      </c>
      <c r="M29">
        <v>1.5000000000000001E-2</v>
      </c>
      <c r="N29">
        <v>1600</v>
      </c>
      <c r="O29">
        <v>2273356.7999999998</v>
      </c>
      <c r="P29">
        <v>613806.33600000001</v>
      </c>
      <c r="Q29">
        <v>1659550.4639999997</v>
      </c>
      <c r="R29">
        <v>0</v>
      </c>
      <c r="S29">
        <v>1659550.4639999997</v>
      </c>
      <c r="T29" t="s">
        <v>115</v>
      </c>
    </row>
    <row r="30" spans="1:20" x14ac:dyDescent="0.25">
      <c r="A30">
        <v>34</v>
      </c>
      <c r="C30" t="s">
        <v>45</v>
      </c>
      <c r="D30" t="s">
        <v>20</v>
      </c>
      <c r="E30">
        <v>200</v>
      </c>
      <c r="F30">
        <v>2152.7999999999997</v>
      </c>
      <c r="G30">
        <v>15</v>
      </c>
      <c r="H30">
        <v>2022</v>
      </c>
      <c r="I30">
        <v>2023</v>
      </c>
      <c r="J30">
        <v>1</v>
      </c>
      <c r="K30">
        <v>60</v>
      </c>
      <c r="L30">
        <v>0.1</v>
      </c>
      <c r="M30">
        <v>1.5000000000000001E-2</v>
      </c>
      <c r="N30">
        <v>1600</v>
      </c>
      <c r="O30">
        <v>3444479.9999999995</v>
      </c>
      <c r="P30">
        <v>51667.199999999997</v>
      </c>
      <c r="Q30">
        <v>3392812.7999999993</v>
      </c>
      <c r="R30">
        <v>0</v>
      </c>
      <c r="S30">
        <v>3392812.7999999993</v>
      </c>
      <c r="T30" t="s">
        <v>115</v>
      </c>
    </row>
    <row r="31" spans="1:20" x14ac:dyDescent="0.25">
      <c r="A31">
        <v>33</v>
      </c>
      <c r="B31" t="s">
        <v>50</v>
      </c>
      <c r="C31" t="s">
        <v>29</v>
      </c>
      <c r="D31" t="s">
        <v>20</v>
      </c>
      <c r="E31">
        <v>200</v>
      </c>
      <c r="F31">
        <v>2152.7999999999997</v>
      </c>
      <c r="G31">
        <v>15</v>
      </c>
      <c r="H31">
        <v>2022</v>
      </c>
      <c r="I31">
        <v>2023</v>
      </c>
      <c r="J31">
        <v>1</v>
      </c>
      <c r="K31">
        <v>60</v>
      </c>
      <c r="L31">
        <v>0.1</v>
      </c>
      <c r="M31">
        <v>1.5000000000000001E-2</v>
      </c>
      <c r="N31">
        <v>1600</v>
      </c>
      <c r="O31">
        <v>3444479.9999999995</v>
      </c>
      <c r="P31">
        <v>51667.199999999997</v>
      </c>
      <c r="Q31">
        <v>3392812.7999999993</v>
      </c>
      <c r="R31">
        <v>0</v>
      </c>
      <c r="S31">
        <v>3392812.7999999993</v>
      </c>
      <c r="T31" t="s">
        <v>115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Sheet4</vt:lpstr>
      <vt:lpstr>Sheet3</vt:lpstr>
      <vt:lpstr>Sheet2</vt:lpstr>
      <vt:lpstr>Sheet6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Rahul Gupta</cp:lastModifiedBy>
  <dcterms:created xsi:type="dcterms:W3CDTF">2022-11-04T05:05:51Z</dcterms:created>
  <dcterms:modified xsi:type="dcterms:W3CDTF">2023-08-10T13:33:52Z</dcterms:modified>
</cp:coreProperties>
</file>