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filterPrivacy="1" defaultThemeVersion="124226"/>
  <xr:revisionPtr revIDLastSave="0" documentId="13_ncr:1_{2615571D-1E6F-4E83-89D3-3E1A5D1A0890}" xr6:coauthVersionLast="47" xr6:coauthVersionMax="47" xr10:uidLastSave="{00000000-0000-0000-0000-000000000000}"/>
  <bookViews>
    <workbookView xWindow="-108" yWindow="-108" windowWidth="23256" windowHeight="12456" tabRatio="801" activeTab="1" xr2:uid="{00000000-000D-0000-FFFF-FFFF00000000}"/>
  </bookViews>
  <sheets>
    <sheet name="FINAL DEPT" sheetId="12" r:id="rId1"/>
    <sheet name="Depreciation Co's Act" sheetId="4" r:id="rId2"/>
    <sheet name="Dep on addition" sheetId="14" r:id="rId3"/>
    <sheet name="Reco" sheetId="10" r:id="rId4"/>
    <sheet name="wdv building" sheetId="3" r:id="rId5"/>
    <sheet name="wdv electrical" sheetId="5" r:id="rId6"/>
    <sheet name="wdv Plant &amp; Mac" sheetId="6" r:id="rId7"/>
    <sheet name="Sheet1" sheetId="7"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A">#REF!</definedName>
    <definedName name="\S">#REF!</definedName>
    <definedName name="_xlnm._FilterDatabase" localSheetId="1" hidden="1">'Depreciation Co''s Act'!$A$4:$AQ$511</definedName>
    <definedName name="_Key1" hidden="1">'[1]Tdep(old)'!#REF!</definedName>
    <definedName name="_Order1" hidden="1">255</definedName>
    <definedName name="_Sort" hidden="1">'[1]Tdep(old)'!#REF!</definedName>
    <definedName name="a">[2]Sheet4!$B$7</definedName>
    <definedName name="Abstract2" hidden="1">[3]Grouping!#REF!</definedName>
    <definedName name="AC_O">#REF!</definedName>
    <definedName name="AC_S">#REF!</definedName>
    <definedName name="ad">#REF!</definedName>
    <definedName name="amount">[2]Sheet4!$B$48:$C$28606</definedName>
    <definedName name="b">[2]Sheet4!$B$9</definedName>
    <definedName name="d">[2]Sheet4!$B$11</definedName>
    <definedName name="e">[2]Sheet4!$B$13</definedName>
    <definedName name="f">[2]Sheet4!$B$15</definedName>
    <definedName name="g">[2]Sheet4!$B$17</definedName>
    <definedName name="Grouping">[4]Grouping!$A$6:$A$747</definedName>
    <definedName name="Groupingheads">[5]Grouping!$B$13:$B$791</definedName>
    <definedName name="i">[6]Sheet4!$B$21</definedName>
    <definedName name="j">[2]Sheet4!$B$23</definedName>
    <definedName name="k">[2]Sheet4!$B$25</definedName>
    <definedName name="l">[2]Sheet4!$B$27</definedName>
    <definedName name="MyGroup">[7]Grouping!$B$13:$B$846</definedName>
    <definedName name="n">[2]Sheet4!$B$31</definedName>
    <definedName name="NOTE">'[8]Sch-4 Dep:M. Value'!$A$1:$U$346</definedName>
    <definedName name="o">[2]Sheet4!$B$33</definedName>
    <definedName name="p">[2]Sheet4!$B$37</definedName>
    <definedName name="PL">[4]Grouping!$A$6:$A$747</definedName>
    <definedName name="_xlnm.Print_Area" localSheetId="1">'Depreciation Co''s Act'!$A$1:$AE$505</definedName>
    <definedName name="_xlnm.Print_Area" localSheetId="0">'FINAL DEPT'!$A$1:$L$65</definedName>
    <definedName name="_xlnm.Print_Area">#REF!</definedName>
    <definedName name="PRINT_AREA_MI">#REF!</definedName>
    <definedName name="PRINT_AREA_MI_11">#REF!</definedName>
    <definedName name="PRINT_AREA_MI_3">#REF!</definedName>
    <definedName name="PRINT_AREA_MI_8">#REF!</definedName>
    <definedName name="_xlnm.Print_Titles" localSheetId="1">'Depreciation Co''s Act'!$1:$6</definedName>
    <definedName name="profit">[9]Schdules!#REF!</definedName>
    <definedName name="q">[2]Sheet4!$B$39</definedName>
    <definedName name="s">[6]Sheet4!$B$41</definedName>
    <definedName name="sid">#REF!</definedName>
    <definedName name="t">[6]Sheet4!$B$43</definedName>
    <definedName name="TDEP">#REF!</definedName>
    <definedName name="V">[10]Group!$A$86:$H$232</definedName>
  </definedNames>
  <calcPr calcId="181029"/>
</workbook>
</file>

<file path=xl/calcChain.xml><?xml version="1.0" encoding="utf-8"?>
<calcChain xmlns="http://schemas.openxmlformats.org/spreadsheetml/2006/main">
  <c r="G305" i="4" l="1"/>
  <c r="H305" i="4"/>
  <c r="J305" i="4"/>
  <c r="K305" i="4" s="1"/>
  <c r="M305" i="4"/>
  <c r="D302" i="4" l="1"/>
  <c r="M369" i="4"/>
  <c r="M304" i="4"/>
  <c r="AF48" i="4"/>
  <c r="AF47" i="4"/>
  <c r="AF46" i="4"/>
  <c r="AF45" i="4"/>
  <c r="AF44" i="4"/>
  <c r="AF43" i="4"/>
  <c r="AF42" i="4"/>
  <c r="AF36" i="4"/>
  <c r="AF35" i="4"/>
  <c r="AF34" i="4"/>
  <c r="AF33" i="4"/>
  <c r="AF32" i="4"/>
  <c r="AF30" i="4"/>
  <c r="C49" i="12"/>
  <c r="E29" i="12"/>
  <c r="D29" i="12"/>
  <c r="D27" i="12"/>
  <c r="E23" i="12"/>
  <c r="D23" i="12"/>
  <c r="E19" i="12"/>
  <c r="E17" i="12"/>
  <c r="D17" i="12"/>
  <c r="D15" i="12"/>
  <c r="E13" i="12"/>
  <c r="D13" i="12"/>
  <c r="M302" i="4"/>
  <c r="M303" i="4"/>
  <c r="D11" i="12"/>
  <c r="D307" i="4" l="1"/>
  <c r="E15" i="12"/>
  <c r="C50" i="12"/>
  <c r="C51" i="12"/>
  <c r="G490" i="4"/>
  <c r="H490" i="4"/>
  <c r="J490" i="4"/>
  <c r="M490" i="4"/>
  <c r="G460" i="4"/>
  <c r="H460" i="4"/>
  <c r="M460" i="4"/>
  <c r="G491" i="4"/>
  <c r="H491" i="4"/>
  <c r="J491" i="4"/>
  <c r="M491" i="4"/>
  <c r="G492" i="4"/>
  <c r="H492" i="4"/>
  <c r="J492" i="4"/>
  <c r="M492" i="4"/>
  <c r="G493" i="4"/>
  <c r="H493" i="4"/>
  <c r="J493" i="4"/>
  <c r="M493" i="4"/>
  <c r="G494" i="4"/>
  <c r="H494" i="4"/>
  <c r="J494" i="4"/>
  <c r="M494" i="4"/>
  <c r="G489" i="4"/>
  <c r="H489" i="4"/>
  <c r="J489" i="4"/>
  <c r="M489" i="4"/>
  <c r="F496" i="4"/>
  <c r="P496" i="4"/>
  <c r="Z496" i="4"/>
  <c r="AA496" i="4"/>
  <c r="AB496" i="4"/>
  <c r="AC496" i="4"/>
  <c r="AD496" i="4"/>
  <c r="AE496" i="4"/>
  <c r="M110" i="4"/>
  <c r="M113" i="4"/>
  <c r="M112" i="4"/>
  <c r="M111" i="4"/>
  <c r="H21" i="4"/>
  <c r="G112" i="4"/>
  <c r="H112" i="4"/>
  <c r="J112" i="4"/>
  <c r="K112" i="4" s="1"/>
  <c r="G113" i="4"/>
  <c r="H113" i="4"/>
  <c r="J113" i="4"/>
  <c r="K113" i="4" s="1"/>
  <c r="G110" i="4"/>
  <c r="H110" i="4"/>
  <c r="J110" i="4"/>
  <c r="G111" i="4"/>
  <c r="H111" i="4"/>
  <c r="J111" i="4"/>
  <c r="E460" i="4"/>
  <c r="J460" i="4" s="1"/>
  <c r="G23" i="4"/>
  <c r="G24" i="4"/>
  <c r="G25" i="4"/>
  <c r="G26" i="4"/>
  <c r="G21" i="4"/>
  <c r="G19" i="4"/>
  <c r="M20" i="4"/>
  <c r="M19" i="4"/>
  <c r="M21" i="4"/>
  <c r="M26" i="4"/>
  <c r="M25" i="4"/>
  <c r="M24" i="4"/>
  <c r="M23" i="4"/>
  <c r="M22" i="4"/>
  <c r="J21" i="4"/>
  <c r="K21" i="4" s="1"/>
  <c r="W21" i="4" s="1"/>
  <c r="G503" i="4"/>
  <c r="AF503" i="4" s="1"/>
  <c r="J19" i="4"/>
  <c r="K19" i="4" s="1"/>
  <c r="H19" i="4"/>
  <c r="C54" i="12"/>
  <c r="C53" i="12"/>
  <c r="J165" i="4"/>
  <c r="M165" i="4"/>
  <c r="J166" i="4"/>
  <c r="M166" i="4"/>
  <c r="J164" i="4"/>
  <c r="M164" i="4"/>
  <c r="AF362" i="4"/>
  <c r="AF363" i="4"/>
  <c r="AF364" i="4"/>
  <c r="AF365" i="4"/>
  <c r="AF366" i="4"/>
  <c r="AF367" i="4"/>
  <c r="AF368" i="4"/>
  <c r="AF369" i="4"/>
  <c r="AF361" i="4"/>
  <c r="J362" i="4"/>
  <c r="K362" i="4" s="1"/>
  <c r="J363" i="4"/>
  <c r="K363" i="4" s="1"/>
  <c r="J364" i="4"/>
  <c r="K364" i="4" s="1"/>
  <c r="J365" i="4"/>
  <c r="K365" i="4" s="1"/>
  <c r="J366" i="4"/>
  <c r="K366" i="4" s="1"/>
  <c r="J367" i="4"/>
  <c r="K367" i="4" s="1"/>
  <c r="J368" i="4"/>
  <c r="K368" i="4" s="1"/>
  <c r="J369" i="4"/>
  <c r="K369" i="4" s="1"/>
  <c r="J361" i="4"/>
  <c r="K361" i="4" s="1"/>
  <c r="G475" i="4"/>
  <c r="H475" i="4"/>
  <c r="J475" i="4"/>
  <c r="M475" i="4"/>
  <c r="G476" i="4"/>
  <c r="H476" i="4"/>
  <c r="J476" i="4"/>
  <c r="M476" i="4"/>
  <c r="G477" i="4"/>
  <c r="H477" i="4"/>
  <c r="J477" i="4"/>
  <c r="M477" i="4"/>
  <c r="G478" i="4"/>
  <c r="H478" i="4"/>
  <c r="J478" i="4"/>
  <c r="M478" i="4"/>
  <c r="G479" i="4"/>
  <c r="H479" i="4"/>
  <c r="J479" i="4"/>
  <c r="M479" i="4"/>
  <c r="G480" i="4"/>
  <c r="H480" i="4"/>
  <c r="J480" i="4"/>
  <c r="M480" i="4"/>
  <c r="G481" i="4"/>
  <c r="H481" i="4"/>
  <c r="J481" i="4"/>
  <c r="M481" i="4"/>
  <c r="G482" i="4"/>
  <c r="H482" i="4"/>
  <c r="J482" i="4"/>
  <c r="M482" i="4"/>
  <c r="G483" i="4"/>
  <c r="H483" i="4"/>
  <c r="J483" i="4"/>
  <c r="M483" i="4"/>
  <c r="G484" i="4"/>
  <c r="H484" i="4"/>
  <c r="J484" i="4"/>
  <c r="M484" i="4"/>
  <c r="G485" i="4"/>
  <c r="H485" i="4"/>
  <c r="J485" i="4"/>
  <c r="M485" i="4"/>
  <c r="G486" i="4"/>
  <c r="H486" i="4"/>
  <c r="J486" i="4"/>
  <c r="M486" i="4"/>
  <c r="G487" i="4"/>
  <c r="H487" i="4"/>
  <c r="J487" i="4"/>
  <c r="M487" i="4"/>
  <c r="J488" i="4"/>
  <c r="M488" i="4"/>
  <c r="G474" i="4"/>
  <c r="H474" i="4"/>
  <c r="J474" i="4"/>
  <c r="M474" i="4"/>
  <c r="J302" i="4"/>
  <c r="K302" i="4" s="1"/>
  <c r="G302" i="4"/>
  <c r="H302" i="4"/>
  <c r="J404" i="4"/>
  <c r="K404" i="4" s="1"/>
  <c r="G404" i="4"/>
  <c r="H404" i="4"/>
  <c r="M404" i="4"/>
  <c r="J403" i="4"/>
  <c r="K403" i="4" s="1"/>
  <c r="G403" i="4"/>
  <c r="H403" i="4"/>
  <c r="M403" i="4"/>
  <c r="J402" i="4"/>
  <c r="K402" i="4" s="1"/>
  <c r="G402" i="4"/>
  <c r="H402" i="4"/>
  <c r="M402" i="4"/>
  <c r="J401" i="4"/>
  <c r="K401" i="4" s="1"/>
  <c r="G401" i="4"/>
  <c r="H401" i="4"/>
  <c r="M401" i="4"/>
  <c r="K460" i="4" l="1"/>
  <c r="V460" i="4" s="1"/>
  <c r="K490" i="4"/>
  <c r="V490" i="4" s="1"/>
  <c r="K489" i="4"/>
  <c r="V489" i="4" s="1"/>
  <c r="K494" i="4"/>
  <c r="K493" i="4"/>
  <c r="K492" i="4"/>
  <c r="V492" i="4" s="1"/>
  <c r="K491" i="4"/>
  <c r="V491" i="4" s="1"/>
  <c r="V494" i="4"/>
  <c r="V493" i="4"/>
  <c r="V113" i="4"/>
  <c r="AF113" i="4" s="1"/>
  <c r="V112" i="4"/>
  <c r="W19" i="4"/>
  <c r="K474" i="4"/>
  <c r="V474" i="4" s="1"/>
  <c r="K111" i="4"/>
  <c r="K110" i="4"/>
  <c r="X110" i="4" s="1"/>
  <c r="Y110" i="4" s="1"/>
  <c r="Z110" i="4" s="1"/>
  <c r="AA110" i="4" s="1"/>
  <c r="AB110" i="4" s="1"/>
  <c r="AC110" i="4" s="1"/>
  <c r="AD110" i="4" s="1"/>
  <c r="AE110" i="4" s="1"/>
  <c r="X113" i="4"/>
  <c r="Y113" i="4" s="1"/>
  <c r="Z113" i="4" s="1"/>
  <c r="AA113" i="4" s="1"/>
  <c r="AB113" i="4" s="1"/>
  <c r="AC113" i="4" s="1"/>
  <c r="AD113" i="4" s="1"/>
  <c r="AE113" i="4" s="1"/>
  <c r="V19" i="4"/>
  <c r="V21" i="4"/>
  <c r="K166" i="4"/>
  <c r="K165" i="4"/>
  <c r="K488" i="4"/>
  <c r="K487" i="4"/>
  <c r="K486" i="4"/>
  <c r="K485" i="4"/>
  <c r="K484" i="4"/>
  <c r="K483" i="4"/>
  <c r="K482" i="4"/>
  <c r="V482" i="4" s="1"/>
  <c r="K481" i="4"/>
  <c r="V481" i="4" s="1"/>
  <c r="K480" i="4"/>
  <c r="V487" i="4"/>
  <c r="V486" i="4"/>
  <c r="V483" i="4"/>
  <c r="V480" i="4"/>
  <c r="V485" i="4"/>
  <c r="V484" i="4"/>
  <c r="V404" i="4"/>
  <c r="K479" i="4"/>
  <c r="V479" i="4" s="1"/>
  <c r="K478" i="4"/>
  <c r="V478" i="4" s="1"/>
  <c r="K477" i="4"/>
  <c r="V477" i="4" s="1"/>
  <c r="K476" i="4"/>
  <c r="V476" i="4" s="1"/>
  <c r="K475" i="4"/>
  <c r="V475" i="4" s="1"/>
  <c r="W402" i="4"/>
  <c r="W401" i="4"/>
  <c r="W403" i="4"/>
  <c r="K164" i="4"/>
  <c r="W404" i="4"/>
  <c r="V401" i="4"/>
  <c r="V402" i="4"/>
  <c r="V403" i="4"/>
  <c r="V110" i="4" l="1"/>
  <c r="AF110" i="4" s="1"/>
  <c r="X112" i="4"/>
  <c r="Y112" i="4" s="1"/>
  <c r="Z112" i="4" s="1"/>
  <c r="AA112" i="4" s="1"/>
  <c r="AB112" i="4" s="1"/>
  <c r="AC112" i="4" s="1"/>
  <c r="AD112" i="4" s="1"/>
  <c r="AE112" i="4" s="1"/>
  <c r="AF112" i="4"/>
  <c r="V111" i="4"/>
  <c r="X111" i="4" l="1"/>
  <c r="Y111" i="4" s="1"/>
  <c r="Z111" i="4" s="1"/>
  <c r="AA111" i="4" s="1"/>
  <c r="AB111" i="4" s="1"/>
  <c r="AC111" i="4" s="1"/>
  <c r="AD111" i="4" s="1"/>
  <c r="AE111" i="4" s="1"/>
  <c r="AF111" i="4"/>
  <c r="D488" i="4"/>
  <c r="G166" i="4"/>
  <c r="H166" i="4"/>
  <c r="G165" i="4"/>
  <c r="H165" i="4"/>
  <c r="J163" i="4"/>
  <c r="G164" i="4"/>
  <c r="H164" i="4"/>
  <c r="J473" i="4"/>
  <c r="G473" i="4"/>
  <c r="H473" i="4"/>
  <c r="M473" i="4"/>
  <c r="J472" i="4"/>
  <c r="G472" i="4"/>
  <c r="H472" i="4"/>
  <c r="M472" i="4"/>
  <c r="C56" i="12" l="1"/>
  <c r="E27" i="12"/>
  <c r="V164" i="4"/>
  <c r="V165" i="4"/>
  <c r="V166" i="4"/>
  <c r="G488" i="4"/>
  <c r="H488" i="4"/>
  <c r="K473" i="4"/>
  <c r="V473" i="4" s="1"/>
  <c r="K472" i="4"/>
  <c r="V472" i="4" s="1"/>
  <c r="V488" i="4" l="1"/>
  <c r="G163" i="4"/>
  <c r="H163" i="4"/>
  <c r="M163" i="4"/>
  <c r="K163" i="4" s="1"/>
  <c r="J162" i="4"/>
  <c r="G162" i="4"/>
  <c r="H162" i="4"/>
  <c r="M162" i="4"/>
  <c r="J471" i="4"/>
  <c r="G471" i="4"/>
  <c r="H471" i="4"/>
  <c r="M471" i="4"/>
  <c r="J26" i="4"/>
  <c r="K26" i="4" s="1"/>
  <c r="H26" i="4"/>
  <c r="G364" i="4"/>
  <c r="H364" i="4"/>
  <c r="M364" i="4"/>
  <c r="G369" i="4"/>
  <c r="H369" i="4"/>
  <c r="G368" i="4"/>
  <c r="H368" i="4"/>
  <c r="M368" i="4"/>
  <c r="G367" i="4"/>
  <c r="H367" i="4"/>
  <c r="M367" i="4"/>
  <c r="G366" i="4"/>
  <c r="H366" i="4"/>
  <c r="M366" i="4"/>
  <c r="G365" i="4"/>
  <c r="H365" i="4"/>
  <c r="M365" i="4"/>
  <c r="G363" i="4"/>
  <c r="H363" i="4"/>
  <c r="M363" i="4"/>
  <c r="G362" i="4"/>
  <c r="H362" i="4"/>
  <c r="M362" i="4"/>
  <c r="G361" i="4"/>
  <c r="H361" i="4"/>
  <c r="M361" i="4"/>
  <c r="J167" i="4"/>
  <c r="G167" i="4"/>
  <c r="H167" i="4"/>
  <c r="M167" i="4"/>
  <c r="J470" i="4"/>
  <c r="G470" i="4"/>
  <c r="H470" i="4"/>
  <c r="M470" i="4"/>
  <c r="J25" i="4"/>
  <c r="K25" i="4" s="1"/>
  <c r="H25" i="4"/>
  <c r="J24" i="4"/>
  <c r="K24" i="4" s="1"/>
  <c r="H24" i="4"/>
  <c r="M15" i="12"/>
  <c r="M16" i="12" s="1"/>
  <c r="W24" i="4" l="1"/>
  <c r="W25" i="4"/>
  <c r="W26" i="4"/>
  <c r="V361" i="4"/>
  <c r="V363" i="4"/>
  <c r="V366" i="4"/>
  <c r="V368" i="4"/>
  <c r="V364" i="4"/>
  <c r="V362" i="4"/>
  <c r="V365" i="4"/>
  <c r="V367" i="4"/>
  <c r="V369" i="4"/>
  <c r="V163" i="4"/>
  <c r="K162" i="4"/>
  <c r="V162" i="4" s="1"/>
  <c r="K471" i="4"/>
  <c r="V471" i="4" s="1"/>
  <c r="V26" i="4"/>
  <c r="K167" i="4"/>
  <c r="V167" i="4" s="1"/>
  <c r="V25" i="4"/>
  <c r="K470" i="4"/>
  <c r="V470" i="4" s="1"/>
  <c r="V24" i="4"/>
  <c r="L15" i="12"/>
  <c r="L16" i="12" s="1"/>
  <c r="N15" i="12" l="1"/>
  <c r="N16" i="12" s="1"/>
  <c r="O16" i="12" s="1"/>
  <c r="J304" i="4" l="1"/>
  <c r="K304" i="4" s="1"/>
  <c r="H304" i="4"/>
  <c r="G304" i="4"/>
  <c r="J303" i="4"/>
  <c r="K303" i="4" s="1"/>
  <c r="H303" i="4"/>
  <c r="G303" i="4"/>
  <c r="C62" i="12"/>
  <c r="C48" i="12"/>
  <c r="F504" i="4"/>
  <c r="D504" i="4"/>
  <c r="W305" i="4" l="1"/>
  <c r="X305" i="4"/>
  <c r="Y305" i="4"/>
  <c r="Z305" i="4"/>
  <c r="W302" i="4"/>
  <c r="Y302" i="4"/>
  <c r="Z302" i="4"/>
  <c r="X302" i="4"/>
  <c r="Y303" i="4"/>
  <c r="X303" i="4"/>
  <c r="W303" i="4"/>
  <c r="Z304" i="4"/>
  <c r="X304" i="4"/>
  <c r="W304" i="4"/>
  <c r="Y304" i="4"/>
  <c r="Z303" i="4"/>
  <c r="M360" i="4" l="1"/>
  <c r="M359" i="4"/>
  <c r="M358" i="4"/>
  <c r="M357" i="4"/>
  <c r="M356" i="4"/>
  <c r="M355" i="4"/>
  <c r="M354" i="4"/>
  <c r="M353" i="4"/>
  <c r="M352" i="4"/>
  <c r="M351" i="4"/>
  <c r="M350" i="4"/>
  <c r="M349" i="4"/>
  <c r="M348" i="4"/>
  <c r="J360" i="4"/>
  <c r="K360" i="4" s="1"/>
  <c r="H360" i="4"/>
  <c r="G360" i="4"/>
  <c r="AF360" i="4" s="1"/>
  <c r="J359" i="4"/>
  <c r="K359" i="4" s="1"/>
  <c r="H359" i="4"/>
  <c r="AF359" i="4" s="1"/>
  <c r="G359" i="4"/>
  <c r="J358" i="4"/>
  <c r="K358" i="4" s="1"/>
  <c r="H358" i="4"/>
  <c r="AF358" i="4" s="1"/>
  <c r="G358" i="4"/>
  <c r="J357" i="4"/>
  <c r="K357" i="4" s="1"/>
  <c r="H357" i="4"/>
  <c r="AF357" i="4" s="1"/>
  <c r="G357" i="4"/>
  <c r="J356" i="4"/>
  <c r="K356" i="4" s="1"/>
  <c r="H356" i="4"/>
  <c r="AF356" i="4" s="1"/>
  <c r="G356" i="4"/>
  <c r="J355" i="4"/>
  <c r="K355" i="4" s="1"/>
  <c r="H355" i="4"/>
  <c r="AF355" i="4" s="1"/>
  <c r="G355" i="4"/>
  <c r="J354" i="4"/>
  <c r="K354" i="4" s="1"/>
  <c r="H354" i="4"/>
  <c r="AF354" i="4" s="1"/>
  <c r="G354" i="4"/>
  <c r="J353" i="4"/>
  <c r="K353" i="4" s="1"/>
  <c r="H353" i="4"/>
  <c r="AF353" i="4" s="1"/>
  <c r="G353" i="4"/>
  <c r="J352" i="4"/>
  <c r="K352" i="4" s="1"/>
  <c r="H352" i="4"/>
  <c r="AF352" i="4" s="1"/>
  <c r="G352" i="4"/>
  <c r="J351" i="4"/>
  <c r="K351" i="4" s="1"/>
  <c r="H351" i="4"/>
  <c r="AF351" i="4" s="1"/>
  <c r="G351" i="4"/>
  <c r="J350" i="4"/>
  <c r="K350" i="4" s="1"/>
  <c r="H350" i="4"/>
  <c r="AF350" i="4" s="1"/>
  <c r="G350" i="4"/>
  <c r="J349" i="4"/>
  <c r="K349" i="4" s="1"/>
  <c r="H349" i="4"/>
  <c r="AF349" i="4" s="1"/>
  <c r="G349" i="4"/>
  <c r="J348" i="4"/>
  <c r="K348" i="4" s="1"/>
  <c r="H348" i="4"/>
  <c r="AF348" i="4" s="1"/>
  <c r="G348" i="4"/>
  <c r="J161" i="4"/>
  <c r="J160" i="4"/>
  <c r="G161" i="4"/>
  <c r="H161" i="4"/>
  <c r="G160" i="4"/>
  <c r="H160" i="4"/>
  <c r="M161" i="4"/>
  <c r="M160" i="4"/>
  <c r="J23" i="4"/>
  <c r="K23" i="4" s="1"/>
  <c r="H23" i="4"/>
  <c r="J22" i="4"/>
  <c r="K22" i="4" s="1"/>
  <c r="D22" i="4"/>
  <c r="J20" i="4"/>
  <c r="K20" i="4" s="1"/>
  <c r="G20" i="4"/>
  <c r="M469" i="4"/>
  <c r="M468" i="4"/>
  <c r="M467" i="4"/>
  <c r="J469" i="4"/>
  <c r="J468" i="4"/>
  <c r="J467" i="4"/>
  <c r="G469" i="4"/>
  <c r="H469" i="4"/>
  <c r="G468" i="4"/>
  <c r="H468" i="4"/>
  <c r="G467" i="4"/>
  <c r="H467" i="4"/>
  <c r="J466" i="4"/>
  <c r="J465" i="4"/>
  <c r="J464" i="4"/>
  <c r="J463" i="4"/>
  <c r="J462" i="4"/>
  <c r="J461" i="4"/>
  <c r="J459" i="4"/>
  <c r="J458" i="4"/>
  <c r="J457" i="4"/>
  <c r="J456" i="4"/>
  <c r="J455" i="4"/>
  <c r="M466" i="4"/>
  <c r="M465" i="4"/>
  <c r="M464" i="4"/>
  <c r="M463" i="4"/>
  <c r="M462" i="4"/>
  <c r="M461" i="4"/>
  <c r="M459" i="4"/>
  <c r="M458" i="4"/>
  <c r="M457" i="4"/>
  <c r="M456" i="4"/>
  <c r="M455" i="4"/>
  <c r="H466" i="4"/>
  <c r="G466" i="4"/>
  <c r="H465" i="4"/>
  <c r="G465" i="4"/>
  <c r="H464" i="4"/>
  <c r="G464" i="4"/>
  <c r="H463" i="4"/>
  <c r="G463" i="4"/>
  <c r="H462" i="4"/>
  <c r="G462" i="4"/>
  <c r="H461" i="4"/>
  <c r="G461" i="4"/>
  <c r="H459" i="4"/>
  <c r="G459" i="4"/>
  <c r="H458" i="4"/>
  <c r="G458" i="4"/>
  <c r="H457" i="4"/>
  <c r="G457" i="4"/>
  <c r="H456" i="4"/>
  <c r="G456" i="4"/>
  <c r="H455" i="4"/>
  <c r="G455" i="4"/>
  <c r="M400" i="4"/>
  <c r="M399" i="4"/>
  <c r="M398" i="4"/>
  <c r="M397" i="4"/>
  <c r="M396" i="4"/>
  <c r="M395" i="4"/>
  <c r="M394" i="4"/>
  <c r="M393" i="4"/>
  <c r="M392" i="4"/>
  <c r="M391" i="4"/>
  <c r="J400" i="4"/>
  <c r="K400" i="4" s="1"/>
  <c r="J399" i="4"/>
  <c r="K399" i="4" s="1"/>
  <c r="J398" i="4"/>
  <c r="K398" i="4" s="1"/>
  <c r="J397" i="4"/>
  <c r="K397" i="4" s="1"/>
  <c r="J396" i="4"/>
  <c r="K396" i="4" s="1"/>
  <c r="J395" i="4"/>
  <c r="K395" i="4" s="1"/>
  <c r="J394" i="4"/>
  <c r="K394" i="4" s="1"/>
  <c r="J393" i="4"/>
  <c r="K393" i="4" s="1"/>
  <c r="J392" i="4"/>
  <c r="K392" i="4" s="1"/>
  <c r="J391" i="4"/>
  <c r="K391" i="4" s="1"/>
  <c r="J390" i="4"/>
  <c r="K390" i="4" s="1"/>
  <c r="H400" i="4"/>
  <c r="H399" i="4"/>
  <c r="H398" i="4"/>
  <c r="H397" i="4"/>
  <c r="H396" i="4"/>
  <c r="H395" i="4"/>
  <c r="H394" i="4"/>
  <c r="H393" i="4"/>
  <c r="H392" i="4"/>
  <c r="H391" i="4"/>
  <c r="G400" i="4"/>
  <c r="G399" i="4"/>
  <c r="G398" i="4"/>
  <c r="G397" i="4"/>
  <c r="G396" i="4"/>
  <c r="G395" i="4"/>
  <c r="G394" i="4"/>
  <c r="G393" i="4"/>
  <c r="G392" i="4"/>
  <c r="G391" i="4"/>
  <c r="G390" i="4"/>
  <c r="M301" i="4"/>
  <c r="AF301" i="4"/>
  <c r="H301" i="4"/>
  <c r="G301" i="4"/>
  <c r="J301" i="4"/>
  <c r="K301" i="4" s="1"/>
  <c r="D19" i="12" l="1"/>
  <c r="C52" i="12"/>
  <c r="V305" i="4"/>
  <c r="G22" i="4"/>
  <c r="W23" i="4"/>
  <c r="V304" i="4"/>
  <c r="V302" i="4"/>
  <c r="V303" i="4"/>
  <c r="K468" i="4"/>
  <c r="V468" i="4" s="1"/>
  <c r="K469" i="4"/>
  <c r="V469" i="4" s="1"/>
  <c r="Z301" i="4"/>
  <c r="V301" i="4"/>
  <c r="Y301" i="4"/>
  <c r="X301" i="4"/>
  <c r="W301" i="4"/>
  <c r="V351" i="4"/>
  <c r="V348" i="4"/>
  <c r="V356" i="4"/>
  <c r="V354" i="4"/>
  <c r="V352" i="4"/>
  <c r="V350" i="4"/>
  <c r="V358" i="4"/>
  <c r="V359" i="4"/>
  <c r="V355" i="4"/>
  <c r="V353" i="4"/>
  <c r="V349" i="4"/>
  <c r="V357" i="4"/>
  <c r="V360" i="4"/>
  <c r="K160" i="4"/>
  <c r="V160" i="4" s="1"/>
  <c r="K161" i="4"/>
  <c r="V161" i="4" s="1"/>
  <c r="K462" i="4"/>
  <c r="V462" i="4" s="1"/>
  <c r="K463" i="4"/>
  <c r="V463" i="4" s="1"/>
  <c r="K457" i="4"/>
  <c r="V457" i="4" s="1"/>
  <c r="K459" i="4"/>
  <c r="V459" i="4" s="1"/>
  <c r="W392" i="4"/>
  <c r="W396" i="4"/>
  <c r="W400" i="4"/>
  <c r="K464" i="4"/>
  <c r="V464" i="4" s="1"/>
  <c r="K456" i="4"/>
  <c r="V456" i="4" s="1"/>
  <c r="K458" i="4"/>
  <c r="V458" i="4" s="1"/>
  <c r="V23" i="4"/>
  <c r="W394" i="4"/>
  <c r="W398" i="4"/>
  <c r="K461" i="4"/>
  <c r="V461" i="4" s="1"/>
  <c r="K465" i="4"/>
  <c r="V465" i="4" s="1"/>
  <c r="W391" i="4"/>
  <c r="W395" i="4"/>
  <c r="W399" i="4"/>
  <c r="W393" i="4"/>
  <c r="W397" i="4"/>
  <c r="K455" i="4"/>
  <c r="V455" i="4" s="1"/>
  <c r="K466" i="4"/>
  <c r="V466" i="4" s="1"/>
  <c r="H22" i="4"/>
  <c r="V22" i="4" s="1"/>
  <c r="K467" i="4"/>
  <c r="V467" i="4" s="1"/>
  <c r="V399" i="4"/>
  <c r="V400" i="4"/>
  <c r="V391" i="4"/>
  <c r="V395" i="4"/>
  <c r="V392" i="4"/>
  <c r="V396" i="4"/>
  <c r="V397" i="4"/>
  <c r="V394" i="4"/>
  <c r="V398" i="4"/>
  <c r="I34" i="12"/>
  <c r="G34" i="12"/>
  <c r="C34" i="12"/>
  <c r="B34" i="12"/>
  <c r="W22" i="4" l="1"/>
  <c r="V393" i="4"/>
  <c r="G298" i="4"/>
  <c r="AF119" i="4"/>
  <c r="D390" i="4"/>
  <c r="M347" i="4" l="1"/>
  <c r="M346" i="4"/>
  <c r="M345" i="4"/>
  <c r="M344" i="4"/>
  <c r="M343" i="4"/>
  <c r="M342" i="4"/>
  <c r="M341" i="4"/>
  <c r="J347" i="4"/>
  <c r="K347" i="4" s="1"/>
  <c r="J346" i="4"/>
  <c r="J345" i="4"/>
  <c r="K345" i="4" s="1"/>
  <c r="J344" i="4"/>
  <c r="K344" i="4" s="1"/>
  <c r="J343" i="4"/>
  <c r="K343" i="4" s="1"/>
  <c r="J342" i="4"/>
  <c r="K342" i="4" s="1"/>
  <c r="J341" i="4"/>
  <c r="K341" i="4" s="1"/>
  <c r="H347" i="4"/>
  <c r="G347" i="4"/>
  <c r="K346" i="4"/>
  <c r="H346" i="4"/>
  <c r="G346" i="4"/>
  <c r="H345" i="4"/>
  <c r="G345" i="4"/>
  <c r="H344" i="4"/>
  <c r="G344" i="4"/>
  <c r="H343" i="4"/>
  <c r="G343" i="4"/>
  <c r="H342" i="4"/>
  <c r="G342" i="4"/>
  <c r="H341" i="4"/>
  <c r="G341" i="4"/>
  <c r="V342" i="4" l="1"/>
  <c r="V347" i="4"/>
  <c r="V344" i="4"/>
  <c r="V346" i="4"/>
  <c r="V341" i="4"/>
  <c r="V343" i="4"/>
  <c r="V345" i="4"/>
  <c r="U345" i="4"/>
  <c r="AF345" i="4" s="1"/>
  <c r="U342" i="4"/>
  <c r="AF342" i="4" s="1"/>
  <c r="U346" i="4"/>
  <c r="AF346" i="4" s="1"/>
  <c r="U341" i="4"/>
  <c r="AF341" i="4" s="1"/>
  <c r="U344" i="4"/>
  <c r="AF344" i="4" s="1"/>
  <c r="U347" i="4"/>
  <c r="AF347" i="4" s="1"/>
  <c r="U343" i="4"/>
  <c r="AF343" i="4" s="1"/>
  <c r="G454" i="4" l="1"/>
  <c r="H454" i="4"/>
  <c r="J454" i="4"/>
  <c r="K454" i="4" s="1"/>
  <c r="M454" i="4"/>
  <c r="G453" i="4"/>
  <c r="H453" i="4"/>
  <c r="J453" i="4"/>
  <c r="K453" i="4" s="1"/>
  <c r="M453" i="4"/>
  <c r="G452" i="4"/>
  <c r="H452" i="4"/>
  <c r="J452" i="4"/>
  <c r="K452" i="4" s="1"/>
  <c r="M452" i="4"/>
  <c r="U453" i="4" l="1"/>
  <c r="AF453" i="4" s="1"/>
  <c r="V454" i="4"/>
  <c r="V453" i="4"/>
  <c r="V452" i="4"/>
  <c r="U452" i="4"/>
  <c r="AF452" i="4" s="1"/>
  <c r="U454" i="4"/>
  <c r="AF454" i="4" s="1"/>
  <c r="E300" i="4" l="1"/>
  <c r="E299" i="4"/>
  <c r="J29" i="12" l="1"/>
  <c r="J25" i="12"/>
  <c r="J21" i="12"/>
  <c r="J19" i="12"/>
  <c r="G451" i="4" l="1"/>
  <c r="H451" i="4"/>
  <c r="J451" i="4"/>
  <c r="K451" i="4" s="1"/>
  <c r="M451" i="4"/>
  <c r="G450" i="4"/>
  <c r="H450" i="4"/>
  <c r="J450" i="4"/>
  <c r="K450" i="4" s="1"/>
  <c r="M450" i="4"/>
  <c r="E340" i="4"/>
  <c r="E384" i="4"/>
  <c r="M449" i="4"/>
  <c r="M448" i="4"/>
  <c r="M447" i="4"/>
  <c r="M446" i="4"/>
  <c r="M445" i="4"/>
  <c r="M444" i="4"/>
  <c r="M443" i="4"/>
  <c r="M442" i="4"/>
  <c r="M441" i="4"/>
  <c r="M440" i="4"/>
  <c r="M439" i="4"/>
  <c r="M438" i="4"/>
  <c r="M437" i="4"/>
  <c r="AF460" i="4"/>
  <c r="AF410" i="4"/>
  <c r="AF408" i="4"/>
  <c r="V450" i="4" l="1"/>
  <c r="V451" i="4"/>
  <c r="U450" i="4"/>
  <c r="AF450" i="4" s="1"/>
  <c r="U451" i="4"/>
  <c r="AF451" i="4" s="1"/>
  <c r="J27" i="12"/>
  <c r="AF381" i="4"/>
  <c r="AF378" i="4"/>
  <c r="AF376" i="4"/>
  <c r="J23" i="12"/>
  <c r="AF332" i="4" l="1"/>
  <c r="AF331" i="4"/>
  <c r="AF330" i="4"/>
  <c r="AF329" i="4"/>
  <c r="AF328" i="4"/>
  <c r="AF326" i="4"/>
  <c r="AF322" i="4"/>
  <c r="AF321" i="4"/>
  <c r="AF312" i="4"/>
  <c r="AF311" i="4"/>
  <c r="AF310" i="4"/>
  <c r="J300" i="4"/>
  <c r="J299" i="4"/>
  <c r="J298" i="4"/>
  <c r="AF265" i="4"/>
  <c r="AF150" i="4"/>
  <c r="AF149" i="4"/>
  <c r="AF148" i="4"/>
  <c r="AF145" i="4"/>
  <c r="AF144" i="4"/>
  <c r="AF143" i="4"/>
  <c r="AF142" i="4"/>
  <c r="AF139" i="4"/>
  <c r="AF135" i="4"/>
  <c r="AF133" i="4"/>
  <c r="AF132" i="4"/>
  <c r="AF131" i="4"/>
  <c r="AF130" i="4"/>
  <c r="AF128" i="4"/>
  <c r="AF126" i="4"/>
  <c r="AF123" i="4"/>
  <c r="K300" i="4" l="1"/>
  <c r="G300" i="4"/>
  <c r="H300" i="4"/>
  <c r="AD301" i="4" l="1"/>
  <c r="AE301" i="4"/>
  <c r="AC301" i="4"/>
  <c r="AB301" i="4"/>
  <c r="AA301" i="4"/>
  <c r="J15" i="12"/>
  <c r="E34" i="12"/>
  <c r="X300" i="4"/>
  <c r="AB300" i="4"/>
  <c r="V300" i="4"/>
  <c r="Z300" i="4"/>
  <c r="AD300" i="4"/>
  <c r="W300" i="4"/>
  <c r="AA300" i="4"/>
  <c r="AE300" i="4"/>
  <c r="U300" i="4"/>
  <c r="Y300" i="4"/>
  <c r="AC300" i="4"/>
  <c r="G299" i="4"/>
  <c r="K299" i="4"/>
  <c r="H299" i="4"/>
  <c r="AD299" i="4" l="1"/>
  <c r="AF300" i="4"/>
  <c r="AE299" i="4"/>
  <c r="X299" i="4"/>
  <c r="AB299" i="4"/>
  <c r="V299" i="4"/>
  <c r="Y299" i="4"/>
  <c r="AC299" i="4"/>
  <c r="Z299" i="4"/>
  <c r="W299" i="4"/>
  <c r="AA299" i="4"/>
  <c r="U299" i="4"/>
  <c r="AF299" i="4" s="1"/>
  <c r="D15" i="10" l="1"/>
  <c r="D14" i="10"/>
  <c r="D12" i="10"/>
  <c r="D11" i="10"/>
  <c r="J449" i="4" l="1"/>
  <c r="K449" i="4" s="1"/>
  <c r="J448" i="4"/>
  <c r="K448" i="4" s="1"/>
  <c r="J447" i="4"/>
  <c r="K447" i="4" s="1"/>
  <c r="H449" i="4"/>
  <c r="H448" i="4"/>
  <c r="H447" i="4"/>
  <c r="G436" i="4"/>
  <c r="G435" i="4"/>
  <c r="G434" i="4"/>
  <c r="G433" i="4"/>
  <c r="G432" i="4"/>
  <c r="G431" i="4"/>
  <c r="G430" i="4"/>
  <c r="G429" i="4"/>
  <c r="G428" i="4"/>
  <c r="G427" i="4"/>
  <c r="G426" i="4"/>
  <c r="J446" i="4"/>
  <c r="K446" i="4" s="1"/>
  <c r="H446" i="4"/>
  <c r="J445" i="4"/>
  <c r="K445" i="4" s="1"/>
  <c r="H445" i="4"/>
  <c r="J444" i="4"/>
  <c r="K444" i="4" s="1"/>
  <c r="H444" i="4"/>
  <c r="J443" i="4"/>
  <c r="K443" i="4" s="1"/>
  <c r="H443" i="4"/>
  <c r="J442" i="4"/>
  <c r="K442" i="4" s="1"/>
  <c r="H442" i="4"/>
  <c r="J441" i="4"/>
  <c r="K441" i="4" s="1"/>
  <c r="H441" i="4"/>
  <c r="J440" i="4"/>
  <c r="K440" i="4" s="1"/>
  <c r="H440" i="4"/>
  <c r="J439" i="4"/>
  <c r="K439" i="4" s="1"/>
  <c r="H439" i="4"/>
  <c r="J438" i="4"/>
  <c r="K438" i="4" s="1"/>
  <c r="H438" i="4"/>
  <c r="J437" i="4"/>
  <c r="K437" i="4" s="1"/>
  <c r="H437" i="4"/>
  <c r="AE405" i="4"/>
  <c r="AD405" i="4"/>
  <c r="AC405" i="4"/>
  <c r="AB405" i="4"/>
  <c r="F405" i="4"/>
  <c r="J389" i="4"/>
  <c r="K389" i="4" s="1"/>
  <c r="J388" i="4"/>
  <c r="K388" i="4" s="1"/>
  <c r="J387" i="4"/>
  <c r="K387" i="4" s="1"/>
  <c r="J386" i="4"/>
  <c r="K386" i="4" s="1"/>
  <c r="J385" i="4"/>
  <c r="K385" i="4" s="1"/>
  <c r="H389" i="4"/>
  <c r="M389" i="4"/>
  <c r="H390" i="4"/>
  <c r="H388" i="4"/>
  <c r="H387" i="4"/>
  <c r="H386" i="4"/>
  <c r="M390" i="4"/>
  <c r="M388" i="4"/>
  <c r="M387" i="4"/>
  <c r="M386" i="4"/>
  <c r="M385" i="4"/>
  <c r="H385" i="4"/>
  <c r="H298" i="4"/>
  <c r="K298" i="4"/>
  <c r="G159" i="4"/>
  <c r="G158" i="4"/>
  <c r="AE168" i="4"/>
  <c r="AD168" i="4"/>
  <c r="AC168" i="4"/>
  <c r="AB168" i="4"/>
  <c r="AA168" i="4"/>
  <c r="Z168" i="4"/>
  <c r="Y168" i="4"/>
  <c r="X168" i="4"/>
  <c r="W168" i="4"/>
  <c r="M158" i="4"/>
  <c r="M159" i="4"/>
  <c r="H159" i="4"/>
  <c r="H158" i="4"/>
  <c r="J159" i="4"/>
  <c r="K159" i="4" s="1"/>
  <c r="J158" i="4"/>
  <c r="K158" i="4" s="1"/>
  <c r="G53" i="4"/>
  <c r="AE29" i="4"/>
  <c r="AD29" i="4"/>
  <c r="AA29" i="4"/>
  <c r="Z29" i="4"/>
  <c r="AC29" i="4"/>
  <c r="AB29" i="4"/>
  <c r="G18" i="4"/>
  <c r="W388" i="4" l="1"/>
  <c r="V388" i="4"/>
  <c r="W386" i="4"/>
  <c r="V386" i="4"/>
  <c r="W385" i="4"/>
  <c r="V385" i="4"/>
  <c r="W390" i="4"/>
  <c r="V390" i="4"/>
  <c r="W387" i="4"/>
  <c r="V387" i="4"/>
  <c r="W389" i="4"/>
  <c r="V389" i="4"/>
  <c r="U387" i="4"/>
  <c r="AF387" i="4" s="1"/>
  <c r="U158" i="4"/>
  <c r="AF158" i="4" s="1"/>
  <c r="V158" i="4"/>
  <c r="V159" i="4"/>
  <c r="V449" i="4"/>
  <c r="V448" i="4"/>
  <c r="V437" i="4"/>
  <c r="V439" i="4"/>
  <c r="V441" i="4"/>
  <c r="V443" i="4"/>
  <c r="V445" i="4"/>
  <c r="V438" i="4"/>
  <c r="U440" i="4"/>
  <c r="AF440" i="4" s="1"/>
  <c r="V440" i="4"/>
  <c r="V442" i="4"/>
  <c r="U444" i="4"/>
  <c r="AF444" i="4" s="1"/>
  <c r="V444" i="4"/>
  <c r="V446" i="4"/>
  <c r="V447" i="4"/>
  <c r="U447" i="4"/>
  <c r="AF447" i="4" s="1"/>
  <c r="AD298" i="4"/>
  <c r="Z298" i="4"/>
  <c r="Y298" i="4"/>
  <c r="AA298" i="4"/>
  <c r="AB298" i="4"/>
  <c r="AE298" i="4"/>
  <c r="AC298" i="4"/>
  <c r="AH298" i="4"/>
  <c r="V298" i="4"/>
  <c r="W298" i="4"/>
  <c r="X298" i="4"/>
  <c r="U448" i="4"/>
  <c r="AF448" i="4" s="1"/>
  <c r="U449" i="4"/>
  <c r="AF449" i="4" s="1"/>
  <c r="U437" i="4"/>
  <c r="U443" i="4"/>
  <c r="AF443" i="4" s="1"/>
  <c r="U439" i="4"/>
  <c r="AF439" i="4" s="1"/>
  <c r="U438" i="4"/>
  <c r="AF438" i="4" s="1"/>
  <c r="U442" i="4"/>
  <c r="AF442" i="4" s="1"/>
  <c r="U446" i="4"/>
  <c r="AF446" i="4" s="1"/>
  <c r="U441" i="4"/>
  <c r="AF441" i="4" s="1"/>
  <c r="U445" i="4"/>
  <c r="AF445" i="4" s="1"/>
  <c r="U389" i="4"/>
  <c r="AF389" i="4" s="1"/>
  <c r="U390" i="4"/>
  <c r="AF390" i="4" s="1"/>
  <c r="U385" i="4"/>
  <c r="AF385" i="4" s="1"/>
  <c r="U159" i="4"/>
  <c r="AF159" i="4" s="1"/>
  <c r="U298" i="4"/>
  <c r="AF298" i="4" s="1"/>
  <c r="J31" i="12"/>
  <c r="U388" i="4" l="1"/>
  <c r="AF388" i="4" s="1"/>
  <c r="U386" i="4"/>
  <c r="AF386" i="4" s="1"/>
  <c r="AF437" i="4"/>
  <c r="F56" i="4"/>
  <c r="E20" i="14"/>
  <c r="E19" i="14"/>
  <c r="E14" i="14"/>
  <c r="E13" i="14"/>
  <c r="E12" i="14"/>
  <c r="E11" i="14"/>
  <c r="E10" i="14"/>
  <c r="E9" i="14"/>
  <c r="E8" i="14"/>
  <c r="E7" i="14"/>
  <c r="E6" i="14"/>
  <c r="E5" i="14"/>
  <c r="E4" i="14"/>
  <c r="M436" i="4" l="1"/>
  <c r="M435" i="4"/>
  <c r="M434" i="4"/>
  <c r="M433" i="4"/>
  <c r="M432" i="4"/>
  <c r="M431" i="4"/>
  <c r="M430" i="4"/>
  <c r="M429" i="4"/>
  <c r="M428" i="4"/>
  <c r="M427" i="4"/>
  <c r="M426" i="4"/>
  <c r="J436" i="4"/>
  <c r="J435" i="4"/>
  <c r="J434" i="4"/>
  <c r="J433" i="4"/>
  <c r="J432" i="4"/>
  <c r="J431" i="4"/>
  <c r="J430" i="4"/>
  <c r="J429" i="4"/>
  <c r="J428" i="4"/>
  <c r="J427" i="4"/>
  <c r="J426" i="4"/>
  <c r="H426" i="4"/>
  <c r="H436" i="4"/>
  <c r="H435" i="4"/>
  <c r="H434" i="4"/>
  <c r="H433" i="4"/>
  <c r="H432" i="4"/>
  <c r="H431" i="4"/>
  <c r="H430" i="4"/>
  <c r="H429" i="4"/>
  <c r="H428" i="4"/>
  <c r="H427" i="4"/>
  <c r="J53" i="4"/>
  <c r="K53" i="4" s="1"/>
  <c r="H53" i="4"/>
  <c r="F20" i="14"/>
  <c r="F19" i="14"/>
  <c r="F14" i="14"/>
  <c r="F13" i="14"/>
  <c r="F12" i="14"/>
  <c r="F11" i="14"/>
  <c r="F10" i="14"/>
  <c r="F9" i="14"/>
  <c r="F8" i="14"/>
  <c r="F7" i="14"/>
  <c r="F6" i="14"/>
  <c r="F5" i="14"/>
  <c r="F4" i="14"/>
  <c r="S29" i="4"/>
  <c r="J18" i="4"/>
  <c r="K18" i="4" s="1"/>
  <c r="H18" i="4"/>
  <c r="H20" i="4"/>
  <c r="V20" i="4" l="1"/>
  <c r="W20" i="4"/>
  <c r="X18" i="4"/>
  <c r="X29" i="4" s="1"/>
  <c r="V18" i="4"/>
  <c r="W18" i="4"/>
  <c r="U18" i="4"/>
  <c r="U29" i="4" s="1"/>
  <c r="V53" i="4"/>
  <c r="X53" i="4"/>
  <c r="W53" i="4"/>
  <c r="U53" i="4"/>
  <c r="K429" i="4"/>
  <c r="V429" i="4" s="1"/>
  <c r="K426" i="4"/>
  <c r="T426" i="4" s="1"/>
  <c r="K434" i="4"/>
  <c r="V434" i="4" s="1"/>
  <c r="K427" i="4"/>
  <c r="T427" i="4" s="1"/>
  <c r="K431" i="4"/>
  <c r="T431" i="4" s="1"/>
  <c r="K435" i="4"/>
  <c r="V435" i="4" s="1"/>
  <c r="K433" i="4"/>
  <c r="T433" i="4" s="1"/>
  <c r="K430" i="4"/>
  <c r="V430" i="4" s="1"/>
  <c r="K428" i="4"/>
  <c r="U428" i="4" s="1"/>
  <c r="K432" i="4"/>
  <c r="U432" i="4" s="1"/>
  <c r="K436" i="4"/>
  <c r="T436" i="4" s="1"/>
  <c r="T18" i="4"/>
  <c r="T53" i="4"/>
  <c r="AF53" i="4" s="1"/>
  <c r="W29" i="4" l="1"/>
  <c r="V29" i="4"/>
  <c r="G52" i="12" s="1"/>
  <c r="U436" i="4"/>
  <c r="AF436" i="4" s="1"/>
  <c r="T434" i="4"/>
  <c r="T435" i="4"/>
  <c r="Y53" i="4"/>
  <c r="T430" i="4"/>
  <c r="AF18" i="4"/>
  <c r="U435" i="4"/>
  <c r="Y18" i="4"/>
  <c r="Y29" i="4" s="1"/>
  <c r="U430" i="4"/>
  <c r="AF430" i="4" s="1"/>
  <c r="U433" i="4"/>
  <c r="AF433" i="4" s="1"/>
  <c r="U429" i="4"/>
  <c r="AH53" i="4"/>
  <c r="T29" i="4"/>
  <c r="U426" i="4"/>
  <c r="AF426" i="4" s="1"/>
  <c r="V426" i="4"/>
  <c r="T429" i="4"/>
  <c r="U427" i="4"/>
  <c r="AF427" i="4" s="1"/>
  <c r="V428" i="4"/>
  <c r="V432" i="4"/>
  <c r="V433" i="4"/>
  <c r="V431" i="4"/>
  <c r="V427" i="4"/>
  <c r="V436" i="4"/>
  <c r="U434" i="4"/>
  <c r="F8" i="10"/>
  <c r="T432" i="4"/>
  <c r="AF432" i="4" s="1"/>
  <c r="T428" i="4"/>
  <c r="AF428" i="4" s="1"/>
  <c r="U431" i="4"/>
  <c r="AF431" i="4" s="1"/>
  <c r="J13" i="12"/>
  <c r="AF434" i="4" l="1"/>
  <c r="AF435" i="4"/>
  <c r="AF429" i="4"/>
  <c r="AH18" i="4"/>
  <c r="G4" i="14"/>
  <c r="G12" i="14"/>
  <c r="G5" i="14"/>
  <c r="G13" i="14"/>
  <c r="G6" i="14"/>
  <c r="G10" i="14"/>
  <c r="G14" i="14"/>
  <c r="G8" i="14"/>
  <c r="G9" i="14"/>
  <c r="G7" i="14"/>
  <c r="G11" i="14"/>
  <c r="H20" i="14"/>
  <c r="I20" i="14" s="1"/>
  <c r="H14" i="14" l="1"/>
  <c r="H13" i="14"/>
  <c r="H12" i="14"/>
  <c r="H11" i="14"/>
  <c r="H10" i="14"/>
  <c r="H9" i="14"/>
  <c r="H8" i="14"/>
  <c r="H7" i="14"/>
  <c r="H6" i="14"/>
  <c r="H19" i="14"/>
  <c r="H5" i="14"/>
  <c r="H4" i="14"/>
  <c r="H16" i="14" l="1"/>
  <c r="E16" i="14" l="1"/>
  <c r="I14" i="14"/>
  <c r="I13" i="14"/>
  <c r="I12" i="14"/>
  <c r="I11" i="14"/>
  <c r="I10" i="14"/>
  <c r="I9" i="14"/>
  <c r="I8" i="14"/>
  <c r="I7" i="14"/>
  <c r="I6" i="14"/>
  <c r="I19" i="14"/>
  <c r="I5" i="14"/>
  <c r="I4" i="14"/>
  <c r="I16" i="14" l="1"/>
  <c r="F31" i="12" l="1"/>
  <c r="K31" i="12" s="1"/>
  <c r="F19" i="12"/>
  <c r="F21" i="12"/>
  <c r="F29" i="12"/>
  <c r="F23" i="12"/>
  <c r="F25" i="12"/>
  <c r="H16" i="10"/>
  <c r="K29" i="12" l="1"/>
  <c r="K23" i="12"/>
  <c r="K25" i="12"/>
  <c r="K19" i="12"/>
  <c r="F27" i="12"/>
  <c r="K27" i="12" s="1"/>
  <c r="K21" i="12"/>
  <c r="D17" i="10"/>
  <c r="I59" i="12"/>
  <c r="H59" i="12"/>
  <c r="F15" i="12"/>
  <c r="F13" i="12"/>
  <c r="F11" i="12"/>
  <c r="K11" i="12" l="1"/>
  <c r="K13" i="12"/>
  <c r="K15" i="12"/>
  <c r="D59" i="12"/>
  <c r="G425" i="4" l="1"/>
  <c r="G424" i="4"/>
  <c r="G423" i="4"/>
  <c r="G422" i="4"/>
  <c r="G421" i="4"/>
  <c r="G420" i="4"/>
  <c r="G419" i="4"/>
  <c r="G418" i="4"/>
  <c r="J425" i="4"/>
  <c r="J424" i="4"/>
  <c r="J423" i="4"/>
  <c r="J422" i="4"/>
  <c r="J421" i="4"/>
  <c r="J420" i="4"/>
  <c r="J419" i="4"/>
  <c r="H425" i="4"/>
  <c r="H424" i="4"/>
  <c r="H423" i="4"/>
  <c r="H422" i="4"/>
  <c r="H421" i="4"/>
  <c r="H420" i="4"/>
  <c r="H419" i="4"/>
  <c r="H418" i="4"/>
  <c r="J418" i="4"/>
  <c r="H409" i="4"/>
  <c r="J384" i="4"/>
  <c r="K384" i="4" s="1"/>
  <c r="G384" i="4"/>
  <c r="H384" i="4"/>
  <c r="J340" i="4"/>
  <c r="K340" i="4" s="1"/>
  <c r="G340" i="4"/>
  <c r="H340" i="4"/>
  <c r="G297" i="4"/>
  <c r="H297" i="4"/>
  <c r="J297" i="4"/>
  <c r="K297" i="4" s="1"/>
  <c r="J52" i="4"/>
  <c r="K52" i="4" s="1"/>
  <c r="H52" i="4"/>
  <c r="G52" i="4"/>
  <c r="AE56" i="4"/>
  <c r="AD56" i="4"/>
  <c r="AC56" i="4"/>
  <c r="AB56" i="4"/>
  <c r="AA56" i="4"/>
  <c r="Z56" i="4"/>
  <c r="Y56" i="4"/>
  <c r="X362" i="4" l="1"/>
  <c r="Z362" i="4"/>
  <c r="AB362" i="4"/>
  <c r="X363" i="4"/>
  <c r="Z363" i="4"/>
  <c r="AB363" i="4"/>
  <c r="X364" i="4"/>
  <c r="Z364" i="4"/>
  <c r="AB364" i="4"/>
  <c r="X365" i="4"/>
  <c r="Z365" i="4"/>
  <c r="AB365" i="4"/>
  <c r="X366" i="4"/>
  <c r="Z366" i="4"/>
  <c r="AB366" i="4"/>
  <c r="X367" i="4"/>
  <c r="Z367" i="4"/>
  <c r="AB367" i="4"/>
  <c r="X368" i="4"/>
  <c r="Z368" i="4"/>
  <c r="AB368" i="4"/>
  <c r="X369" i="4"/>
  <c r="Z369" i="4"/>
  <c r="AB369" i="4"/>
  <c r="X361" i="4"/>
  <c r="Z361" i="4"/>
  <c r="AB361" i="4"/>
  <c r="Y362" i="4"/>
  <c r="Y363" i="4"/>
  <c r="Y364" i="4"/>
  <c r="Y365" i="4"/>
  <c r="Y366" i="4"/>
  <c r="Y367" i="4"/>
  <c r="Y368" i="4"/>
  <c r="Y369" i="4"/>
  <c r="Y361" i="4"/>
  <c r="AA362" i="4"/>
  <c r="AA363" i="4"/>
  <c r="AA364" i="4"/>
  <c r="AA365" i="4"/>
  <c r="AA366" i="4"/>
  <c r="AA367" i="4"/>
  <c r="AA368" i="4"/>
  <c r="AA369" i="4"/>
  <c r="AA361" i="4"/>
  <c r="V340" i="4"/>
  <c r="Z360" i="4"/>
  <c r="AA359" i="4"/>
  <c r="Y358" i="4"/>
  <c r="AA357" i="4"/>
  <c r="Y356" i="4"/>
  <c r="AA355" i="4"/>
  <c r="Y354" i="4"/>
  <c r="AA353" i="4"/>
  <c r="Y352" i="4"/>
  <c r="AA351" i="4"/>
  <c r="Y350" i="4"/>
  <c r="AA349" i="4"/>
  <c r="Y348" i="4"/>
  <c r="AB360" i="4"/>
  <c r="AA356" i="4"/>
  <c r="Y349" i="4"/>
  <c r="AA348" i="4"/>
  <c r="AA360" i="4"/>
  <c r="AB359" i="4"/>
  <c r="Z356" i="4"/>
  <c r="AB355" i="4"/>
  <c r="X355" i="4"/>
  <c r="Z350" i="4"/>
  <c r="X349" i="4"/>
  <c r="Z348" i="4"/>
  <c r="Y360" i="4"/>
  <c r="Z359" i="4"/>
  <c r="AB358" i="4"/>
  <c r="X358" i="4"/>
  <c r="Z357" i="4"/>
  <c r="AB356" i="4"/>
  <c r="X356" i="4"/>
  <c r="Z355" i="4"/>
  <c r="AB354" i="4"/>
  <c r="X354" i="4"/>
  <c r="Z353" i="4"/>
  <c r="AB352" i="4"/>
  <c r="X352" i="4"/>
  <c r="Z351" i="4"/>
  <c r="AB350" i="4"/>
  <c r="X350" i="4"/>
  <c r="Z349" i="4"/>
  <c r="AB348" i="4"/>
  <c r="X348" i="4"/>
  <c r="X360" i="4"/>
  <c r="Y359" i="4"/>
  <c r="AA358" i="4"/>
  <c r="Y357" i="4"/>
  <c r="Y355" i="4"/>
  <c r="AA354" i="4"/>
  <c r="Y353" i="4"/>
  <c r="AA352" i="4"/>
  <c r="Y351" i="4"/>
  <c r="AA350" i="4"/>
  <c r="X359" i="4"/>
  <c r="Z358" i="4"/>
  <c r="AB357" i="4"/>
  <c r="X357" i="4"/>
  <c r="Z354" i="4"/>
  <c r="AB353" i="4"/>
  <c r="X353" i="4"/>
  <c r="Z352" i="4"/>
  <c r="AB351" i="4"/>
  <c r="X351" i="4"/>
  <c r="AB349" i="4"/>
  <c r="W52" i="4"/>
  <c r="V52" i="4"/>
  <c r="U52" i="4"/>
  <c r="U340" i="4"/>
  <c r="AB347" i="4"/>
  <c r="X347" i="4"/>
  <c r="AB346" i="4"/>
  <c r="X346" i="4"/>
  <c r="AB345" i="4"/>
  <c r="X345" i="4"/>
  <c r="AB344" i="4"/>
  <c r="X344" i="4"/>
  <c r="AB343" i="4"/>
  <c r="X343" i="4"/>
  <c r="AB342" i="4"/>
  <c r="X342" i="4"/>
  <c r="AB341" i="4"/>
  <c r="X341" i="4"/>
  <c r="AA347" i="4"/>
  <c r="AA346" i="4"/>
  <c r="AA345" i="4"/>
  <c r="AA344" i="4"/>
  <c r="AA343" i="4"/>
  <c r="AA342" i="4"/>
  <c r="AA341" i="4"/>
  <c r="Z347" i="4"/>
  <c r="Z346" i="4"/>
  <c r="Z345" i="4"/>
  <c r="Z344" i="4"/>
  <c r="Z343" i="4"/>
  <c r="Z342" i="4"/>
  <c r="Z341" i="4"/>
  <c r="Y347" i="4"/>
  <c r="Y346" i="4"/>
  <c r="Y345" i="4"/>
  <c r="Y344" i="4"/>
  <c r="Y343" i="4"/>
  <c r="Y342" i="4"/>
  <c r="Y341" i="4"/>
  <c r="T384" i="4"/>
  <c r="S384" i="4"/>
  <c r="V384" i="4"/>
  <c r="W384" i="4"/>
  <c r="V297" i="4"/>
  <c r="K419" i="4"/>
  <c r="T419" i="4" s="1"/>
  <c r="K420" i="4"/>
  <c r="T420" i="4" s="1"/>
  <c r="K421" i="4"/>
  <c r="S421" i="4" s="1"/>
  <c r="K425" i="4"/>
  <c r="S425" i="4" s="1"/>
  <c r="K423" i="4"/>
  <c r="U423" i="4" s="1"/>
  <c r="K424" i="4"/>
  <c r="T424" i="4" s="1"/>
  <c r="K418" i="4"/>
  <c r="U418" i="4" s="1"/>
  <c r="K422" i="4"/>
  <c r="T422" i="4" s="1"/>
  <c r="C12" i="10"/>
  <c r="AH340" i="4"/>
  <c r="Y384" i="4"/>
  <c r="Z384" i="4"/>
  <c r="AA384" i="4"/>
  <c r="AA405" i="4" s="1"/>
  <c r="X384" i="4"/>
  <c r="U384" i="4"/>
  <c r="AA340" i="4"/>
  <c r="X340" i="4"/>
  <c r="AB340" i="4"/>
  <c r="Y340" i="4"/>
  <c r="Z340" i="4"/>
  <c r="S297" i="4"/>
  <c r="W297" i="4"/>
  <c r="AA297" i="4"/>
  <c r="T297" i="4"/>
  <c r="X297" i="4"/>
  <c r="AB297" i="4"/>
  <c r="Z297" i="4"/>
  <c r="AH297" i="4"/>
  <c r="U297" i="4"/>
  <c r="Y297" i="4"/>
  <c r="AC297" i="4"/>
  <c r="T52" i="4"/>
  <c r="S52" i="4"/>
  <c r="AF52" i="4" s="1"/>
  <c r="S420" i="4" l="1"/>
  <c r="X52" i="4"/>
  <c r="X56" i="4" s="1"/>
  <c r="AB373" i="4"/>
  <c r="AF340" i="4"/>
  <c r="V421" i="4"/>
  <c r="AF297" i="4"/>
  <c r="V424" i="4"/>
  <c r="AF384" i="4"/>
  <c r="V419" i="4"/>
  <c r="V422" i="4"/>
  <c r="V420" i="4"/>
  <c r="V418" i="4"/>
  <c r="V425" i="4"/>
  <c r="V423" i="4"/>
  <c r="S423" i="4"/>
  <c r="S418" i="4"/>
  <c r="S419" i="4"/>
  <c r="T423" i="4"/>
  <c r="T425" i="4"/>
  <c r="T418" i="4"/>
  <c r="T421" i="4"/>
  <c r="U419" i="4"/>
  <c r="U421" i="4"/>
  <c r="S424" i="4"/>
  <c r="U422" i="4"/>
  <c r="U424" i="4"/>
  <c r="U425" i="4"/>
  <c r="U420" i="4"/>
  <c r="S422" i="4"/>
  <c r="AF422" i="4" s="1"/>
  <c r="E50" i="12"/>
  <c r="E12" i="10"/>
  <c r="V496" i="4" l="1"/>
  <c r="G56" i="12" s="1"/>
  <c r="AF420" i="4"/>
  <c r="AF423" i="4"/>
  <c r="AF419" i="4"/>
  <c r="AF424" i="4"/>
  <c r="AF425" i="4"/>
  <c r="AF421" i="4"/>
  <c r="AF418" i="4"/>
  <c r="E505" i="4"/>
  <c r="J296" i="4"/>
  <c r="K296" i="4" s="1"/>
  <c r="H296" i="4"/>
  <c r="G296" i="4"/>
  <c r="J51" i="4"/>
  <c r="K51" i="4" s="1"/>
  <c r="H51" i="4"/>
  <c r="G51" i="4"/>
  <c r="G50" i="4"/>
  <c r="J50" i="4"/>
  <c r="K50" i="4" s="1"/>
  <c r="H50" i="4"/>
  <c r="J417" i="4"/>
  <c r="H417" i="4"/>
  <c r="G417" i="4"/>
  <c r="J416" i="4"/>
  <c r="H416" i="4"/>
  <c r="G416" i="4"/>
  <c r="V50" i="4" l="1"/>
  <c r="U50" i="4"/>
  <c r="V51" i="4"/>
  <c r="U51" i="4"/>
  <c r="K416" i="4"/>
  <c r="S416" i="4" s="1"/>
  <c r="K417" i="4"/>
  <c r="R417" i="4" s="1"/>
  <c r="Z296" i="4"/>
  <c r="AA296" i="4"/>
  <c r="T51" i="4"/>
  <c r="T296" i="4"/>
  <c r="X296" i="4"/>
  <c r="AB296" i="4"/>
  <c r="R51" i="4"/>
  <c r="U296" i="4"/>
  <c r="Y296" i="4"/>
  <c r="AC296" i="4"/>
  <c r="R296" i="4"/>
  <c r="V296" i="4"/>
  <c r="S296" i="4"/>
  <c r="W296" i="4"/>
  <c r="AH296" i="4"/>
  <c r="AE296" i="4"/>
  <c r="R50" i="4"/>
  <c r="S51" i="4"/>
  <c r="T50" i="4"/>
  <c r="S50" i="4"/>
  <c r="AF50" i="4" l="1"/>
  <c r="AF51" i="4"/>
  <c r="V56" i="4"/>
  <c r="G55" i="12" s="1"/>
  <c r="W50" i="4"/>
  <c r="S56" i="4"/>
  <c r="W51" i="4"/>
  <c r="T56" i="4"/>
  <c r="U56" i="4"/>
  <c r="F9" i="10" s="1"/>
  <c r="R416" i="4"/>
  <c r="AF296" i="4"/>
  <c r="S417" i="4"/>
  <c r="T417" i="4" s="1"/>
  <c r="T416" i="4"/>
  <c r="E57" i="4"/>
  <c r="W417" i="4"/>
  <c r="R56" i="4"/>
  <c r="AG296" i="4"/>
  <c r="X416" i="4"/>
  <c r="W416" i="4" l="1"/>
  <c r="W496" i="4" s="1"/>
  <c r="R496" i="4"/>
  <c r="S496" i="4"/>
  <c r="U416" i="4"/>
  <c r="W56" i="4"/>
  <c r="U417" i="4"/>
  <c r="AF417" i="4" s="1"/>
  <c r="X417" i="4"/>
  <c r="X496" i="4" s="1"/>
  <c r="H9" i="10"/>
  <c r="Y417" i="4"/>
  <c r="Y416" i="4"/>
  <c r="D407" i="4"/>
  <c r="D496" i="4" s="1"/>
  <c r="H407" i="4"/>
  <c r="D375" i="4"/>
  <c r="D405" i="4" s="1"/>
  <c r="H375" i="4"/>
  <c r="D309" i="4"/>
  <c r="D373" i="4" s="1"/>
  <c r="H309" i="4"/>
  <c r="D118" i="4"/>
  <c r="D168" i="4" s="1"/>
  <c r="H118" i="4"/>
  <c r="D31" i="4"/>
  <c r="H31" i="4"/>
  <c r="D8" i="4"/>
  <c r="D29" i="4" s="1"/>
  <c r="H8" i="4"/>
  <c r="D56" i="4" l="1"/>
  <c r="Y496" i="4"/>
  <c r="AF416" i="4"/>
  <c r="U496" i="4"/>
  <c r="C13" i="10"/>
  <c r="C15" i="10"/>
  <c r="C14" i="10"/>
  <c r="AO415" i="4"/>
  <c r="AN415" i="4"/>
  <c r="F15" i="10" l="1"/>
  <c r="E54" i="12"/>
  <c r="E14" i="10"/>
  <c r="E53" i="12"/>
  <c r="E13" i="10"/>
  <c r="E56" i="12"/>
  <c r="E15" i="10"/>
  <c r="AO416" i="4"/>
  <c r="AN416" i="4"/>
  <c r="J415" i="4"/>
  <c r="K415" i="4" s="1"/>
  <c r="G415" i="4"/>
  <c r="H415" i="4"/>
  <c r="AO417" i="4" l="1"/>
  <c r="AN417" i="4"/>
  <c r="Q415" i="4"/>
  <c r="J414" i="4"/>
  <c r="K414" i="4" s="1"/>
  <c r="G414" i="4"/>
  <c r="H414" i="4"/>
  <c r="D28" i="7"/>
  <c r="D27" i="7"/>
  <c r="D26" i="7"/>
  <c r="D23" i="7"/>
  <c r="D22" i="7"/>
  <c r="D21" i="7"/>
  <c r="D13" i="7"/>
  <c r="C11" i="7"/>
  <c r="C14" i="7" s="1"/>
  <c r="T415" i="4" l="1"/>
  <c r="AF415" i="4" s="1"/>
  <c r="Q414" i="4"/>
  <c r="K382" i="4"/>
  <c r="K383" i="4"/>
  <c r="G383" i="4"/>
  <c r="H383" i="4"/>
  <c r="T414" i="4" l="1"/>
  <c r="T496" i="4" s="1"/>
  <c r="Q383" i="4"/>
  <c r="R383" i="4" s="1"/>
  <c r="S383" i="4" s="1"/>
  <c r="T383" i="4" s="1"/>
  <c r="U383" i="4" s="1"/>
  <c r="V383" i="4" s="1"/>
  <c r="W383" i="4" s="1"/>
  <c r="X383" i="4" s="1"/>
  <c r="Y383" i="4" s="1"/>
  <c r="P383" i="4"/>
  <c r="H413" i="4"/>
  <c r="H412" i="4"/>
  <c r="G413" i="4"/>
  <c r="G412" i="4"/>
  <c r="I10" i="4"/>
  <c r="J10" i="4"/>
  <c r="H10" i="4"/>
  <c r="G10" i="4"/>
  <c r="Z382" i="4"/>
  <c r="Z405" i="4" s="1"/>
  <c r="G382" i="4"/>
  <c r="H382" i="4"/>
  <c r="B12" i="7"/>
  <c r="D12" i="7" s="1"/>
  <c r="J413" i="4"/>
  <c r="K413" i="4" s="1"/>
  <c r="J412" i="4"/>
  <c r="K412" i="4" s="1"/>
  <c r="J91" i="4"/>
  <c r="J99" i="4"/>
  <c r="J100" i="4"/>
  <c r="J101" i="4"/>
  <c r="J102" i="4"/>
  <c r="J103" i="4"/>
  <c r="J104" i="4"/>
  <c r="J141" i="4"/>
  <c r="J151" i="4"/>
  <c r="J155" i="4"/>
  <c r="J243" i="4"/>
  <c r="J246" i="4"/>
  <c r="J286" i="4"/>
  <c r="J411" i="4"/>
  <c r="L19" i="14" l="1"/>
  <c r="J19" i="14" s="1"/>
  <c r="AF414" i="4"/>
  <c r="AF383" i="4"/>
  <c r="G15" i="10"/>
  <c r="H15" i="10" s="1"/>
  <c r="Q412" i="4"/>
  <c r="Q413" i="4"/>
  <c r="O413" i="4"/>
  <c r="N10" i="4"/>
  <c r="AF10" i="4" s="1"/>
  <c r="K10" i="4"/>
  <c r="P382" i="4"/>
  <c r="O412" i="4"/>
  <c r="Q382" i="4"/>
  <c r="J41" i="4"/>
  <c r="J40" i="4"/>
  <c r="J39" i="4"/>
  <c r="J17" i="4"/>
  <c r="J16" i="4"/>
  <c r="J15" i="4"/>
  <c r="J14" i="4"/>
  <c r="J13" i="4"/>
  <c r="J279" i="4"/>
  <c r="J253" i="4"/>
  <c r="J236" i="4"/>
  <c r="J234" i="4"/>
  <c r="J233" i="4"/>
  <c r="J232" i="4"/>
  <c r="J230" i="4"/>
  <c r="J229" i="4"/>
  <c r="J228" i="4"/>
  <c r="J227" i="4"/>
  <c r="J226" i="4"/>
  <c r="J225" i="4"/>
  <c r="J224" i="4"/>
  <c r="J223" i="4"/>
  <c r="J222" i="4"/>
  <c r="J218" i="4"/>
  <c r="J217" i="4"/>
  <c r="J216" i="4"/>
  <c r="J214" i="4"/>
  <c r="J213" i="4"/>
  <c r="J212" i="4"/>
  <c r="J210" i="4"/>
  <c r="J209" i="4"/>
  <c r="J208" i="4"/>
  <c r="J206" i="4"/>
  <c r="J205" i="4"/>
  <c r="J204" i="4"/>
  <c r="J203" i="4"/>
  <c r="J202" i="4"/>
  <c r="J201" i="4"/>
  <c r="J200" i="4"/>
  <c r="J199" i="4"/>
  <c r="J198" i="4"/>
  <c r="J197" i="4"/>
  <c r="J196" i="4"/>
  <c r="J195" i="4"/>
  <c r="J194" i="4"/>
  <c r="J193" i="4"/>
  <c r="J192" i="4"/>
  <c r="J191" i="4"/>
  <c r="J190" i="4"/>
  <c r="J189" i="4"/>
  <c r="J188" i="4"/>
  <c r="J186" i="4"/>
  <c r="J185" i="4"/>
  <c r="J184" i="4"/>
  <c r="J183" i="4"/>
  <c r="J182" i="4"/>
  <c r="J181" i="4"/>
  <c r="J180" i="4"/>
  <c r="J179" i="4"/>
  <c r="J178" i="4"/>
  <c r="J177" i="4"/>
  <c r="J176" i="4"/>
  <c r="J175" i="4"/>
  <c r="J174" i="4"/>
  <c r="J173" i="4"/>
  <c r="J172" i="4"/>
  <c r="J171" i="4"/>
  <c r="J170" i="4"/>
  <c r="AG332" i="4"/>
  <c r="AG331" i="4"/>
  <c r="AG330" i="4"/>
  <c r="AG329" i="4"/>
  <c r="AG328" i="4"/>
  <c r="AG326" i="4"/>
  <c r="AG322" i="4"/>
  <c r="AG321" i="4"/>
  <c r="AG312" i="4"/>
  <c r="AG311" i="4"/>
  <c r="AG309" i="4"/>
  <c r="J379" i="4"/>
  <c r="O336" i="4"/>
  <c r="Q496" i="4" l="1"/>
  <c r="AF413" i="4"/>
  <c r="AF412" i="4"/>
  <c r="R382" i="4"/>
  <c r="J339" i="4"/>
  <c r="J338" i="4"/>
  <c r="J337" i="4"/>
  <c r="J335" i="4"/>
  <c r="J334" i="4"/>
  <c r="J333" i="4"/>
  <c r="J327" i="4"/>
  <c r="J325" i="4"/>
  <c r="J324" i="4"/>
  <c r="J323" i="4"/>
  <c r="J320" i="4"/>
  <c r="J319" i="4"/>
  <c r="J318" i="4"/>
  <c r="J317" i="4"/>
  <c r="J316" i="4"/>
  <c r="J315" i="4"/>
  <c r="J314" i="4"/>
  <c r="J313" i="4"/>
  <c r="J295" i="4"/>
  <c r="J294" i="4"/>
  <c r="J293" i="4"/>
  <c r="J292" i="4"/>
  <c r="J291" i="4"/>
  <c r="J290" i="4"/>
  <c r="J289" i="4"/>
  <c r="J288" i="4"/>
  <c r="J287" i="4"/>
  <c r="J285" i="4"/>
  <c r="J284" i="4"/>
  <c r="J283" i="4"/>
  <c r="J281" i="4"/>
  <c r="J280" i="4"/>
  <c r="J278" i="4"/>
  <c r="J277" i="4"/>
  <c r="J276" i="4"/>
  <c r="J275" i="4"/>
  <c r="J274" i="4"/>
  <c r="J272" i="4"/>
  <c r="J269" i="4"/>
  <c r="J268" i="4"/>
  <c r="J266" i="4"/>
  <c r="J263" i="4"/>
  <c r="J262" i="4"/>
  <c r="J261" i="4"/>
  <c r="J258" i="4"/>
  <c r="J257" i="4"/>
  <c r="J256" i="4"/>
  <c r="J255" i="4"/>
  <c r="J254" i="4"/>
  <c r="J252" i="4"/>
  <c r="J251" i="4"/>
  <c r="J250" i="4"/>
  <c r="J249" i="4"/>
  <c r="J248" i="4"/>
  <c r="J247" i="4"/>
  <c r="J245" i="4"/>
  <c r="J244" i="4"/>
  <c r="J242" i="4"/>
  <c r="J240" i="4"/>
  <c r="J235" i="4"/>
  <c r="J221" i="4"/>
  <c r="J220" i="4"/>
  <c r="J219" i="4"/>
  <c r="J211" i="4"/>
  <c r="I188" i="4"/>
  <c r="K188" i="4" s="1"/>
  <c r="I170" i="4"/>
  <c r="K170" i="4" s="1"/>
  <c r="H170" i="4"/>
  <c r="G170" i="4"/>
  <c r="AE504" i="4"/>
  <c r="AC504" i="4"/>
  <c r="AB504" i="4"/>
  <c r="AA504" i="4"/>
  <c r="Z504" i="4"/>
  <c r="Y504" i="4"/>
  <c r="X504" i="4"/>
  <c r="W504" i="4"/>
  <c r="V504" i="4"/>
  <c r="G48" i="12" s="1"/>
  <c r="U504" i="4"/>
  <c r="T504" i="4"/>
  <c r="S504" i="4"/>
  <c r="R504" i="4"/>
  <c r="Q504" i="4"/>
  <c r="P504" i="4"/>
  <c r="O504" i="4"/>
  <c r="N504" i="4"/>
  <c r="L504" i="4"/>
  <c r="H504" i="4"/>
  <c r="AE339" i="4"/>
  <c r="AC337" i="4"/>
  <c r="AC338" i="4"/>
  <c r="AE338" i="4" s="1"/>
  <c r="Y336" i="4"/>
  <c r="P336" i="4"/>
  <c r="Q336" i="4" s="1"/>
  <c r="R336" i="4" s="1"/>
  <c r="S336" i="4" s="1"/>
  <c r="T336" i="4" s="1"/>
  <c r="U336" i="4" s="1"/>
  <c r="V336" i="4" s="1"/>
  <c r="W320" i="4"/>
  <c r="X320" i="4" s="1"/>
  <c r="Y320" i="4" s="1"/>
  <c r="Z320" i="4" s="1"/>
  <c r="AA320" i="4" s="1"/>
  <c r="V319" i="4"/>
  <c r="W319" i="4" s="1"/>
  <c r="X319" i="4" s="1"/>
  <c r="Y319" i="4" s="1"/>
  <c r="Z319" i="4" s="1"/>
  <c r="AA319" i="4" s="1"/>
  <c r="V318" i="4"/>
  <c r="W318" i="4" s="1"/>
  <c r="X318" i="4" s="1"/>
  <c r="Y318" i="4" s="1"/>
  <c r="Z318" i="4" s="1"/>
  <c r="AA318" i="4" s="1"/>
  <c r="V317" i="4"/>
  <c r="W317" i="4" s="1"/>
  <c r="X317" i="4" s="1"/>
  <c r="Y317" i="4" s="1"/>
  <c r="Z317" i="4" s="1"/>
  <c r="AA317" i="4" s="1"/>
  <c r="V316" i="4"/>
  <c r="W316" i="4" s="1"/>
  <c r="X316" i="4" s="1"/>
  <c r="Y316" i="4" s="1"/>
  <c r="Z316" i="4" s="1"/>
  <c r="AA316" i="4" s="1"/>
  <c r="V315" i="4"/>
  <c r="W315" i="4" s="1"/>
  <c r="X315" i="4" s="1"/>
  <c r="Y315" i="4" s="1"/>
  <c r="Z315" i="4" s="1"/>
  <c r="AA315" i="4" s="1"/>
  <c r="V314" i="4"/>
  <c r="W314" i="4" s="1"/>
  <c r="X314" i="4" s="1"/>
  <c r="Y314" i="4" s="1"/>
  <c r="Z314" i="4" s="1"/>
  <c r="AA314" i="4" s="1"/>
  <c r="V313" i="4"/>
  <c r="AC286" i="4"/>
  <c r="AE286" i="4" s="1"/>
  <c r="AA282" i="4"/>
  <c r="AB282" i="4" s="1"/>
  <c r="AC282" i="4" s="1"/>
  <c r="AE282" i="4" s="1"/>
  <c r="AA279" i="4"/>
  <c r="Z271" i="4"/>
  <c r="AA271" i="4" s="1"/>
  <c r="AB271" i="4" s="1"/>
  <c r="AC271" i="4" s="1"/>
  <c r="AE271" i="4" s="1"/>
  <c r="Z267" i="4"/>
  <c r="AA267" i="4" s="1"/>
  <c r="AB267" i="4" s="1"/>
  <c r="AC267" i="4" s="1"/>
  <c r="AE267" i="4" s="1"/>
  <c r="Y265" i="4"/>
  <c r="Z259" i="4"/>
  <c r="AA259" i="4" s="1"/>
  <c r="AB259" i="4" s="1"/>
  <c r="AC259" i="4" s="1"/>
  <c r="AE259" i="4" s="1"/>
  <c r="X241" i="4"/>
  <c r="Y241" i="4" s="1"/>
  <c r="Z241" i="4" s="1"/>
  <c r="AA241" i="4" s="1"/>
  <c r="AB241" i="4" s="1"/>
  <c r="AC241" i="4" s="1"/>
  <c r="AE241" i="4" s="1"/>
  <c r="X239" i="4"/>
  <c r="Y239" i="4" s="1"/>
  <c r="Z239" i="4" s="1"/>
  <c r="AA239" i="4" s="1"/>
  <c r="AB239" i="4" s="1"/>
  <c r="AC239" i="4" s="1"/>
  <c r="AE239" i="4" s="1"/>
  <c r="X238" i="4"/>
  <c r="Y238" i="4" s="1"/>
  <c r="Z238" i="4" s="1"/>
  <c r="AA238" i="4" s="1"/>
  <c r="AB238" i="4" s="1"/>
  <c r="AC238" i="4" s="1"/>
  <c r="AE238" i="4" s="1"/>
  <c r="X237" i="4"/>
  <c r="Y237" i="4" s="1"/>
  <c r="Z237" i="4" s="1"/>
  <c r="AA237" i="4" s="1"/>
  <c r="AB237" i="4" s="1"/>
  <c r="AC237" i="4" s="1"/>
  <c r="AE237" i="4" s="1"/>
  <c r="X233" i="4"/>
  <c r="Y233" i="4" s="1"/>
  <c r="X231" i="4"/>
  <c r="Y231" i="4" s="1"/>
  <c r="Z231" i="4" s="1"/>
  <c r="AA231" i="4" s="1"/>
  <c r="AB231" i="4" s="1"/>
  <c r="AC231" i="4" s="1"/>
  <c r="AE231" i="4" s="1"/>
  <c r="X227" i="4"/>
  <c r="Y227" i="4" s="1"/>
  <c r="X226" i="4"/>
  <c r="Y226" i="4" s="1"/>
  <c r="Z226" i="4" s="1"/>
  <c r="AA226" i="4" s="1"/>
  <c r="AB226" i="4" s="1"/>
  <c r="AC226" i="4" s="1"/>
  <c r="AE226" i="4" s="1"/>
  <c r="V216" i="4"/>
  <c r="W216" i="4" s="1"/>
  <c r="X216" i="4" s="1"/>
  <c r="Y216" i="4" s="1"/>
  <c r="Z216" i="4" s="1"/>
  <c r="AA216" i="4" s="1"/>
  <c r="AB216" i="4" s="1"/>
  <c r="AC216" i="4" s="1"/>
  <c r="AE216" i="4" s="1"/>
  <c r="V215" i="4"/>
  <c r="W215" i="4" s="1"/>
  <c r="X215" i="4" s="1"/>
  <c r="Y215" i="4" s="1"/>
  <c r="Z215" i="4" s="1"/>
  <c r="AA215" i="4" s="1"/>
  <c r="AB215" i="4" s="1"/>
  <c r="AC215" i="4" s="1"/>
  <c r="AE215" i="4" s="1"/>
  <c r="V210" i="4"/>
  <c r="V209" i="4"/>
  <c r="V206" i="4"/>
  <c r="W206" i="4" s="1"/>
  <c r="X206" i="4" s="1"/>
  <c r="Y206" i="4" s="1"/>
  <c r="Z206" i="4" s="1"/>
  <c r="AA206" i="4" s="1"/>
  <c r="AB206" i="4" s="1"/>
  <c r="AC206" i="4" s="1"/>
  <c r="AE206" i="4" s="1"/>
  <c r="V205" i="4"/>
  <c r="W205" i="4" s="1"/>
  <c r="X205" i="4" s="1"/>
  <c r="Y205" i="4" s="1"/>
  <c r="Z205" i="4" s="1"/>
  <c r="AA205" i="4" s="1"/>
  <c r="AB205" i="4" s="1"/>
  <c r="AC205" i="4" s="1"/>
  <c r="AE205" i="4" s="1"/>
  <c r="V204" i="4"/>
  <c r="W204" i="4" s="1"/>
  <c r="X204" i="4" s="1"/>
  <c r="Y204" i="4" s="1"/>
  <c r="Z204" i="4" s="1"/>
  <c r="AA204" i="4" s="1"/>
  <c r="AB204" i="4" s="1"/>
  <c r="AC204" i="4" s="1"/>
  <c r="AE204" i="4" s="1"/>
  <c r="V203" i="4"/>
  <c r="W203" i="4" s="1"/>
  <c r="X203" i="4" s="1"/>
  <c r="Y203" i="4" s="1"/>
  <c r="Z203" i="4" s="1"/>
  <c r="AA203" i="4" s="1"/>
  <c r="AB203" i="4" s="1"/>
  <c r="AC203" i="4" s="1"/>
  <c r="AE203" i="4" s="1"/>
  <c r="V202" i="4"/>
  <c r="W202" i="4" s="1"/>
  <c r="X202" i="4" s="1"/>
  <c r="Y202" i="4" s="1"/>
  <c r="Z202" i="4" s="1"/>
  <c r="AA202" i="4" s="1"/>
  <c r="AB202" i="4" s="1"/>
  <c r="AC202" i="4" s="1"/>
  <c r="AE202" i="4" s="1"/>
  <c r="V201" i="4"/>
  <c r="V200" i="4"/>
  <c r="V199" i="4"/>
  <c r="V198" i="4"/>
  <c r="W198" i="4" s="1"/>
  <c r="X198" i="4" s="1"/>
  <c r="Y198" i="4" s="1"/>
  <c r="Z198" i="4" s="1"/>
  <c r="AA198" i="4" s="1"/>
  <c r="AB198" i="4" s="1"/>
  <c r="AC198" i="4" s="1"/>
  <c r="AE198" i="4" s="1"/>
  <c r="V197" i="4"/>
  <c r="W197" i="4" s="1"/>
  <c r="X197" i="4" s="1"/>
  <c r="Y197" i="4" s="1"/>
  <c r="Z197" i="4" s="1"/>
  <c r="AA197" i="4" s="1"/>
  <c r="AB197" i="4" s="1"/>
  <c r="AC197" i="4" s="1"/>
  <c r="AE197" i="4" s="1"/>
  <c r="Z273" i="4"/>
  <c r="AA273" i="4" s="1"/>
  <c r="AB273" i="4" s="1"/>
  <c r="AC273" i="4" s="1"/>
  <c r="AE273" i="4" s="1"/>
  <c r="Z270" i="4"/>
  <c r="AA270" i="4" s="1"/>
  <c r="AB270" i="4" s="1"/>
  <c r="AC270" i="4" s="1"/>
  <c r="AE270" i="4" s="1"/>
  <c r="Z264" i="4"/>
  <c r="AA264" i="4" s="1"/>
  <c r="AB264" i="4" s="1"/>
  <c r="AC264" i="4" s="1"/>
  <c r="AE264" i="4" s="1"/>
  <c r="Z260" i="4"/>
  <c r="AA260" i="4" s="1"/>
  <c r="AB260" i="4" s="1"/>
  <c r="AC260" i="4" s="1"/>
  <c r="AE260" i="4" s="1"/>
  <c r="Z253" i="4"/>
  <c r="AA253" i="4" s="1"/>
  <c r="AB253" i="4" s="1"/>
  <c r="AC253" i="4" s="1"/>
  <c r="AE253" i="4" s="1"/>
  <c r="Y246" i="4"/>
  <c r="Z246" i="4" s="1"/>
  <c r="AA246" i="4" s="1"/>
  <c r="AB246" i="4" s="1"/>
  <c r="AC246" i="4" s="1"/>
  <c r="AE246" i="4" s="1"/>
  <c r="W224" i="4"/>
  <c r="W223" i="4"/>
  <c r="X223" i="4" s="1"/>
  <c r="Y223" i="4" s="1"/>
  <c r="Z223" i="4" s="1"/>
  <c r="AA223" i="4" s="1"/>
  <c r="AB223" i="4" s="1"/>
  <c r="AC223" i="4" s="1"/>
  <c r="AE223" i="4" s="1"/>
  <c r="W222" i="4"/>
  <c r="X222" i="4" s="1"/>
  <c r="Y222" i="4" s="1"/>
  <c r="Z222" i="4" s="1"/>
  <c r="AA222" i="4" s="1"/>
  <c r="AB222" i="4" s="1"/>
  <c r="AC222" i="4" s="1"/>
  <c r="AE222" i="4" s="1"/>
  <c r="W218" i="4"/>
  <c r="X218" i="4" s="1"/>
  <c r="Y218" i="4" s="1"/>
  <c r="Z218" i="4" s="1"/>
  <c r="AA218" i="4" s="1"/>
  <c r="AB218" i="4" s="1"/>
  <c r="AC218" i="4" s="1"/>
  <c r="AE218" i="4" s="1"/>
  <c r="O207" i="4"/>
  <c r="O187" i="4"/>
  <c r="L307" i="4"/>
  <c r="O97" i="4"/>
  <c r="O90" i="4"/>
  <c r="O89" i="4"/>
  <c r="O87" i="4"/>
  <c r="O86" i="4"/>
  <c r="O73" i="4"/>
  <c r="O69" i="4"/>
  <c r="O64" i="4"/>
  <c r="J48" i="12" l="1"/>
  <c r="AE337" i="4"/>
  <c r="AE373" i="4" s="1"/>
  <c r="AC373" i="4"/>
  <c r="W313" i="4"/>
  <c r="P64" i="4"/>
  <c r="Q64" i="4" s="1"/>
  <c r="R64" i="4" s="1"/>
  <c r="S64" i="4" s="1"/>
  <c r="T64" i="4" s="1"/>
  <c r="U64" i="4" s="1"/>
  <c r="V64" i="4" s="1"/>
  <c r="W64" i="4" s="1"/>
  <c r="X64" i="4" s="1"/>
  <c r="Y64" i="4" s="1"/>
  <c r="Z64" i="4" s="1"/>
  <c r="AA64" i="4" s="1"/>
  <c r="AB64" i="4" s="1"/>
  <c r="AC64" i="4" s="1"/>
  <c r="AD64" i="4" s="1"/>
  <c r="AE64" i="4" s="1"/>
  <c r="P87" i="4"/>
  <c r="Q87" i="4" s="1"/>
  <c r="R87" i="4" s="1"/>
  <c r="S87" i="4" s="1"/>
  <c r="T87" i="4" s="1"/>
  <c r="U87" i="4" s="1"/>
  <c r="V87" i="4" s="1"/>
  <c r="W87" i="4" s="1"/>
  <c r="X87" i="4" s="1"/>
  <c r="Y87" i="4" s="1"/>
  <c r="Z87" i="4" s="1"/>
  <c r="AA87" i="4" s="1"/>
  <c r="AB87" i="4" s="1"/>
  <c r="AC87" i="4" s="1"/>
  <c r="AD87" i="4" s="1"/>
  <c r="AE87" i="4" s="1"/>
  <c r="P69" i="4"/>
  <c r="Q69" i="4" s="1"/>
  <c r="R69" i="4" s="1"/>
  <c r="S69" i="4" s="1"/>
  <c r="T69" i="4" s="1"/>
  <c r="U69" i="4" s="1"/>
  <c r="V69" i="4" s="1"/>
  <c r="W69" i="4" s="1"/>
  <c r="X69" i="4" s="1"/>
  <c r="Y69" i="4" s="1"/>
  <c r="Z69" i="4" s="1"/>
  <c r="AA69" i="4" s="1"/>
  <c r="AB69" i="4" s="1"/>
  <c r="AC69" i="4" s="1"/>
  <c r="AD69" i="4" s="1"/>
  <c r="AE69" i="4" s="1"/>
  <c r="P89" i="4"/>
  <c r="Q89" i="4" s="1"/>
  <c r="R89" i="4" s="1"/>
  <c r="S89" i="4" s="1"/>
  <c r="T89" i="4" s="1"/>
  <c r="U89" i="4" s="1"/>
  <c r="V89" i="4" s="1"/>
  <c r="W89" i="4" s="1"/>
  <c r="X89" i="4" s="1"/>
  <c r="Y89" i="4" s="1"/>
  <c r="Z89" i="4" s="1"/>
  <c r="AA89" i="4" s="1"/>
  <c r="AB89" i="4" s="1"/>
  <c r="AC89" i="4" s="1"/>
  <c r="AD89" i="4" s="1"/>
  <c r="AE89" i="4" s="1"/>
  <c r="P90" i="4"/>
  <c r="Q90" i="4" s="1"/>
  <c r="R90" i="4" s="1"/>
  <c r="S90" i="4" s="1"/>
  <c r="T90" i="4" s="1"/>
  <c r="U90" i="4" s="1"/>
  <c r="V90" i="4" s="1"/>
  <c r="W90" i="4" s="1"/>
  <c r="X90" i="4" s="1"/>
  <c r="Y90" i="4" s="1"/>
  <c r="Z90" i="4" s="1"/>
  <c r="AA90" i="4" s="1"/>
  <c r="AB90" i="4" s="1"/>
  <c r="AC90" i="4" s="1"/>
  <c r="AD90" i="4" s="1"/>
  <c r="AE90" i="4" s="1"/>
  <c r="P73" i="4"/>
  <c r="Q73" i="4" s="1"/>
  <c r="R73" i="4" s="1"/>
  <c r="S73" i="4" s="1"/>
  <c r="T73" i="4" s="1"/>
  <c r="U73" i="4" s="1"/>
  <c r="V73" i="4" s="1"/>
  <c r="W73" i="4" s="1"/>
  <c r="X73" i="4" s="1"/>
  <c r="Y73" i="4" s="1"/>
  <c r="Z73" i="4" s="1"/>
  <c r="AA73" i="4" s="1"/>
  <c r="AB73" i="4" s="1"/>
  <c r="AC73" i="4" s="1"/>
  <c r="AD73" i="4" s="1"/>
  <c r="AE73" i="4" s="1"/>
  <c r="P86" i="4"/>
  <c r="Q86" i="4" s="1"/>
  <c r="R86" i="4" s="1"/>
  <c r="S86" i="4" s="1"/>
  <c r="T86" i="4" s="1"/>
  <c r="U86" i="4" s="1"/>
  <c r="V86" i="4" s="1"/>
  <c r="W86" i="4" s="1"/>
  <c r="X86" i="4" s="1"/>
  <c r="Y86" i="4" s="1"/>
  <c r="Z86" i="4" s="1"/>
  <c r="AA86" i="4" s="1"/>
  <c r="AB86" i="4" s="1"/>
  <c r="AC86" i="4" s="1"/>
  <c r="AD86" i="4" s="1"/>
  <c r="AE86" i="4" s="1"/>
  <c r="P97" i="4"/>
  <c r="Q97" i="4" s="1"/>
  <c r="R97" i="4" s="1"/>
  <c r="S97" i="4" s="1"/>
  <c r="T97" i="4" s="1"/>
  <c r="U97" i="4" s="1"/>
  <c r="V97" i="4" s="1"/>
  <c r="W97" i="4" s="1"/>
  <c r="X97" i="4" s="1"/>
  <c r="Y97" i="4" s="1"/>
  <c r="Z97" i="4" s="1"/>
  <c r="AA97" i="4" s="1"/>
  <c r="AB97" i="4" s="1"/>
  <c r="AC97" i="4" s="1"/>
  <c r="AD97" i="4" s="1"/>
  <c r="AE97" i="4" s="1"/>
  <c r="AF336" i="4"/>
  <c r="S382" i="4"/>
  <c r="W200" i="4"/>
  <c r="X200" i="4" s="1"/>
  <c r="Y200" i="4" s="1"/>
  <c r="Z200" i="4" s="1"/>
  <c r="AA200" i="4" s="1"/>
  <c r="AB200" i="4" s="1"/>
  <c r="AC200" i="4" s="1"/>
  <c r="AE200" i="4" s="1"/>
  <c r="W210" i="4"/>
  <c r="X210" i="4" s="1"/>
  <c r="Y210" i="4" s="1"/>
  <c r="Z210" i="4" s="1"/>
  <c r="AA210" i="4" s="1"/>
  <c r="AB210" i="4" s="1"/>
  <c r="AC210" i="4" s="1"/>
  <c r="AE210" i="4" s="1"/>
  <c r="Z227" i="4"/>
  <c r="AA227" i="4" s="1"/>
  <c r="AB227" i="4" s="1"/>
  <c r="AC227" i="4" s="1"/>
  <c r="AE227" i="4" s="1"/>
  <c r="Z233" i="4"/>
  <c r="AA233" i="4" s="1"/>
  <c r="AB233" i="4" s="1"/>
  <c r="AC233" i="4" s="1"/>
  <c r="AE233" i="4" s="1"/>
  <c r="AB279" i="4"/>
  <c r="AC279" i="4" s="1"/>
  <c r="AE279" i="4" s="1"/>
  <c r="X224" i="4"/>
  <c r="Y224" i="4" s="1"/>
  <c r="Z224" i="4" s="1"/>
  <c r="AA224" i="4" s="1"/>
  <c r="AB224" i="4" s="1"/>
  <c r="AC224" i="4" s="1"/>
  <c r="AE224" i="4" s="1"/>
  <c r="W199" i="4"/>
  <c r="X199" i="4" s="1"/>
  <c r="Y199" i="4" s="1"/>
  <c r="Z199" i="4" s="1"/>
  <c r="AA199" i="4" s="1"/>
  <c r="AB199" i="4" s="1"/>
  <c r="AC199" i="4" s="1"/>
  <c r="AE199" i="4" s="1"/>
  <c r="W201" i="4"/>
  <c r="X201" i="4" s="1"/>
  <c r="Y201" i="4" s="1"/>
  <c r="Z201" i="4" s="1"/>
  <c r="AA201" i="4" s="1"/>
  <c r="AB201" i="4" s="1"/>
  <c r="AC201" i="4" s="1"/>
  <c r="AE201" i="4" s="1"/>
  <c r="W209" i="4"/>
  <c r="X209" i="4" s="1"/>
  <c r="Y209" i="4" s="1"/>
  <c r="Z209" i="4" s="1"/>
  <c r="AA209" i="4" s="1"/>
  <c r="AB209" i="4" s="1"/>
  <c r="AC209" i="4" s="1"/>
  <c r="AE209" i="4" s="1"/>
  <c r="P187" i="4"/>
  <c r="Z265" i="4"/>
  <c r="AG336" i="4"/>
  <c r="P207" i="4"/>
  <c r="AH170" i="4"/>
  <c r="W208" i="4"/>
  <c r="X208" i="4" s="1"/>
  <c r="Y208" i="4" s="1"/>
  <c r="Z208" i="4" s="1"/>
  <c r="AA208" i="4" s="1"/>
  <c r="AB208" i="4" s="1"/>
  <c r="AC208" i="4" s="1"/>
  <c r="AE208" i="4" s="1"/>
  <c r="Y243" i="4"/>
  <c r="Z243" i="4" s="1"/>
  <c r="AA243" i="4" s="1"/>
  <c r="AB243" i="4" s="1"/>
  <c r="AC243" i="4" s="1"/>
  <c r="AE243" i="4" s="1"/>
  <c r="X225" i="4"/>
  <c r="Y225" i="4" s="1"/>
  <c r="Z225" i="4" s="1"/>
  <c r="AA225" i="4" s="1"/>
  <c r="AB225" i="4" s="1"/>
  <c r="AC225" i="4" s="1"/>
  <c r="AE225" i="4" s="1"/>
  <c r="X217" i="4"/>
  <c r="Y217" i="4" s="1"/>
  <c r="Z217" i="4" s="1"/>
  <c r="AA217" i="4" s="1"/>
  <c r="AB217" i="4" s="1"/>
  <c r="AC217" i="4" s="1"/>
  <c r="AE217" i="4" s="1"/>
  <c r="AF69" i="4" l="1"/>
  <c r="AF86" i="4"/>
  <c r="AF97" i="4"/>
  <c r="AF87" i="4"/>
  <c r="AF90" i="4"/>
  <c r="AF89" i="4"/>
  <c r="AF64" i="4"/>
  <c r="AF73" i="4"/>
  <c r="X313" i="4"/>
  <c r="T382" i="4"/>
  <c r="T405" i="4" s="1"/>
  <c r="Q187" i="4"/>
  <c r="R187" i="4" s="1"/>
  <c r="S187" i="4" s="1"/>
  <c r="U187" i="4" s="1"/>
  <c r="V187" i="4" s="1"/>
  <c r="W187" i="4" s="1"/>
  <c r="X187" i="4" s="1"/>
  <c r="Y187" i="4" s="1"/>
  <c r="Z187" i="4" s="1"/>
  <c r="AA187" i="4" s="1"/>
  <c r="AB187" i="4" s="1"/>
  <c r="AC187" i="4" s="1"/>
  <c r="AE187" i="4" s="1"/>
  <c r="Q207" i="4"/>
  <c r="R207" i="4" s="1"/>
  <c r="S207" i="4" s="1"/>
  <c r="T207" i="4" s="1"/>
  <c r="U207" i="4" s="1"/>
  <c r="V207" i="4" s="1"/>
  <c r="W207" i="4" s="1"/>
  <c r="X207" i="4" s="1"/>
  <c r="Y207" i="4" s="1"/>
  <c r="Z207" i="4" s="1"/>
  <c r="AA207" i="4" s="1"/>
  <c r="AB207" i="4" s="1"/>
  <c r="AC207" i="4" s="1"/>
  <c r="AE207" i="4" s="1"/>
  <c r="AA265" i="4"/>
  <c r="AB265" i="4" s="1"/>
  <c r="AC265" i="4" s="1"/>
  <c r="AE265" i="4" s="1"/>
  <c r="AG265" i="4" s="1"/>
  <c r="AF499" i="4"/>
  <c r="AF497" i="4"/>
  <c r="J409" i="4"/>
  <c r="J380" i="4"/>
  <c r="J377" i="4"/>
  <c r="J282" i="4"/>
  <c r="J273" i="4"/>
  <c r="J271" i="4"/>
  <c r="J270" i="4"/>
  <c r="J267" i="4"/>
  <c r="J264" i="4"/>
  <c r="J260" i="4"/>
  <c r="J259" i="4"/>
  <c r="J241" i="4"/>
  <c r="J239" i="4"/>
  <c r="J238" i="4"/>
  <c r="J237" i="4"/>
  <c r="J231" i="4"/>
  <c r="J215" i="4"/>
  <c r="J157" i="4"/>
  <c r="J156" i="4"/>
  <c r="J154" i="4"/>
  <c r="J153" i="4"/>
  <c r="J152" i="4"/>
  <c r="J147" i="4"/>
  <c r="J146" i="4"/>
  <c r="J140" i="4"/>
  <c r="J138" i="4"/>
  <c r="J137" i="4"/>
  <c r="J136" i="4"/>
  <c r="J134" i="4"/>
  <c r="J129" i="4"/>
  <c r="J127" i="4"/>
  <c r="J125" i="4"/>
  <c r="J124" i="4"/>
  <c r="J122" i="4"/>
  <c r="J121" i="4"/>
  <c r="J120" i="4"/>
  <c r="J109" i="4"/>
  <c r="J108" i="4"/>
  <c r="J107" i="4"/>
  <c r="J106" i="4"/>
  <c r="J105" i="4"/>
  <c r="J98" i="4"/>
  <c r="J96" i="4"/>
  <c r="J95" i="4"/>
  <c r="J94" i="4"/>
  <c r="J93" i="4"/>
  <c r="J92" i="4"/>
  <c r="J88" i="4"/>
  <c r="J85" i="4"/>
  <c r="J84" i="4"/>
  <c r="J83" i="4"/>
  <c r="J82" i="4"/>
  <c r="J81" i="4"/>
  <c r="J80" i="4"/>
  <c r="J79" i="4"/>
  <c r="J78" i="4"/>
  <c r="J77" i="4"/>
  <c r="J76" i="4"/>
  <c r="J75" i="4"/>
  <c r="J74" i="4"/>
  <c r="J72" i="4"/>
  <c r="J71" i="4"/>
  <c r="J70" i="4"/>
  <c r="J68" i="4"/>
  <c r="J67" i="4"/>
  <c r="J66" i="4"/>
  <c r="J65" i="4"/>
  <c r="J63" i="4"/>
  <c r="J62" i="4"/>
  <c r="J61" i="4"/>
  <c r="J60" i="4"/>
  <c r="J59" i="4"/>
  <c r="J58" i="4"/>
  <c r="J49" i="4"/>
  <c r="J38" i="4"/>
  <c r="J37" i="4"/>
  <c r="J12" i="4"/>
  <c r="J11" i="4"/>
  <c r="I411" i="4"/>
  <c r="I409" i="4"/>
  <c r="I380" i="4"/>
  <c r="I379" i="4"/>
  <c r="I377" i="4"/>
  <c r="I339" i="4"/>
  <c r="I338" i="4"/>
  <c r="I337" i="4"/>
  <c r="I335" i="4"/>
  <c r="I334" i="4"/>
  <c r="I333" i="4"/>
  <c r="I327" i="4"/>
  <c r="K327" i="4" s="1"/>
  <c r="I325" i="4"/>
  <c r="I324" i="4"/>
  <c r="I323" i="4"/>
  <c r="I320" i="4"/>
  <c r="I319" i="4"/>
  <c r="I318" i="4"/>
  <c r="I317" i="4"/>
  <c r="I316" i="4"/>
  <c r="I315" i="4"/>
  <c r="I314" i="4"/>
  <c r="I313" i="4"/>
  <c r="I295" i="4"/>
  <c r="K295" i="4" s="1"/>
  <c r="I294" i="4"/>
  <c r="K294" i="4" s="1"/>
  <c r="I293" i="4"/>
  <c r="K293" i="4" s="1"/>
  <c r="I292" i="4"/>
  <c r="K292" i="4" s="1"/>
  <c r="I291" i="4"/>
  <c r="K291" i="4" s="1"/>
  <c r="I290" i="4"/>
  <c r="K290" i="4" s="1"/>
  <c r="I289" i="4"/>
  <c r="K289" i="4" s="1"/>
  <c r="I288" i="4"/>
  <c r="K288" i="4" s="1"/>
  <c r="I287" i="4"/>
  <c r="K287" i="4" s="1"/>
  <c r="I286" i="4"/>
  <c r="K286" i="4" s="1"/>
  <c r="I285" i="4"/>
  <c r="K285" i="4" s="1"/>
  <c r="I284" i="4"/>
  <c r="K284" i="4" s="1"/>
  <c r="I283" i="4"/>
  <c r="K283" i="4" s="1"/>
  <c r="I282" i="4"/>
  <c r="I281" i="4"/>
  <c r="K281" i="4" s="1"/>
  <c r="I280" i="4"/>
  <c r="K280" i="4" s="1"/>
  <c r="I279" i="4"/>
  <c r="K279" i="4" s="1"/>
  <c r="I278" i="4"/>
  <c r="K278" i="4" s="1"/>
  <c r="I277" i="4"/>
  <c r="K277" i="4" s="1"/>
  <c r="I276" i="4"/>
  <c r="K276" i="4" s="1"/>
  <c r="I275" i="4"/>
  <c r="K275" i="4" s="1"/>
  <c r="I274" i="4"/>
  <c r="K274" i="4" s="1"/>
  <c r="I273" i="4"/>
  <c r="I272" i="4"/>
  <c r="K272" i="4" s="1"/>
  <c r="I271" i="4"/>
  <c r="I270" i="4"/>
  <c r="I269" i="4"/>
  <c r="K269" i="4" s="1"/>
  <c r="I268" i="4"/>
  <c r="K268" i="4" s="1"/>
  <c r="I267" i="4"/>
  <c r="I266" i="4"/>
  <c r="K266" i="4" s="1"/>
  <c r="I264" i="4"/>
  <c r="I263" i="4"/>
  <c r="K263" i="4" s="1"/>
  <c r="I262" i="4"/>
  <c r="K262" i="4" s="1"/>
  <c r="I261" i="4"/>
  <c r="K261" i="4" s="1"/>
  <c r="I260" i="4"/>
  <c r="I259" i="4"/>
  <c r="I258" i="4"/>
  <c r="K258" i="4" s="1"/>
  <c r="I257" i="4"/>
  <c r="K257" i="4" s="1"/>
  <c r="I256" i="4"/>
  <c r="K256" i="4" s="1"/>
  <c r="I255" i="4"/>
  <c r="K255" i="4" s="1"/>
  <c r="I254" i="4"/>
  <c r="K254" i="4" s="1"/>
  <c r="I253" i="4"/>
  <c r="K253" i="4" s="1"/>
  <c r="I252" i="4"/>
  <c r="K252" i="4" s="1"/>
  <c r="I251" i="4"/>
  <c r="K251" i="4" s="1"/>
  <c r="I250" i="4"/>
  <c r="K250" i="4" s="1"/>
  <c r="I249" i="4"/>
  <c r="K249" i="4" s="1"/>
  <c r="I248" i="4"/>
  <c r="K248" i="4" s="1"/>
  <c r="I247" i="4"/>
  <c r="K247" i="4" s="1"/>
  <c r="I246" i="4"/>
  <c r="K246" i="4" s="1"/>
  <c r="I245" i="4"/>
  <c r="K245" i="4" s="1"/>
  <c r="I244" i="4"/>
  <c r="K244" i="4" s="1"/>
  <c r="I243" i="4"/>
  <c r="K243" i="4" s="1"/>
  <c r="I242" i="4"/>
  <c r="K242" i="4" s="1"/>
  <c r="I241" i="4"/>
  <c r="I240" i="4"/>
  <c r="K240" i="4" s="1"/>
  <c r="I239" i="4"/>
  <c r="I238" i="4"/>
  <c r="I237" i="4"/>
  <c r="I236" i="4"/>
  <c r="K236" i="4" s="1"/>
  <c r="I235" i="4"/>
  <c r="K235" i="4" s="1"/>
  <c r="I234" i="4"/>
  <c r="K234" i="4" s="1"/>
  <c r="I233" i="4"/>
  <c r="K233" i="4" s="1"/>
  <c r="I232" i="4"/>
  <c r="K232" i="4" s="1"/>
  <c r="I231" i="4"/>
  <c r="I230" i="4"/>
  <c r="K230" i="4" s="1"/>
  <c r="I229" i="4"/>
  <c r="K229" i="4" s="1"/>
  <c r="I228" i="4"/>
  <c r="K228" i="4" s="1"/>
  <c r="I227" i="4"/>
  <c r="K227" i="4" s="1"/>
  <c r="I226" i="4"/>
  <c r="K226" i="4" s="1"/>
  <c r="I225" i="4"/>
  <c r="K225" i="4" s="1"/>
  <c r="I224" i="4"/>
  <c r="K224" i="4" s="1"/>
  <c r="I223" i="4"/>
  <c r="K223" i="4" s="1"/>
  <c r="I222" i="4"/>
  <c r="K222" i="4" s="1"/>
  <c r="I221" i="4"/>
  <c r="K221" i="4" s="1"/>
  <c r="I220" i="4"/>
  <c r="K220" i="4" s="1"/>
  <c r="I219" i="4"/>
  <c r="K219" i="4" s="1"/>
  <c r="I218" i="4"/>
  <c r="K218" i="4" s="1"/>
  <c r="I217" i="4"/>
  <c r="K217" i="4" s="1"/>
  <c r="I216" i="4"/>
  <c r="K216" i="4" s="1"/>
  <c r="I215" i="4"/>
  <c r="I214" i="4"/>
  <c r="K214" i="4" s="1"/>
  <c r="I213" i="4"/>
  <c r="K213" i="4" s="1"/>
  <c r="I212" i="4"/>
  <c r="K212" i="4" s="1"/>
  <c r="I211" i="4"/>
  <c r="K211" i="4" s="1"/>
  <c r="I210" i="4"/>
  <c r="K210" i="4" s="1"/>
  <c r="I209" i="4"/>
  <c r="K209" i="4" s="1"/>
  <c r="I208" i="4"/>
  <c r="K208" i="4" s="1"/>
  <c r="I206" i="4"/>
  <c r="K206" i="4" s="1"/>
  <c r="I205" i="4"/>
  <c r="K205" i="4" s="1"/>
  <c r="I204" i="4"/>
  <c r="K204" i="4" s="1"/>
  <c r="I203" i="4"/>
  <c r="K203" i="4" s="1"/>
  <c r="I202" i="4"/>
  <c r="K202" i="4" s="1"/>
  <c r="I201" i="4"/>
  <c r="K201" i="4" s="1"/>
  <c r="I200" i="4"/>
  <c r="K200" i="4" s="1"/>
  <c r="I199" i="4"/>
  <c r="K199" i="4" s="1"/>
  <c r="I198" i="4"/>
  <c r="K198" i="4" s="1"/>
  <c r="I197" i="4"/>
  <c r="K197" i="4" s="1"/>
  <c r="I196" i="4"/>
  <c r="K196" i="4" s="1"/>
  <c r="I195" i="4"/>
  <c r="K195" i="4" s="1"/>
  <c r="I194" i="4"/>
  <c r="K194" i="4" s="1"/>
  <c r="I193" i="4"/>
  <c r="K193" i="4" s="1"/>
  <c r="I192" i="4"/>
  <c r="K192" i="4" s="1"/>
  <c r="I191" i="4"/>
  <c r="K191" i="4" s="1"/>
  <c r="I190" i="4"/>
  <c r="K190" i="4" s="1"/>
  <c r="I189" i="4"/>
  <c r="K189" i="4" s="1"/>
  <c r="I186" i="4"/>
  <c r="K186" i="4" s="1"/>
  <c r="I185" i="4"/>
  <c r="K185" i="4" s="1"/>
  <c r="I184" i="4"/>
  <c r="K184" i="4" s="1"/>
  <c r="I183" i="4"/>
  <c r="K183" i="4" s="1"/>
  <c r="I182" i="4"/>
  <c r="K182" i="4" s="1"/>
  <c r="I181" i="4"/>
  <c r="K181" i="4" s="1"/>
  <c r="I180" i="4"/>
  <c r="K180" i="4" s="1"/>
  <c r="I179" i="4"/>
  <c r="K179" i="4" s="1"/>
  <c r="I178" i="4"/>
  <c r="K178" i="4" s="1"/>
  <c r="I177" i="4"/>
  <c r="K177" i="4" s="1"/>
  <c r="I176" i="4"/>
  <c r="K176" i="4" s="1"/>
  <c r="I175" i="4"/>
  <c r="K175" i="4" s="1"/>
  <c r="I174" i="4"/>
  <c r="K174" i="4" s="1"/>
  <c r="I173" i="4"/>
  <c r="K173" i="4" s="1"/>
  <c r="I172" i="4"/>
  <c r="K172" i="4" s="1"/>
  <c r="I171" i="4"/>
  <c r="K171" i="4" s="1"/>
  <c r="I157" i="4"/>
  <c r="I156" i="4"/>
  <c r="I155" i="4"/>
  <c r="I154" i="4"/>
  <c r="I153" i="4"/>
  <c r="I152" i="4"/>
  <c r="I151" i="4"/>
  <c r="I147" i="4"/>
  <c r="I146" i="4"/>
  <c r="I141" i="4"/>
  <c r="I140" i="4"/>
  <c r="I138" i="4"/>
  <c r="I137" i="4"/>
  <c r="I136" i="4"/>
  <c r="I134" i="4"/>
  <c r="I129" i="4"/>
  <c r="I127" i="4"/>
  <c r="I125" i="4"/>
  <c r="I124" i="4"/>
  <c r="I122" i="4"/>
  <c r="I121" i="4"/>
  <c r="I120" i="4"/>
  <c r="I109" i="4"/>
  <c r="I108" i="4"/>
  <c r="I107" i="4"/>
  <c r="I106" i="4"/>
  <c r="I105" i="4"/>
  <c r="I104" i="4"/>
  <c r="I103" i="4"/>
  <c r="I102" i="4"/>
  <c r="I101" i="4"/>
  <c r="I100" i="4"/>
  <c r="I99" i="4"/>
  <c r="I98" i="4"/>
  <c r="I96" i="4"/>
  <c r="I95" i="4"/>
  <c r="I94" i="4"/>
  <c r="I93" i="4"/>
  <c r="I92" i="4"/>
  <c r="I91" i="4"/>
  <c r="I88" i="4"/>
  <c r="I85" i="4"/>
  <c r="I84" i="4"/>
  <c r="I83" i="4"/>
  <c r="I82" i="4"/>
  <c r="I81" i="4"/>
  <c r="I80" i="4"/>
  <c r="I79" i="4"/>
  <c r="I78" i="4"/>
  <c r="I77" i="4"/>
  <c r="I76" i="4"/>
  <c r="I75" i="4"/>
  <c r="I74" i="4"/>
  <c r="I72" i="4"/>
  <c r="I71" i="4"/>
  <c r="I70" i="4"/>
  <c r="I68" i="4"/>
  <c r="I67" i="4"/>
  <c r="I66" i="4"/>
  <c r="I65" i="4"/>
  <c r="I63" i="4"/>
  <c r="I62" i="4"/>
  <c r="I61" i="4"/>
  <c r="I60" i="4"/>
  <c r="I59" i="4"/>
  <c r="I58" i="4"/>
  <c r="I49" i="4"/>
  <c r="I41" i="4"/>
  <c r="I40" i="4"/>
  <c r="I39" i="4"/>
  <c r="I38" i="4"/>
  <c r="I37" i="4"/>
  <c r="I17" i="4"/>
  <c r="I16" i="4"/>
  <c r="I15" i="4"/>
  <c r="I14" i="4"/>
  <c r="I13" i="4"/>
  <c r="I12" i="4"/>
  <c r="I11" i="4"/>
  <c r="H411" i="4"/>
  <c r="H496" i="4" s="1"/>
  <c r="H380" i="4"/>
  <c r="L2" i="4" s="1"/>
  <c r="H379" i="4"/>
  <c r="H377" i="4"/>
  <c r="H405" i="4" s="1"/>
  <c r="G339" i="4"/>
  <c r="G338" i="4"/>
  <c r="G337" i="4"/>
  <c r="G336" i="4"/>
  <c r="G335" i="4"/>
  <c r="G334" i="4"/>
  <c r="G333" i="4"/>
  <c r="G332" i="4"/>
  <c r="G331" i="4"/>
  <c r="G330" i="4"/>
  <c r="G329" i="4"/>
  <c r="G328" i="4"/>
  <c r="G327" i="4"/>
  <c r="G326" i="4"/>
  <c r="G325" i="4"/>
  <c r="G324" i="4"/>
  <c r="G323" i="4"/>
  <c r="G322" i="4"/>
  <c r="G321" i="4"/>
  <c r="G320" i="4"/>
  <c r="G319" i="4"/>
  <c r="G318" i="4"/>
  <c r="G317" i="4"/>
  <c r="G316" i="4"/>
  <c r="G315" i="4"/>
  <c r="G314" i="4"/>
  <c r="G312" i="4"/>
  <c r="G311" i="4"/>
  <c r="H339" i="4"/>
  <c r="H338" i="4"/>
  <c r="H337" i="4"/>
  <c r="H335" i="4"/>
  <c r="H334" i="4"/>
  <c r="H333" i="4"/>
  <c r="H327" i="4"/>
  <c r="H325" i="4"/>
  <c r="H324" i="4"/>
  <c r="H323" i="4"/>
  <c r="H320" i="4"/>
  <c r="H319" i="4"/>
  <c r="H318" i="4"/>
  <c r="H317" i="4"/>
  <c r="H316" i="4"/>
  <c r="H315" i="4"/>
  <c r="H314" i="4"/>
  <c r="H313" i="4"/>
  <c r="H295" i="4"/>
  <c r="H294" i="4"/>
  <c r="H293" i="4"/>
  <c r="H292" i="4"/>
  <c r="H291" i="4"/>
  <c r="H290" i="4"/>
  <c r="H289" i="4"/>
  <c r="H288" i="4"/>
  <c r="H287" i="4"/>
  <c r="H286" i="4"/>
  <c r="H285" i="4"/>
  <c r="H284" i="4"/>
  <c r="H283" i="4"/>
  <c r="H282" i="4"/>
  <c r="H281" i="4"/>
  <c r="H280" i="4"/>
  <c r="H279" i="4"/>
  <c r="H278" i="4"/>
  <c r="H277" i="4"/>
  <c r="H276" i="4"/>
  <c r="H275" i="4"/>
  <c r="H274" i="4"/>
  <c r="H273" i="4"/>
  <c r="H272" i="4"/>
  <c r="H271" i="4"/>
  <c r="H270" i="4"/>
  <c r="H269" i="4"/>
  <c r="H268" i="4"/>
  <c r="H267" i="4"/>
  <c r="H266" i="4"/>
  <c r="H264" i="4"/>
  <c r="H263" i="4"/>
  <c r="H262" i="4"/>
  <c r="H261" i="4"/>
  <c r="H260" i="4"/>
  <c r="H259" i="4"/>
  <c r="H258" i="4"/>
  <c r="H257" i="4"/>
  <c r="H256" i="4"/>
  <c r="H255" i="4"/>
  <c r="H254" i="4"/>
  <c r="H253" i="4"/>
  <c r="H252" i="4"/>
  <c r="H251" i="4"/>
  <c r="H250" i="4"/>
  <c r="H249" i="4"/>
  <c r="H248" i="4"/>
  <c r="H247" i="4"/>
  <c r="H246" i="4"/>
  <c r="H245" i="4"/>
  <c r="H244" i="4"/>
  <c r="H243" i="4"/>
  <c r="H242" i="4"/>
  <c r="H241" i="4"/>
  <c r="H240" i="4"/>
  <c r="H239" i="4"/>
  <c r="H238" i="4"/>
  <c r="H237" i="4"/>
  <c r="H236" i="4"/>
  <c r="H235" i="4"/>
  <c r="H234" i="4"/>
  <c r="H233" i="4"/>
  <c r="H232" i="4"/>
  <c r="H231" i="4"/>
  <c r="H230" i="4"/>
  <c r="H229" i="4"/>
  <c r="H228" i="4"/>
  <c r="H227" i="4"/>
  <c r="H226" i="4"/>
  <c r="H225" i="4"/>
  <c r="H224" i="4"/>
  <c r="H223" i="4"/>
  <c r="H222" i="4"/>
  <c r="H221" i="4"/>
  <c r="H220" i="4"/>
  <c r="H219" i="4"/>
  <c r="H218" i="4"/>
  <c r="H217" i="4"/>
  <c r="H216" i="4"/>
  <c r="H215" i="4"/>
  <c r="H214" i="4"/>
  <c r="H213" i="4"/>
  <c r="H212" i="4"/>
  <c r="H211" i="4"/>
  <c r="H210" i="4"/>
  <c r="H209" i="4"/>
  <c r="H208" i="4"/>
  <c r="H206" i="4"/>
  <c r="H205" i="4"/>
  <c r="H204" i="4"/>
  <c r="H203" i="4"/>
  <c r="H202" i="4"/>
  <c r="H201" i="4"/>
  <c r="H200" i="4"/>
  <c r="H199" i="4"/>
  <c r="H198" i="4"/>
  <c r="H197" i="4"/>
  <c r="H196" i="4"/>
  <c r="H195" i="4"/>
  <c r="H194" i="4"/>
  <c r="H193" i="4"/>
  <c r="H192" i="4"/>
  <c r="H191" i="4"/>
  <c r="H190" i="4"/>
  <c r="H189" i="4"/>
  <c r="H188" i="4"/>
  <c r="H186" i="4"/>
  <c r="H185" i="4"/>
  <c r="H184" i="4"/>
  <c r="H183" i="4"/>
  <c r="H182" i="4"/>
  <c r="H181" i="4"/>
  <c r="H180" i="4"/>
  <c r="H179" i="4"/>
  <c r="H178" i="4"/>
  <c r="H177" i="4"/>
  <c r="H176" i="4"/>
  <c r="H175" i="4"/>
  <c r="H174" i="4"/>
  <c r="H173" i="4"/>
  <c r="H172" i="4"/>
  <c r="H171" i="4"/>
  <c r="H307" i="4" s="1"/>
  <c r="H157" i="4"/>
  <c r="H156" i="4"/>
  <c r="H155" i="4"/>
  <c r="H154" i="4"/>
  <c r="H153" i="4"/>
  <c r="H152" i="4"/>
  <c r="H151" i="4"/>
  <c r="H147" i="4"/>
  <c r="H146" i="4"/>
  <c r="H141" i="4"/>
  <c r="H140" i="4"/>
  <c r="H138" i="4"/>
  <c r="H137" i="4"/>
  <c r="H136" i="4"/>
  <c r="H134" i="4"/>
  <c r="H129" i="4"/>
  <c r="H127" i="4"/>
  <c r="H125" i="4"/>
  <c r="H124" i="4"/>
  <c r="H122" i="4"/>
  <c r="H121" i="4"/>
  <c r="H120" i="4"/>
  <c r="H109" i="4"/>
  <c r="H108" i="4"/>
  <c r="H107" i="4"/>
  <c r="H106" i="4"/>
  <c r="H105" i="4"/>
  <c r="H104" i="4"/>
  <c r="H103" i="4"/>
  <c r="H102" i="4"/>
  <c r="H101" i="4"/>
  <c r="H100" i="4"/>
  <c r="H99" i="4"/>
  <c r="H98" i="4"/>
  <c r="H95" i="4"/>
  <c r="H94" i="4"/>
  <c r="H93" i="4"/>
  <c r="H92" i="4"/>
  <c r="H91" i="4"/>
  <c r="H84" i="4"/>
  <c r="H83" i="4"/>
  <c r="H82" i="4"/>
  <c r="H81" i="4"/>
  <c r="H80" i="4"/>
  <c r="H79" i="4"/>
  <c r="H78" i="4"/>
  <c r="H77" i="4"/>
  <c r="H76" i="4"/>
  <c r="H75" i="4"/>
  <c r="H74" i="4"/>
  <c r="H71" i="4"/>
  <c r="H70" i="4"/>
  <c r="H68" i="4"/>
  <c r="H67" i="4"/>
  <c r="H66" i="4"/>
  <c r="H63" i="4"/>
  <c r="H62" i="4"/>
  <c r="H61" i="4"/>
  <c r="H60" i="4"/>
  <c r="H59" i="4"/>
  <c r="H58" i="4"/>
  <c r="H49" i="4"/>
  <c r="H41" i="4"/>
  <c r="H40" i="4"/>
  <c r="H39" i="4"/>
  <c r="H38" i="4"/>
  <c r="H37" i="4"/>
  <c r="H17" i="4"/>
  <c r="H16" i="4"/>
  <c r="H15" i="4"/>
  <c r="H14" i="4"/>
  <c r="H13" i="4"/>
  <c r="H12" i="4"/>
  <c r="H11" i="4"/>
  <c r="F8" i="4"/>
  <c r="G295" i="4"/>
  <c r="G294" i="4"/>
  <c r="G293" i="4"/>
  <c r="G292" i="4"/>
  <c r="G291" i="4"/>
  <c r="G290" i="4"/>
  <c r="G289" i="4"/>
  <c r="G288" i="4"/>
  <c r="G287" i="4"/>
  <c r="G286" i="4"/>
  <c r="G285" i="4"/>
  <c r="G284" i="4"/>
  <c r="G283" i="4"/>
  <c r="G282" i="4"/>
  <c r="G281" i="4"/>
  <c r="G280" i="4"/>
  <c r="G279" i="4"/>
  <c r="G278" i="4"/>
  <c r="G277" i="4"/>
  <c r="G276" i="4"/>
  <c r="G275" i="4"/>
  <c r="G274" i="4"/>
  <c r="G273" i="4"/>
  <c r="G272" i="4"/>
  <c r="G271" i="4"/>
  <c r="G270" i="4"/>
  <c r="G269" i="4"/>
  <c r="G268" i="4"/>
  <c r="G267" i="4"/>
  <c r="G266" i="4"/>
  <c r="G265" i="4"/>
  <c r="G264" i="4"/>
  <c r="G263" i="4"/>
  <c r="G262" i="4"/>
  <c r="G261" i="4"/>
  <c r="G260" i="4"/>
  <c r="G259" i="4"/>
  <c r="G258" i="4"/>
  <c r="G257" i="4"/>
  <c r="G256" i="4"/>
  <c r="G255" i="4"/>
  <c r="G254" i="4"/>
  <c r="G253" i="4"/>
  <c r="G252" i="4"/>
  <c r="G251" i="4"/>
  <c r="G250" i="4"/>
  <c r="G249" i="4"/>
  <c r="G248" i="4"/>
  <c r="G247" i="4"/>
  <c r="G246" i="4"/>
  <c r="G245" i="4"/>
  <c r="G244" i="4"/>
  <c r="G243" i="4"/>
  <c r="G242" i="4"/>
  <c r="G241" i="4"/>
  <c r="G240" i="4"/>
  <c r="G239" i="4"/>
  <c r="G238" i="4"/>
  <c r="G237" i="4"/>
  <c r="G236" i="4"/>
  <c r="G235" i="4"/>
  <c r="G234" i="4"/>
  <c r="G233" i="4"/>
  <c r="G232" i="4"/>
  <c r="G231" i="4"/>
  <c r="G230" i="4"/>
  <c r="G229" i="4"/>
  <c r="G228" i="4"/>
  <c r="G227" i="4"/>
  <c r="G226" i="4"/>
  <c r="G225" i="4"/>
  <c r="G224" i="4"/>
  <c r="G219" i="4"/>
  <c r="G218" i="4"/>
  <c r="G217" i="4"/>
  <c r="G216" i="4"/>
  <c r="G215" i="4"/>
  <c r="G210" i="4"/>
  <c r="G209" i="4"/>
  <c r="G207" i="4"/>
  <c r="AH207" i="4" s="1"/>
  <c r="G201" i="4"/>
  <c r="G200" i="4"/>
  <c r="G199" i="4"/>
  <c r="G196" i="4"/>
  <c r="G189" i="4"/>
  <c r="G188" i="4"/>
  <c r="G187" i="4"/>
  <c r="G186" i="4"/>
  <c r="G184" i="4"/>
  <c r="G183" i="4"/>
  <c r="G182" i="4"/>
  <c r="G181" i="4"/>
  <c r="G180" i="4"/>
  <c r="G179" i="4"/>
  <c r="G178" i="4"/>
  <c r="G177" i="4"/>
  <c r="G176" i="4"/>
  <c r="G175" i="4"/>
  <c r="G174" i="4"/>
  <c r="G173" i="4"/>
  <c r="G172" i="4"/>
  <c r="G171" i="4"/>
  <c r="F208" i="4"/>
  <c r="G208" i="4" s="1"/>
  <c r="G33" i="3"/>
  <c r="G35" i="3" s="1"/>
  <c r="G32" i="3"/>
  <c r="F185" i="4"/>
  <c r="G26" i="3"/>
  <c r="G28" i="3" s="1"/>
  <c r="G25" i="3"/>
  <c r="G150" i="4"/>
  <c r="G149" i="4"/>
  <c r="G148" i="4"/>
  <c r="G147" i="4"/>
  <c r="G146" i="4"/>
  <c r="G145" i="4"/>
  <c r="G144" i="4"/>
  <c r="G143" i="4"/>
  <c r="G142" i="4"/>
  <c r="G141" i="4"/>
  <c r="G140" i="4"/>
  <c r="G139" i="4"/>
  <c r="G138" i="4"/>
  <c r="G137" i="4"/>
  <c r="G136" i="4"/>
  <c r="G135" i="4"/>
  <c r="G134" i="4"/>
  <c r="G133" i="4"/>
  <c r="G132" i="4"/>
  <c r="G131" i="4"/>
  <c r="G130" i="4"/>
  <c r="G128" i="4"/>
  <c r="G127" i="4"/>
  <c r="G126" i="4"/>
  <c r="G125" i="4"/>
  <c r="G124" i="4"/>
  <c r="G123" i="4"/>
  <c r="G122" i="4"/>
  <c r="F129" i="4"/>
  <c r="F168" i="4" s="1"/>
  <c r="G118" i="4"/>
  <c r="G120" i="4"/>
  <c r="F309" i="4"/>
  <c r="F313" i="4"/>
  <c r="G313" i="4" s="1"/>
  <c r="G19" i="3"/>
  <c r="G18" i="3"/>
  <c r="H168" i="4" l="1"/>
  <c r="H29" i="4"/>
  <c r="G185" i="4"/>
  <c r="H56" i="4"/>
  <c r="H373" i="4"/>
  <c r="F373" i="4"/>
  <c r="F29" i="4"/>
  <c r="Y313" i="4"/>
  <c r="AF187" i="4"/>
  <c r="AF207" i="4"/>
  <c r="G129" i="4"/>
  <c r="K409" i="4"/>
  <c r="AH282" i="4"/>
  <c r="AH215" i="4"/>
  <c r="AG187" i="4"/>
  <c r="AG207" i="4"/>
  <c r="AH208" i="4"/>
  <c r="AD183" i="4"/>
  <c r="AE183" i="4"/>
  <c r="G8" i="4"/>
  <c r="K231" i="4"/>
  <c r="K238" i="4"/>
  <c r="K241" i="4"/>
  <c r="K260" i="4"/>
  <c r="X260" i="4" s="1"/>
  <c r="K267" i="4"/>
  <c r="K271" i="4"/>
  <c r="K282" i="4"/>
  <c r="N282" i="4" s="1"/>
  <c r="G34" i="3"/>
  <c r="K215" i="4"/>
  <c r="T215" i="4" s="1"/>
  <c r="K237" i="4"/>
  <c r="K239" i="4"/>
  <c r="K259" i="4"/>
  <c r="K264" i="4"/>
  <c r="K270" i="4"/>
  <c r="X270" i="4" s="1"/>
  <c r="K273" i="4"/>
  <c r="N273" i="4" s="1"/>
  <c r="K380" i="4"/>
  <c r="U382" i="4"/>
  <c r="AH185" i="4"/>
  <c r="AH173" i="4"/>
  <c r="AH177" i="4"/>
  <c r="AH181" i="4"/>
  <c r="AH186" i="4"/>
  <c r="AH196" i="4"/>
  <c r="AH216" i="4"/>
  <c r="AH224" i="4"/>
  <c r="AH228" i="4"/>
  <c r="AH232" i="4"/>
  <c r="AH236" i="4"/>
  <c r="AH240" i="4"/>
  <c r="AH244" i="4"/>
  <c r="AH248" i="4"/>
  <c r="AH252" i="4"/>
  <c r="AH256" i="4"/>
  <c r="AH260" i="4"/>
  <c r="AH264" i="4"/>
  <c r="AH268" i="4"/>
  <c r="AH272" i="4"/>
  <c r="AH276" i="4"/>
  <c r="AH280" i="4"/>
  <c r="AH284" i="4"/>
  <c r="AH288" i="4"/>
  <c r="AH292" i="4"/>
  <c r="AH312" i="4"/>
  <c r="AH317" i="4"/>
  <c r="AH321" i="4"/>
  <c r="AH325" i="4"/>
  <c r="AH329" i="4"/>
  <c r="AH333" i="4"/>
  <c r="AH337" i="4"/>
  <c r="AH172" i="4"/>
  <c r="AH176" i="4"/>
  <c r="AH180" i="4"/>
  <c r="AH184" i="4"/>
  <c r="AH189" i="4"/>
  <c r="AH201" i="4"/>
  <c r="AH219" i="4"/>
  <c r="AH227" i="4"/>
  <c r="AH231" i="4"/>
  <c r="AH235" i="4"/>
  <c r="AH239" i="4"/>
  <c r="AH243" i="4"/>
  <c r="AH247" i="4"/>
  <c r="AH251" i="4"/>
  <c r="AH255" i="4"/>
  <c r="AH259" i="4"/>
  <c r="AH263" i="4"/>
  <c r="AH267" i="4"/>
  <c r="AH271" i="4"/>
  <c r="AE275" i="4"/>
  <c r="AC275" i="4"/>
  <c r="Y275" i="4"/>
  <c r="U275" i="4"/>
  <c r="Q275" i="4"/>
  <c r="Z275" i="4"/>
  <c r="V275" i="4"/>
  <c r="R275" i="4"/>
  <c r="N275" i="4"/>
  <c r="AA275" i="4"/>
  <c r="W275" i="4"/>
  <c r="S275" i="4"/>
  <c r="O275" i="4"/>
  <c r="AB275" i="4"/>
  <c r="X275" i="4"/>
  <c r="T275" i="4"/>
  <c r="P275" i="4"/>
  <c r="AH275" i="4"/>
  <c r="AH279" i="4"/>
  <c r="AH283" i="4"/>
  <c r="AH287" i="4"/>
  <c r="AC291" i="4"/>
  <c r="Y291" i="4"/>
  <c r="U291" i="4"/>
  <c r="Q291" i="4"/>
  <c r="Z291" i="4"/>
  <c r="V291" i="4"/>
  <c r="R291" i="4"/>
  <c r="N291" i="4"/>
  <c r="AE291" i="4"/>
  <c r="AA291" i="4"/>
  <c r="W291" i="4"/>
  <c r="S291" i="4"/>
  <c r="O291" i="4"/>
  <c r="AB291" i="4"/>
  <c r="X291" i="4"/>
  <c r="T291" i="4"/>
  <c r="P291" i="4"/>
  <c r="AH291" i="4"/>
  <c r="AH295" i="4"/>
  <c r="AH311" i="4"/>
  <c r="AH316" i="4"/>
  <c r="AH320" i="4"/>
  <c r="AH324" i="4"/>
  <c r="AH328" i="4"/>
  <c r="AH332" i="4"/>
  <c r="AH336" i="4"/>
  <c r="K141" i="4"/>
  <c r="P141" i="4" s="1"/>
  <c r="AH171" i="4"/>
  <c r="AH175" i="4"/>
  <c r="AH179" i="4"/>
  <c r="AH183" i="4"/>
  <c r="AH188" i="4"/>
  <c r="AH200" i="4"/>
  <c r="AH210" i="4"/>
  <c r="AH218" i="4"/>
  <c r="AH226" i="4"/>
  <c r="AH230" i="4"/>
  <c r="AH234" i="4"/>
  <c r="AH238" i="4"/>
  <c r="AB242" i="4"/>
  <c r="X242" i="4"/>
  <c r="T242" i="4"/>
  <c r="P242" i="4"/>
  <c r="AE242" i="4"/>
  <c r="AC242" i="4"/>
  <c r="Y242" i="4"/>
  <c r="U242" i="4"/>
  <c r="Q242" i="4"/>
  <c r="Z242" i="4"/>
  <c r="V242" i="4"/>
  <c r="R242" i="4"/>
  <c r="N242" i="4"/>
  <c r="AA242" i="4"/>
  <c r="W242" i="4"/>
  <c r="S242" i="4"/>
  <c r="O242" i="4"/>
  <c r="AH242" i="4"/>
  <c r="AH246" i="4"/>
  <c r="AH250" i="4"/>
  <c r="AH254" i="4"/>
  <c r="AH258" i="4"/>
  <c r="AH262" i="4"/>
  <c r="AH266" i="4"/>
  <c r="AH270" i="4"/>
  <c r="AH274" i="4"/>
  <c r="AH278" i="4"/>
  <c r="AH286" i="4"/>
  <c r="AH290" i="4"/>
  <c r="AH294" i="4"/>
  <c r="AH315" i="4"/>
  <c r="AH319" i="4"/>
  <c r="AH323" i="4"/>
  <c r="O327" i="4"/>
  <c r="P327" i="4"/>
  <c r="Q327" i="4"/>
  <c r="AH327" i="4"/>
  <c r="N327" i="4"/>
  <c r="AH331" i="4"/>
  <c r="AH335" i="4"/>
  <c r="AH339" i="4"/>
  <c r="V226" i="4"/>
  <c r="AH313" i="4"/>
  <c r="AH174" i="4"/>
  <c r="AH178" i="4"/>
  <c r="AH182" i="4"/>
  <c r="AH187" i="4"/>
  <c r="AH199" i="4"/>
  <c r="AH209" i="4"/>
  <c r="AH217" i="4"/>
  <c r="AH225" i="4"/>
  <c r="AH229" i="4"/>
  <c r="AH233" i="4"/>
  <c r="AH237" i="4"/>
  <c r="AH241" i="4"/>
  <c r="AH245" i="4"/>
  <c r="AH249" i="4"/>
  <c r="AH253" i="4"/>
  <c r="AH257" i="4"/>
  <c r="AH261" i="4"/>
  <c r="AH265" i="4"/>
  <c r="AH269" i="4"/>
  <c r="AH273" i="4"/>
  <c r="AH277" i="4"/>
  <c r="AH281" i="4"/>
  <c r="AA285" i="4"/>
  <c r="W285" i="4"/>
  <c r="S285" i="4"/>
  <c r="O285" i="4"/>
  <c r="AE285" i="4"/>
  <c r="AB285" i="4"/>
  <c r="X285" i="4"/>
  <c r="T285" i="4"/>
  <c r="P285" i="4"/>
  <c r="AC285" i="4"/>
  <c r="Y285" i="4"/>
  <c r="U285" i="4"/>
  <c r="Q285" i="4"/>
  <c r="Z285" i="4"/>
  <c r="V285" i="4"/>
  <c r="R285" i="4"/>
  <c r="N285" i="4"/>
  <c r="AH285" i="4"/>
  <c r="AH289" i="4"/>
  <c r="AH293" i="4"/>
  <c r="AH314" i="4"/>
  <c r="AH318" i="4"/>
  <c r="AH322" i="4"/>
  <c r="AH326" i="4"/>
  <c r="AH330" i="4"/>
  <c r="AH334" i="4"/>
  <c r="AH338" i="4"/>
  <c r="K16" i="4"/>
  <c r="K67" i="4"/>
  <c r="K106" i="4"/>
  <c r="K85" i="4"/>
  <c r="N226" i="4"/>
  <c r="K13" i="4"/>
  <c r="K17" i="4"/>
  <c r="K40" i="4"/>
  <c r="K59" i="4"/>
  <c r="K63" i="4"/>
  <c r="K68" i="4"/>
  <c r="K74" i="4"/>
  <c r="K78" i="4"/>
  <c r="K82" i="4"/>
  <c r="K88" i="4"/>
  <c r="K94" i="4"/>
  <c r="K99" i="4"/>
  <c r="K103" i="4"/>
  <c r="K107" i="4"/>
  <c r="K121" i="4"/>
  <c r="K127" i="4"/>
  <c r="N127" i="4" s="1"/>
  <c r="K137" i="4"/>
  <c r="N137" i="4" s="1"/>
  <c r="K146" i="4"/>
  <c r="Q146" i="4" s="1"/>
  <c r="K153" i="4"/>
  <c r="R153" i="4" s="1"/>
  <c r="K157" i="4"/>
  <c r="V227" i="4"/>
  <c r="W243" i="4"/>
  <c r="K313" i="4"/>
  <c r="K317" i="4"/>
  <c r="K323" i="4"/>
  <c r="K333" i="4"/>
  <c r="K338" i="4"/>
  <c r="S338" i="4" s="1"/>
  <c r="K12" i="4"/>
  <c r="K39" i="4"/>
  <c r="K58" i="4"/>
  <c r="K62" i="4"/>
  <c r="K72" i="4"/>
  <c r="K77" i="4"/>
  <c r="K81" i="4"/>
  <c r="K93" i="4"/>
  <c r="K98" i="4"/>
  <c r="K102" i="4"/>
  <c r="K120" i="4"/>
  <c r="O120" i="4" s="1"/>
  <c r="K125" i="4"/>
  <c r="O125" i="4" s="1"/>
  <c r="K136" i="4"/>
  <c r="O136" i="4" s="1"/>
  <c r="K152" i="4"/>
  <c r="S152" i="4" s="1"/>
  <c r="K156" i="4"/>
  <c r="U218" i="4"/>
  <c r="W246" i="4"/>
  <c r="Y279" i="4"/>
  <c r="K316" i="4"/>
  <c r="K320" i="4"/>
  <c r="K337" i="4"/>
  <c r="K379" i="4"/>
  <c r="K14" i="4"/>
  <c r="K37" i="4"/>
  <c r="K41" i="4"/>
  <c r="K60" i="4"/>
  <c r="K65" i="4"/>
  <c r="K70" i="4"/>
  <c r="K75" i="4"/>
  <c r="K79" i="4"/>
  <c r="K83" i="4"/>
  <c r="K91" i="4"/>
  <c r="K95" i="4"/>
  <c r="K100" i="4"/>
  <c r="K104" i="4"/>
  <c r="K108" i="4"/>
  <c r="K122" i="4"/>
  <c r="O122" i="4" s="1"/>
  <c r="K129" i="4"/>
  <c r="K138" i="4"/>
  <c r="O138" i="4" s="1"/>
  <c r="K147" i="4"/>
  <c r="Q147" i="4" s="1"/>
  <c r="K154" i="4"/>
  <c r="V154" i="4" s="1"/>
  <c r="N208" i="4"/>
  <c r="U269" i="4"/>
  <c r="AC277" i="4"/>
  <c r="S281" i="4"/>
  <c r="Y289" i="4"/>
  <c r="AE293" i="4"/>
  <c r="K314" i="4"/>
  <c r="N314" i="4" s="1"/>
  <c r="K318" i="4"/>
  <c r="K324" i="4"/>
  <c r="K334" i="4"/>
  <c r="P334" i="4" s="1"/>
  <c r="K339" i="4"/>
  <c r="K411" i="4"/>
  <c r="K11" i="4"/>
  <c r="K15" i="4"/>
  <c r="K38" i="4"/>
  <c r="K49" i="4"/>
  <c r="K61" i="4"/>
  <c r="K66" i="4"/>
  <c r="K71" i="4"/>
  <c r="K76" i="4"/>
  <c r="K80" i="4"/>
  <c r="K84" i="4"/>
  <c r="K92" i="4"/>
  <c r="K96" i="4"/>
  <c r="K101" i="4"/>
  <c r="K105" i="4"/>
  <c r="K109" i="4"/>
  <c r="K124" i="4"/>
  <c r="N124" i="4" s="1"/>
  <c r="K134" i="4"/>
  <c r="N134" i="4" s="1"/>
  <c r="K140" i="4"/>
  <c r="O140" i="4" s="1"/>
  <c r="K151" i="4"/>
  <c r="K155" i="4"/>
  <c r="T209" i="4"/>
  <c r="V225" i="4"/>
  <c r="R245" i="4"/>
  <c r="AB249" i="4"/>
  <c r="X253" i="4"/>
  <c r="P261" i="4"/>
  <c r="AE266" i="4"/>
  <c r="AA286" i="4"/>
  <c r="K315" i="4"/>
  <c r="K319" i="4"/>
  <c r="K325" i="4"/>
  <c r="K335" i="4"/>
  <c r="K377" i="4"/>
  <c r="L118" i="4"/>
  <c r="G27" i="3"/>
  <c r="G20" i="3"/>
  <c r="G21" i="3"/>
  <c r="G102" i="4"/>
  <c r="G84" i="4"/>
  <c r="F72" i="4"/>
  <c r="F70" i="4"/>
  <c r="F65" i="4"/>
  <c r="F96" i="4"/>
  <c r="G97" i="4"/>
  <c r="G91" i="4"/>
  <c r="G90" i="4"/>
  <c r="G89" i="4"/>
  <c r="F88" i="4"/>
  <c r="G12" i="3"/>
  <c r="G14" i="3" s="1"/>
  <c r="G11" i="3"/>
  <c r="G5" i="3"/>
  <c r="G7" i="3" s="1"/>
  <c r="G4" i="3"/>
  <c r="F85" i="4"/>
  <c r="D85" i="4"/>
  <c r="C41" i="3"/>
  <c r="G87" i="4"/>
  <c r="G86" i="4"/>
  <c r="G73" i="4"/>
  <c r="G69" i="4"/>
  <c r="G64" i="4"/>
  <c r="G36" i="4"/>
  <c r="G35" i="4"/>
  <c r="G34" i="4"/>
  <c r="G33" i="4"/>
  <c r="G410" i="4"/>
  <c r="G46" i="4"/>
  <c r="G45" i="4"/>
  <c r="G44" i="4"/>
  <c r="G43" i="4"/>
  <c r="G42" i="4"/>
  <c r="G48" i="4"/>
  <c r="G47" i="4"/>
  <c r="F14" i="6"/>
  <c r="F6" i="6"/>
  <c r="F12" i="6"/>
  <c r="F13" i="6" s="1"/>
  <c r="F4" i="6"/>
  <c r="F5" i="6" s="1"/>
  <c r="C304" i="6"/>
  <c r="C302" i="6"/>
  <c r="C296" i="6"/>
  <c r="C294" i="6"/>
  <c r="C295" i="6" s="1"/>
  <c r="C288" i="6"/>
  <c r="C286" i="6"/>
  <c r="C287" i="6" s="1"/>
  <c r="C278" i="6"/>
  <c r="C279" i="6" s="1"/>
  <c r="C280" i="6"/>
  <c r="C263" i="6"/>
  <c r="C261" i="6"/>
  <c r="C262" i="6" s="1"/>
  <c r="C271" i="6"/>
  <c r="C269" i="6"/>
  <c r="C236" i="6"/>
  <c r="C237" i="6" s="1"/>
  <c r="C228" i="6"/>
  <c r="C229" i="6" s="1"/>
  <c r="C252" i="6"/>
  <c r="C253" i="6" s="1"/>
  <c r="C244" i="6"/>
  <c r="C245" i="6" s="1"/>
  <c r="C254" i="6"/>
  <c r="C246" i="6"/>
  <c r="C238" i="6"/>
  <c r="C230" i="6"/>
  <c r="C211" i="6"/>
  <c r="C212" i="6" s="1"/>
  <c r="C203" i="6"/>
  <c r="C195" i="6"/>
  <c r="C196" i="6" s="1"/>
  <c r="C187" i="6"/>
  <c r="C219" i="6"/>
  <c r="C221" i="6"/>
  <c r="C213" i="6"/>
  <c r="C205" i="6"/>
  <c r="C197" i="6"/>
  <c r="C189" i="6"/>
  <c r="C180" i="6"/>
  <c r="C178" i="6"/>
  <c r="C179" i="6" s="1"/>
  <c r="C172" i="6"/>
  <c r="C170" i="6"/>
  <c r="C171" i="6" s="1"/>
  <c r="C155" i="6"/>
  <c r="C161" i="6"/>
  <c r="C162" i="6" s="1"/>
  <c r="C163" i="6"/>
  <c r="C153" i="6"/>
  <c r="C154" i="6" s="1"/>
  <c r="C146" i="6"/>
  <c r="C144" i="6"/>
  <c r="C145" i="6" s="1"/>
  <c r="C136" i="6"/>
  <c r="C137" i="6" s="1"/>
  <c r="C138" i="6"/>
  <c r="C129" i="6"/>
  <c r="C127" i="6"/>
  <c r="C128" i="6" s="1"/>
  <c r="C121" i="6"/>
  <c r="C119" i="6"/>
  <c r="C143" i="3"/>
  <c r="C141" i="3"/>
  <c r="C142" i="3" s="1"/>
  <c r="C124" i="3"/>
  <c r="C116" i="3"/>
  <c r="C110" i="6"/>
  <c r="C111" i="6" s="1"/>
  <c r="C102" i="6"/>
  <c r="C103" i="6" s="1"/>
  <c r="C112" i="6"/>
  <c r="C104" i="6"/>
  <c r="C93" i="6"/>
  <c r="C94" i="6" s="1"/>
  <c r="C95" i="6"/>
  <c r="C85" i="6"/>
  <c r="C86" i="6" s="1"/>
  <c r="C87" i="6"/>
  <c r="C76" i="6"/>
  <c r="C78" i="6"/>
  <c r="C68" i="6"/>
  <c r="C69" i="6" s="1"/>
  <c r="C70" i="6"/>
  <c r="C60" i="6"/>
  <c r="C61" i="6" s="1"/>
  <c r="C62" i="6"/>
  <c r="C52" i="6"/>
  <c r="C53" i="6" s="1"/>
  <c r="C54" i="6"/>
  <c r="C44" i="6"/>
  <c r="C45" i="6" s="1"/>
  <c r="C46" i="6"/>
  <c r="C36" i="6"/>
  <c r="C37" i="6" s="1"/>
  <c r="C38" i="6"/>
  <c r="C28" i="6"/>
  <c r="C29" i="6" s="1"/>
  <c r="C30" i="6"/>
  <c r="C20" i="6"/>
  <c r="C21" i="6" s="1"/>
  <c r="C12" i="6"/>
  <c r="C13" i="6" s="1"/>
  <c r="C22" i="6"/>
  <c r="C14" i="6"/>
  <c r="C6" i="6"/>
  <c r="C4" i="6"/>
  <c r="C5" i="6" s="1"/>
  <c r="C21" i="5"/>
  <c r="C29" i="5"/>
  <c r="C30" i="5" s="1"/>
  <c r="C31" i="5"/>
  <c r="C23" i="5"/>
  <c r="C22" i="5"/>
  <c r="G121" i="4"/>
  <c r="C13" i="5"/>
  <c r="C14" i="5" s="1"/>
  <c r="C15" i="5"/>
  <c r="C6" i="5"/>
  <c r="C4" i="5"/>
  <c r="C5" i="5" s="1"/>
  <c r="C133" i="3"/>
  <c r="C135" i="3"/>
  <c r="C126" i="3"/>
  <c r="C118" i="3"/>
  <c r="C7" i="3"/>
  <c r="C107" i="3"/>
  <c r="C108" i="3" s="1"/>
  <c r="C109" i="3"/>
  <c r="C101" i="3"/>
  <c r="C99" i="3"/>
  <c r="C100" i="3" s="1"/>
  <c r="C89" i="3"/>
  <c r="C90" i="3" s="1"/>
  <c r="C91" i="3"/>
  <c r="C81" i="3"/>
  <c r="C73" i="3"/>
  <c r="C74" i="3" s="1"/>
  <c r="C65" i="3"/>
  <c r="C66" i="3" s="1"/>
  <c r="C83" i="3"/>
  <c r="C82" i="3"/>
  <c r="C75" i="3"/>
  <c r="C67" i="3"/>
  <c r="C59" i="3"/>
  <c r="C57" i="3"/>
  <c r="C51" i="3"/>
  <c r="C49" i="3"/>
  <c r="C31" i="3"/>
  <c r="C32" i="3" s="1"/>
  <c r="C39" i="3"/>
  <c r="C40" i="3" s="1"/>
  <c r="C33" i="3"/>
  <c r="C25" i="3"/>
  <c r="C23" i="3"/>
  <c r="C15" i="3"/>
  <c r="C5" i="3"/>
  <c r="C13" i="3"/>
  <c r="D88" i="4"/>
  <c r="D96" i="4"/>
  <c r="D72" i="4"/>
  <c r="D65" i="4"/>
  <c r="H72" i="4" l="1"/>
  <c r="H96" i="4"/>
  <c r="H88" i="4"/>
  <c r="H85" i="4"/>
  <c r="AF118" i="4"/>
  <c r="L168" i="4"/>
  <c r="H65" i="4"/>
  <c r="D116" i="4"/>
  <c r="C181" i="6"/>
  <c r="Z313" i="4"/>
  <c r="AF285" i="4"/>
  <c r="AF327" i="4"/>
  <c r="AF242" i="4"/>
  <c r="AF291" i="4"/>
  <c r="AF275" i="4"/>
  <c r="U405" i="4"/>
  <c r="AF382" i="4"/>
  <c r="Q51" i="12"/>
  <c r="AG314" i="4"/>
  <c r="AF314" i="4"/>
  <c r="N129" i="4"/>
  <c r="C32" i="5"/>
  <c r="H8" i="10"/>
  <c r="F7" i="6"/>
  <c r="C84" i="3"/>
  <c r="C102" i="3"/>
  <c r="C123" i="6"/>
  <c r="C173" i="6"/>
  <c r="C198" i="6"/>
  <c r="G13" i="3"/>
  <c r="C7" i="5"/>
  <c r="O141" i="4"/>
  <c r="N141" i="4"/>
  <c r="O137" i="4"/>
  <c r="AF137" i="4" s="1"/>
  <c r="C17" i="3"/>
  <c r="C130" i="6"/>
  <c r="C207" i="6"/>
  <c r="C289" i="6"/>
  <c r="G6" i="3"/>
  <c r="C174" i="6"/>
  <c r="F197" i="4" s="1"/>
  <c r="G197" i="4" s="1"/>
  <c r="C191" i="6"/>
  <c r="C214" i="6"/>
  <c r="C273" i="6"/>
  <c r="C281" i="6"/>
  <c r="C137" i="3"/>
  <c r="C33" i="5"/>
  <c r="AG327" i="4"/>
  <c r="C255" i="6"/>
  <c r="C53" i="3"/>
  <c r="C61" i="3"/>
  <c r="C92" i="3"/>
  <c r="C120" i="3"/>
  <c r="C31" i="6"/>
  <c r="C71" i="6"/>
  <c r="C80" i="6"/>
  <c r="C139" i="6"/>
  <c r="C199" i="6"/>
  <c r="L8" i="4"/>
  <c r="V382" i="4"/>
  <c r="AG285" i="4"/>
  <c r="C27" i="3"/>
  <c r="C128" i="3"/>
  <c r="AG242" i="4"/>
  <c r="AG291" i="4"/>
  <c r="AG275" i="4"/>
  <c r="C223" i="6"/>
  <c r="C306" i="6"/>
  <c r="O325" i="4"/>
  <c r="P325" i="4"/>
  <c r="N325" i="4"/>
  <c r="AC290" i="4"/>
  <c r="AE290" i="4"/>
  <c r="N290" i="4"/>
  <c r="O290" i="4"/>
  <c r="P290" i="4"/>
  <c r="Q290" i="4"/>
  <c r="R290" i="4"/>
  <c r="S290" i="4"/>
  <c r="T290" i="4"/>
  <c r="U290" i="4"/>
  <c r="V290" i="4"/>
  <c r="W290" i="4"/>
  <c r="X290" i="4"/>
  <c r="Y290" i="4"/>
  <c r="Z290" i="4"/>
  <c r="AA290" i="4"/>
  <c r="AB290" i="4"/>
  <c r="V274" i="4"/>
  <c r="W274" i="4"/>
  <c r="X274" i="4"/>
  <c r="Y274" i="4"/>
  <c r="Z274" i="4"/>
  <c r="AA274" i="4"/>
  <c r="AB274" i="4"/>
  <c r="AC274" i="4"/>
  <c r="AE274" i="4"/>
  <c r="N274" i="4"/>
  <c r="O274" i="4"/>
  <c r="P274" i="4"/>
  <c r="Q274" i="4"/>
  <c r="R274" i="4"/>
  <c r="S274" i="4"/>
  <c r="T274" i="4"/>
  <c r="U274" i="4"/>
  <c r="O257" i="4"/>
  <c r="T257" i="4"/>
  <c r="U257" i="4"/>
  <c r="R257" i="4"/>
  <c r="N241" i="4"/>
  <c r="V241" i="4"/>
  <c r="AD175" i="4"/>
  <c r="AA175" i="4"/>
  <c r="P175" i="4"/>
  <c r="Q175" i="4"/>
  <c r="R175" i="4"/>
  <c r="O175" i="4"/>
  <c r="T175" i="4"/>
  <c r="U175" i="4"/>
  <c r="V175" i="4"/>
  <c r="S175" i="4"/>
  <c r="X175" i="4"/>
  <c r="Y175" i="4"/>
  <c r="Z175" i="4"/>
  <c r="W175" i="4"/>
  <c r="AB175" i="4"/>
  <c r="AC175" i="4"/>
  <c r="N175" i="4"/>
  <c r="N264" i="4"/>
  <c r="X264" i="4"/>
  <c r="X248" i="4"/>
  <c r="Y248" i="4"/>
  <c r="V248" i="4"/>
  <c r="AA248" i="4"/>
  <c r="AB248" i="4"/>
  <c r="AC248" i="4"/>
  <c r="Z248" i="4"/>
  <c r="AE248" i="4"/>
  <c r="O248" i="4"/>
  <c r="P248" i="4"/>
  <c r="Q248" i="4"/>
  <c r="N248" i="4"/>
  <c r="S248" i="4"/>
  <c r="T248" i="4"/>
  <c r="U248" i="4"/>
  <c r="R248" i="4"/>
  <c r="W248" i="4"/>
  <c r="Y232" i="4"/>
  <c r="X232" i="4"/>
  <c r="T232" i="4"/>
  <c r="P232" i="4"/>
  <c r="R232" i="4"/>
  <c r="AC232" i="4"/>
  <c r="AE232" i="4"/>
  <c r="Z232" i="4"/>
  <c r="V232" i="4"/>
  <c r="W232" i="4"/>
  <c r="Q232" i="4"/>
  <c r="N232" i="4"/>
  <c r="AA232" i="4"/>
  <c r="AB232" i="4"/>
  <c r="U232" i="4"/>
  <c r="S232" i="4"/>
  <c r="O232" i="4"/>
  <c r="N216" i="4"/>
  <c r="R216" i="4"/>
  <c r="P216" i="4"/>
  <c r="Q216" i="4"/>
  <c r="O216" i="4"/>
  <c r="N199" i="4"/>
  <c r="T199" i="4"/>
  <c r="Z182" i="4"/>
  <c r="O182" i="4"/>
  <c r="P182" i="4"/>
  <c r="Q182" i="4"/>
  <c r="AD182" i="4"/>
  <c r="N182" i="4"/>
  <c r="S182" i="4"/>
  <c r="T182" i="4"/>
  <c r="U182" i="4"/>
  <c r="R182" i="4"/>
  <c r="W182" i="4"/>
  <c r="X182" i="4"/>
  <c r="Y182" i="4"/>
  <c r="V182" i="4"/>
  <c r="AA182" i="4"/>
  <c r="AB182" i="4"/>
  <c r="AC182" i="4"/>
  <c r="AC295" i="4"/>
  <c r="Z295" i="4"/>
  <c r="AE295" i="4"/>
  <c r="O295" i="4"/>
  <c r="P295" i="4"/>
  <c r="Q295" i="4"/>
  <c r="N295" i="4"/>
  <c r="S295" i="4"/>
  <c r="T295" i="4"/>
  <c r="U295" i="4"/>
  <c r="R295" i="4"/>
  <c r="W295" i="4"/>
  <c r="X295" i="4"/>
  <c r="Y295" i="4"/>
  <c r="V295" i="4"/>
  <c r="AA295" i="4"/>
  <c r="AB295" i="4"/>
  <c r="N271" i="4"/>
  <c r="X271" i="4"/>
  <c r="T250" i="4"/>
  <c r="Y250" i="4"/>
  <c r="V250" i="4"/>
  <c r="W250" i="4"/>
  <c r="X250" i="4"/>
  <c r="AC250" i="4"/>
  <c r="Z250" i="4"/>
  <c r="AA250" i="4"/>
  <c r="AB250" i="4"/>
  <c r="AE250" i="4"/>
  <c r="Q250" i="4"/>
  <c r="N250" i="4"/>
  <c r="O250" i="4"/>
  <c r="P250" i="4"/>
  <c r="U250" i="4"/>
  <c r="R250" i="4"/>
  <c r="S250" i="4"/>
  <c r="AE230" i="4"/>
  <c r="N230" i="4"/>
  <c r="AC230" i="4"/>
  <c r="T230" i="4"/>
  <c r="R230" i="4"/>
  <c r="P230" i="4"/>
  <c r="Q230" i="4"/>
  <c r="Y230" i="4"/>
  <c r="V230" i="4"/>
  <c r="U230" i="4"/>
  <c r="W230" i="4"/>
  <c r="S230" i="4"/>
  <c r="Z230" i="4"/>
  <c r="AA230" i="4"/>
  <c r="AB230" i="4"/>
  <c r="X230" i="4"/>
  <c r="O230" i="4"/>
  <c r="V184" i="4"/>
  <c r="W184" i="4"/>
  <c r="X184" i="4"/>
  <c r="AC184" i="4"/>
  <c r="Z184" i="4"/>
  <c r="AA184" i="4"/>
  <c r="AB184" i="4"/>
  <c r="Q184" i="4"/>
  <c r="AE184" i="4"/>
  <c r="N184" i="4"/>
  <c r="O184" i="4"/>
  <c r="P184" i="4"/>
  <c r="U184" i="4"/>
  <c r="R184" i="4"/>
  <c r="S184" i="4"/>
  <c r="T184" i="4"/>
  <c r="Y184" i="4"/>
  <c r="O317" i="4"/>
  <c r="N317" i="4"/>
  <c r="S284" i="4"/>
  <c r="T284" i="4"/>
  <c r="U284" i="4"/>
  <c r="R284" i="4"/>
  <c r="W284" i="4"/>
  <c r="X284" i="4"/>
  <c r="Y284" i="4"/>
  <c r="V284" i="4"/>
  <c r="AA284" i="4"/>
  <c r="AB284" i="4"/>
  <c r="AC284" i="4"/>
  <c r="Z284" i="4"/>
  <c r="AE284" i="4"/>
  <c r="O284" i="4"/>
  <c r="P284" i="4"/>
  <c r="Q284" i="4"/>
  <c r="N284" i="4"/>
  <c r="Q268" i="4"/>
  <c r="N268" i="4"/>
  <c r="O268" i="4"/>
  <c r="T268" i="4"/>
  <c r="U268" i="4"/>
  <c r="R268" i="4"/>
  <c r="S268" i="4"/>
  <c r="X268" i="4"/>
  <c r="Y268" i="4"/>
  <c r="V268" i="4"/>
  <c r="W268" i="4"/>
  <c r="AB268" i="4"/>
  <c r="AC268" i="4"/>
  <c r="Z268" i="4"/>
  <c r="AA268" i="4"/>
  <c r="AE268" i="4"/>
  <c r="P268" i="4"/>
  <c r="T251" i="4"/>
  <c r="U251" i="4"/>
  <c r="V251" i="4"/>
  <c r="W251" i="4"/>
  <c r="X251" i="4"/>
  <c r="Y251" i="4"/>
  <c r="Z251" i="4"/>
  <c r="AA251" i="4"/>
  <c r="AB251" i="4"/>
  <c r="AC251" i="4"/>
  <c r="AE251" i="4"/>
  <c r="N251" i="4"/>
  <c r="O251" i="4"/>
  <c r="P251" i="4"/>
  <c r="Q251" i="4"/>
  <c r="R251" i="4"/>
  <c r="S251" i="4"/>
  <c r="R235" i="4"/>
  <c r="W235" i="4"/>
  <c r="X235" i="4"/>
  <c r="Y235" i="4"/>
  <c r="V235" i="4"/>
  <c r="AA235" i="4"/>
  <c r="AB235" i="4"/>
  <c r="AC235" i="4"/>
  <c r="Z235" i="4"/>
  <c r="AE235" i="4"/>
  <c r="O235" i="4"/>
  <c r="P235" i="4"/>
  <c r="Q235" i="4"/>
  <c r="N235" i="4"/>
  <c r="S235" i="4"/>
  <c r="T235" i="4"/>
  <c r="U235" i="4"/>
  <c r="Z219" i="4"/>
  <c r="AE219" i="4"/>
  <c r="AA219" i="4"/>
  <c r="AB219" i="4"/>
  <c r="X219" i="4"/>
  <c r="N219" i="4"/>
  <c r="O219" i="4"/>
  <c r="AC219" i="4"/>
  <c r="R219" i="4"/>
  <c r="T219" i="4"/>
  <c r="P219" i="4"/>
  <c r="Q219" i="4"/>
  <c r="V219" i="4"/>
  <c r="Y219" i="4"/>
  <c r="U219" i="4"/>
  <c r="W219" i="4"/>
  <c r="S219" i="4"/>
  <c r="R185" i="4"/>
  <c r="S185" i="4"/>
  <c r="T185" i="4"/>
  <c r="U185" i="4"/>
  <c r="V185" i="4"/>
  <c r="W185" i="4"/>
  <c r="X185" i="4"/>
  <c r="Y185" i="4"/>
  <c r="Z185" i="4"/>
  <c r="AA185" i="4"/>
  <c r="AB185" i="4"/>
  <c r="AC185" i="4"/>
  <c r="AE185" i="4"/>
  <c r="N185" i="4"/>
  <c r="O185" i="4"/>
  <c r="P185" i="4"/>
  <c r="Q185" i="4"/>
  <c r="N122" i="4"/>
  <c r="AF122" i="4" s="1"/>
  <c r="R338" i="4"/>
  <c r="O338" i="4"/>
  <c r="S334" i="4"/>
  <c r="O334" i="4"/>
  <c r="N318" i="4"/>
  <c r="AB293" i="4"/>
  <c r="AA293" i="4"/>
  <c r="Z293" i="4"/>
  <c r="AC293" i="4"/>
  <c r="T289" i="4"/>
  <c r="S289" i="4"/>
  <c r="R289" i="4"/>
  <c r="U289" i="4"/>
  <c r="R281" i="4"/>
  <c r="U281" i="4"/>
  <c r="P281" i="4"/>
  <c r="O281" i="4"/>
  <c r="AB277" i="4"/>
  <c r="AE277" i="4"/>
  <c r="Q277" i="4"/>
  <c r="X273" i="4"/>
  <c r="X269" i="4"/>
  <c r="N269" i="4"/>
  <c r="W261" i="4"/>
  <c r="Q261" i="4"/>
  <c r="N257" i="4"/>
  <c r="Y257" i="4"/>
  <c r="AB257" i="4"/>
  <c r="AA257" i="4"/>
  <c r="O249" i="4"/>
  <c r="V249" i="4"/>
  <c r="AC249" i="4"/>
  <c r="AE249" i="4"/>
  <c r="Y245" i="4"/>
  <c r="O245" i="4"/>
  <c r="S335" i="4"/>
  <c r="Q335" i="4"/>
  <c r="T335" i="4"/>
  <c r="N335" i="4"/>
  <c r="P335" i="4"/>
  <c r="R335" i="4"/>
  <c r="O335" i="4"/>
  <c r="U294" i="4"/>
  <c r="V294" i="4"/>
  <c r="W294" i="4"/>
  <c r="X294" i="4"/>
  <c r="Y294" i="4"/>
  <c r="Z294" i="4"/>
  <c r="AA294" i="4"/>
  <c r="AB294" i="4"/>
  <c r="AC294" i="4"/>
  <c r="AE294" i="4"/>
  <c r="N294" i="4"/>
  <c r="O294" i="4"/>
  <c r="P294" i="4"/>
  <c r="Q294" i="4"/>
  <c r="R294" i="4"/>
  <c r="S294" i="4"/>
  <c r="T294" i="4"/>
  <c r="AC278" i="4"/>
  <c r="Z278" i="4"/>
  <c r="AA278" i="4"/>
  <c r="AE278" i="4"/>
  <c r="P278" i="4"/>
  <c r="Q278" i="4"/>
  <c r="N278" i="4"/>
  <c r="O278" i="4"/>
  <c r="T278" i="4"/>
  <c r="U278" i="4"/>
  <c r="R278" i="4"/>
  <c r="S278" i="4"/>
  <c r="X278" i="4"/>
  <c r="Y278" i="4"/>
  <c r="V278" i="4"/>
  <c r="W278" i="4"/>
  <c r="AB278" i="4"/>
  <c r="X261" i="4"/>
  <c r="AC261" i="4"/>
  <c r="Z261" i="4"/>
  <c r="AA261" i="4"/>
  <c r="Z245" i="4"/>
  <c r="AA245" i="4"/>
  <c r="AB245" i="4"/>
  <c r="AC245" i="4"/>
  <c r="AE245" i="4"/>
  <c r="V229" i="4"/>
  <c r="AA229" i="4"/>
  <c r="W229" i="4"/>
  <c r="S229" i="4"/>
  <c r="Z229" i="4"/>
  <c r="AE229" i="4"/>
  <c r="AB229" i="4"/>
  <c r="X229" i="4"/>
  <c r="O229" i="4"/>
  <c r="N229" i="4"/>
  <c r="P229" i="4"/>
  <c r="AC229" i="4"/>
  <c r="T229" i="4"/>
  <c r="R229" i="4"/>
  <c r="U229" i="4"/>
  <c r="Q229" i="4"/>
  <c r="Y229" i="4"/>
  <c r="W196" i="4"/>
  <c r="Z196" i="4"/>
  <c r="V196" i="4"/>
  <c r="R196" i="4"/>
  <c r="N196" i="4"/>
  <c r="AA196" i="4"/>
  <c r="AE196" i="4"/>
  <c r="AB196" i="4"/>
  <c r="X196" i="4"/>
  <c r="T196" i="4"/>
  <c r="O196" i="4"/>
  <c r="P196" i="4"/>
  <c r="AC196" i="4"/>
  <c r="Y196" i="4"/>
  <c r="S196" i="4"/>
  <c r="U196" i="4"/>
  <c r="Q196" i="4"/>
  <c r="V179" i="4"/>
  <c r="W179" i="4"/>
  <c r="AB179" i="4"/>
  <c r="AC179" i="4"/>
  <c r="Z179" i="4"/>
  <c r="AA179" i="4"/>
  <c r="P179" i="4"/>
  <c r="Q179" i="4"/>
  <c r="AD179" i="4"/>
  <c r="N179" i="4"/>
  <c r="O179" i="4"/>
  <c r="T179" i="4"/>
  <c r="U179" i="4"/>
  <c r="R179" i="4"/>
  <c r="S179" i="4"/>
  <c r="X179" i="4"/>
  <c r="Y179" i="4"/>
  <c r="P151" i="4"/>
  <c r="O151" i="4"/>
  <c r="P324" i="4"/>
  <c r="O324" i="4"/>
  <c r="N324" i="4"/>
  <c r="AC269" i="4"/>
  <c r="Z269" i="4"/>
  <c r="AA269" i="4"/>
  <c r="AB269" i="4"/>
  <c r="P252" i="4"/>
  <c r="Q252" i="4"/>
  <c r="N252" i="4"/>
  <c r="S252" i="4"/>
  <c r="T252" i="4"/>
  <c r="U252" i="4"/>
  <c r="R252" i="4"/>
  <c r="W252" i="4"/>
  <c r="X252" i="4"/>
  <c r="Y252" i="4"/>
  <c r="V252" i="4"/>
  <c r="AA252" i="4"/>
  <c r="AB252" i="4"/>
  <c r="AC252" i="4"/>
  <c r="Z252" i="4"/>
  <c r="AE252" i="4"/>
  <c r="O252" i="4"/>
  <c r="N236" i="4"/>
  <c r="O236" i="4"/>
  <c r="T236" i="4"/>
  <c r="U236" i="4"/>
  <c r="R236" i="4"/>
  <c r="S236" i="4"/>
  <c r="X236" i="4"/>
  <c r="Y236" i="4"/>
  <c r="V236" i="4"/>
  <c r="W236" i="4"/>
  <c r="AB236" i="4"/>
  <c r="AC236" i="4"/>
  <c r="Z236" i="4"/>
  <c r="AA236" i="4"/>
  <c r="AE236" i="4"/>
  <c r="P236" i="4"/>
  <c r="Q236" i="4"/>
  <c r="R186" i="4"/>
  <c r="W186" i="4"/>
  <c r="X186" i="4"/>
  <c r="Y186" i="4"/>
  <c r="V186" i="4"/>
  <c r="AA186" i="4"/>
  <c r="AB186" i="4"/>
  <c r="AC186" i="4"/>
  <c r="Z186" i="4"/>
  <c r="O186" i="4"/>
  <c r="P186" i="4"/>
  <c r="Q186" i="4"/>
  <c r="AE186" i="4"/>
  <c r="N186" i="4"/>
  <c r="S186" i="4"/>
  <c r="T186" i="4"/>
  <c r="U186" i="4"/>
  <c r="V170" i="4"/>
  <c r="AD170" i="4"/>
  <c r="Z170" i="4"/>
  <c r="S170" i="4"/>
  <c r="AB170" i="4"/>
  <c r="R170" i="4"/>
  <c r="W170" i="4"/>
  <c r="O170" i="4"/>
  <c r="X170" i="4"/>
  <c r="T170" i="4"/>
  <c r="P170" i="4"/>
  <c r="AA170" i="4"/>
  <c r="Q170" i="4"/>
  <c r="AC170" i="4"/>
  <c r="Y170" i="4"/>
  <c r="U170" i="4"/>
  <c r="N170" i="4"/>
  <c r="O316" i="4"/>
  <c r="N316" i="4"/>
  <c r="AA254" i="4"/>
  <c r="AB254" i="4"/>
  <c r="AE254" i="4"/>
  <c r="Q254" i="4"/>
  <c r="N254" i="4"/>
  <c r="O254" i="4"/>
  <c r="P254" i="4"/>
  <c r="U254" i="4"/>
  <c r="R254" i="4"/>
  <c r="S254" i="4"/>
  <c r="T254" i="4"/>
  <c r="Y254" i="4"/>
  <c r="V254" i="4"/>
  <c r="W254" i="4"/>
  <c r="X254" i="4"/>
  <c r="AC254" i="4"/>
  <c r="Z254" i="4"/>
  <c r="V234" i="4"/>
  <c r="W234" i="4"/>
  <c r="Y234" i="4"/>
  <c r="Q234" i="4"/>
  <c r="Z234" i="4"/>
  <c r="AA234" i="4"/>
  <c r="AC234" i="4"/>
  <c r="O234" i="4"/>
  <c r="AE234" i="4"/>
  <c r="N234" i="4"/>
  <c r="AB234" i="4"/>
  <c r="P234" i="4"/>
  <c r="U234" i="4"/>
  <c r="R234" i="4"/>
  <c r="S234" i="4"/>
  <c r="X234" i="4"/>
  <c r="T234" i="4"/>
  <c r="AE189" i="4"/>
  <c r="Q189" i="4"/>
  <c r="N189" i="4"/>
  <c r="O189" i="4"/>
  <c r="P189" i="4"/>
  <c r="U189" i="4"/>
  <c r="R189" i="4"/>
  <c r="S189" i="4"/>
  <c r="T189" i="4"/>
  <c r="Y189" i="4"/>
  <c r="V189" i="4"/>
  <c r="W189" i="4"/>
  <c r="X189" i="4"/>
  <c r="AC189" i="4"/>
  <c r="Z189" i="4"/>
  <c r="AA189" i="4"/>
  <c r="AB189" i="4"/>
  <c r="P323" i="4"/>
  <c r="N323" i="4"/>
  <c r="O323" i="4"/>
  <c r="Y288" i="4"/>
  <c r="V288" i="4"/>
  <c r="W288" i="4"/>
  <c r="AB288" i="4"/>
  <c r="AC288" i="4"/>
  <c r="Z288" i="4"/>
  <c r="AA288" i="4"/>
  <c r="AE288" i="4"/>
  <c r="P288" i="4"/>
  <c r="Q288" i="4"/>
  <c r="N288" i="4"/>
  <c r="O288" i="4"/>
  <c r="T288" i="4"/>
  <c r="U288" i="4"/>
  <c r="R288" i="4"/>
  <c r="S288" i="4"/>
  <c r="X288" i="4"/>
  <c r="X272" i="4"/>
  <c r="Y272" i="4"/>
  <c r="Z272" i="4"/>
  <c r="AA272" i="4"/>
  <c r="AB272" i="4"/>
  <c r="AC272" i="4"/>
  <c r="AE272" i="4"/>
  <c r="N272" i="4"/>
  <c r="O272" i="4"/>
  <c r="P272" i="4"/>
  <c r="Q272" i="4"/>
  <c r="R272" i="4"/>
  <c r="S272" i="4"/>
  <c r="T272" i="4"/>
  <c r="U272" i="4"/>
  <c r="V272" i="4"/>
  <c r="W272" i="4"/>
  <c r="AA255" i="4"/>
  <c r="AB255" i="4"/>
  <c r="AC255" i="4"/>
  <c r="AE255" i="4"/>
  <c r="N255" i="4"/>
  <c r="O255" i="4"/>
  <c r="P255" i="4"/>
  <c r="Q255" i="4"/>
  <c r="R255" i="4"/>
  <c r="S255" i="4"/>
  <c r="T255" i="4"/>
  <c r="U255" i="4"/>
  <c r="V255" i="4"/>
  <c r="W255" i="4"/>
  <c r="X255" i="4"/>
  <c r="Y255" i="4"/>
  <c r="Z255" i="4"/>
  <c r="N239" i="4"/>
  <c r="V239" i="4"/>
  <c r="AB173" i="4"/>
  <c r="N173" i="4"/>
  <c r="Q173" i="4"/>
  <c r="AA173" i="4"/>
  <c r="AD173" i="4"/>
  <c r="P173" i="4"/>
  <c r="U173" i="4"/>
  <c r="R173" i="4"/>
  <c r="O173" i="4"/>
  <c r="T173" i="4"/>
  <c r="Y173" i="4"/>
  <c r="V173" i="4"/>
  <c r="S173" i="4"/>
  <c r="X173" i="4"/>
  <c r="AC173" i="4"/>
  <c r="Z173" i="4"/>
  <c r="W173" i="4"/>
  <c r="O226" i="4"/>
  <c r="P226" i="4" s="1"/>
  <c r="N210" i="4"/>
  <c r="T210" i="4"/>
  <c r="O154" i="4"/>
  <c r="N140" i="4"/>
  <c r="AF140" i="4" s="1"/>
  <c r="U338" i="4"/>
  <c r="N338" i="4"/>
  <c r="R334" i="4"/>
  <c r="Q334" i="4"/>
  <c r="O318" i="4"/>
  <c r="X293" i="4"/>
  <c r="W293" i="4"/>
  <c r="V293" i="4"/>
  <c r="Y293" i="4"/>
  <c r="P289" i="4"/>
  <c r="O289" i="4"/>
  <c r="N289" i="4"/>
  <c r="Q289" i="4"/>
  <c r="AE289" i="4"/>
  <c r="N281" i="4"/>
  <c r="Q281" i="4"/>
  <c r="AE281" i="4"/>
  <c r="AB281" i="4"/>
  <c r="AA281" i="4"/>
  <c r="X277" i="4"/>
  <c r="W277" i="4"/>
  <c r="Z277" i="4"/>
  <c r="T269" i="4"/>
  <c r="W269" i="4"/>
  <c r="Q269" i="4"/>
  <c r="S261" i="4"/>
  <c r="V261" i="4"/>
  <c r="AE261" i="4"/>
  <c r="Q257" i="4"/>
  <c r="X257" i="4"/>
  <c r="W257" i="4"/>
  <c r="N249" i="4"/>
  <c r="Y249" i="4"/>
  <c r="U245" i="4"/>
  <c r="X245" i="4"/>
  <c r="N245" i="4"/>
  <c r="O315" i="4"/>
  <c r="N315" i="4"/>
  <c r="O282" i="4"/>
  <c r="P282" i="4" s="1"/>
  <c r="Q282" i="4" s="1"/>
  <c r="R282" i="4" s="1"/>
  <c r="S282" i="4" s="1"/>
  <c r="T282" i="4" s="1"/>
  <c r="U282" i="4" s="1"/>
  <c r="V282" i="4" s="1"/>
  <c r="W282" i="4" s="1"/>
  <c r="X282" i="4" s="1"/>
  <c r="T249" i="4"/>
  <c r="U249" i="4"/>
  <c r="R249" i="4"/>
  <c r="S249" i="4"/>
  <c r="N233" i="4"/>
  <c r="V233" i="4"/>
  <c r="N217" i="4"/>
  <c r="U217" i="4"/>
  <c r="N200" i="4"/>
  <c r="T200" i="4"/>
  <c r="N183" i="4"/>
  <c r="O183" i="4"/>
  <c r="T183" i="4"/>
  <c r="U183" i="4"/>
  <c r="R183" i="4"/>
  <c r="S183" i="4"/>
  <c r="X183" i="4"/>
  <c r="Y183" i="4"/>
  <c r="V183" i="4"/>
  <c r="W183" i="4"/>
  <c r="AB183" i="4"/>
  <c r="AC183" i="4"/>
  <c r="Z183" i="4"/>
  <c r="AA183" i="4"/>
  <c r="P183" i="4"/>
  <c r="Q183" i="4"/>
  <c r="O273" i="4"/>
  <c r="P273" i="4" s="1"/>
  <c r="Q273" i="4" s="1"/>
  <c r="R273" i="4" s="1"/>
  <c r="S273" i="4" s="1"/>
  <c r="T273" i="4" s="1"/>
  <c r="U273" i="4" s="1"/>
  <c r="V273" i="4" s="1"/>
  <c r="W273" i="4" s="1"/>
  <c r="AA256" i="4"/>
  <c r="AB256" i="4"/>
  <c r="AC256" i="4"/>
  <c r="Z256" i="4"/>
  <c r="AE256" i="4"/>
  <c r="O256" i="4"/>
  <c r="P256" i="4"/>
  <c r="Q256" i="4"/>
  <c r="N256" i="4"/>
  <c r="S256" i="4"/>
  <c r="T256" i="4"/>
  <c r="U256" i="4"/>
  <c r="R256" i="4"/>
  <c r="W256" i="4"/>
  <c r="X256" i="4"/>
  <c r="Y256" i="4"/>
  <c r="V256" i="4"/>
  <c r="Y240" i="4"/>
  <c r="V240" i="4"/>
  <c r="W240" i="4"/>
  <c r="AB240" i="4"/>
  <c r="AC240" i="4"/>
  <c r="Z240" i="4"/>
  <c r="AA240" i="4"/>
  <c r="AE240" i="4"/>
  <c r="P240" i="4"/>
  <c r="Q240" i="4"/>
  <c r="N240" i="4"/>
  <c r="O240" i="4"/>
  <c r="T240" i="4"/>
  <c r="U240" i="4"/>
  <c r="R240" i="4"/>
  <c r="S240" i="4"/>
  <c r="X240" i="4"/>
  <c r="N224" i="4"/>
  <c r="U224" i="4"/>
  <c r="O208" i="4"/>
  <c r="P208" i="4" s="1"/>
  <c r="AB174" i="4"/>
  <c r="Q174" i="4"/>
  <c r="R174" i="4"/>
  <c r="O174" i="4"/>
  <c r="AD174" i="4"/>
  <c r="P174" i="4"/>
  <c r="U174" i="4"/>
  <c r="V174" i="4"/>
  <c r="S174" i="4"/>
  <c r="T174" i="4"/>
  <c r="Y174" i="4"/>
  <c r="Z174" i="4"/>
  <c r="W174" i="4"/>
  <c r="X174" i="4"/>
  <c r="AC174" i="4"/>
  <c r="N174" i="4"/>
  <c r="AA174" i="4"/>
  <c r="O320" i="4"/>
  <c r="N320" i="4"/>
  <c r="S283" i="4"/>
  <c r="T283" i="4"/>
  <c r="U283" i="4"/>
  <c r="V283" i="4"/>
  <c r="W283" i="4"/>
  <c r="X283" i="4"/>
  <c r="Y283" i="4"/>
  <c r="Z283" i="4"/>
  <c r="AA283" i="4"/>
  <c r="AB283" i="4"/>
  <c r="AC283" i="4"/>
  <c r="AE283" i="4"/>
  <c r="N283" i="4"/>
  <c r="O283" i="4"/>
  <c r="P283" i="4"/>
  <c r="Q283" i="4"/>
  <c r="R283" i="4"/>
  <c r="AB262" i="4"/>
  <c r="AC262" i="4"/>
  <c r="AE262" i="4"/>
  <c r="N262" i="4"/>
  <c r="O262" i="4"/>
  <c r="P262" i="4"/>
  <c r="Q262" i="4"/>
  <c r="R262" i="4"/>
  <c r="S262" i="4"/>
  <c r="T262" i="4"/>
  <c r="U262" i="4"/>
  <c r="V262" i="4"/>
  <c r="W262" i="4"/>
  <c r="X262" i="4"/>
  <c r="Y262" i="4"/>
  <c r="Z262" i="4"/>
  <c r="AA262" i="4"/>
  <c r="N238" i="4"/>
  <c r="V238" i="4"/>
  <c r="AD172" i="4"/>
  <c r="O172" i="4"/>
  <c r="P172" i="4"/>
  <c r="U172" i="4"/>
  <c r="V172" i="4"/>
  <c r="S172" i="4"/>
  <c r="T172" i="4"/>
  <c r="Y172" i="4"/>
  <c r="Z172" i="4"/>
  <c r="W172" i="4"/>
  <c r="X172" i="4"/>
  <c r="AC172" i="4"/>
  <c r="AA172" i="4"/>
  <c r="AB172" i="4"/>
  <c r="N172" i="4"/>
  <c r="Q172" i="4"/>
  <c r="R172" i="4"/>
  <c r="O333" i="4"/>
  <c r="Q333" i="4"/>
  <c r="P333" i="4"/>
  <c r="R333" i="4"/>
  <c r="N333" i="4"/>
  <c r="Q292" i="4"/>
  <c r="N292" i="4"/>
  <c r="O292" i="4"/>
  <c r="T292" i="4"/>
  <c r="U292" i="4"/>
  <c r="R292" i="4"/>
  <c r="S292" i="4"/>
  <c r="X292" i="4"/>
  <c r="Y292" i="4"/>
  <c r="V292" i="4"/>
  <c r="W292" i="4"/>
  <c r="AB292" i="4"/>
  <c r="AC292" i="4"/>
  <c r="Z292" i="4"/>
  <c r="AA292" i="4"/>
  <c r="AE292" i="4"/>
  <c r="P292" i="4"/>
  <c r="Q276" i="4"/>
  <c r="R276" i="4"/>
  <c r="S276" i="4"/>
  <c r="T276" i="4"/>
  <c r="U276" i="4"/>
  <c r="V276" i="4"/>
  <c r="W276" i="4"/>
  <c r="X276" i="4"/>
  <c r="Y276" i="4"/>
  <c r="Z276" i="4"/>
  <c r="AA276" i="4"/>
  <c r="AB276" i="4"/>
  <c r="AC276" i="4"/>
  <c r="AE276" i="4"/>
  <c r="N276" i="4"/>
  <c r="O276" i="4"/>
  <c r="P276" i="4"/>
  <c r="N259" i="4"/>
  <c r="X259" i="4"/>
  <c r="R177" i="4"/>
  <c r="S177" i="4"/>
  <c r="T177" i="4"/>
  <c r="U177" i="4"/>
  <c r="V177" i="4"/>
  <c r="W177" i="4"/>
  <c r="X177" i="4"/>
  <c r="Y177" i="4"/>
  <c r="Z177" i="4"/>
  <c r="AA177" i="4"/>
  <c r="AB177" i="4"/>
  <c r="AC177" i="4"/>
  <c r="AD177" i="4"/>
  <c r="N177" i="4"/>
  <c r="O177" i="4"/>
  <c r="P177" i="4"/>
  <c r="Q177" i="4"/>
  <c r="S258" i="4"/>
  <c r="T258" i="4"/>
  <c r="Y258" i="4"/>
  <c r="V258" i="4"/>
  <c r="W258" i="4"/>
  <c r="X258" i="4"/>
  <c r="AC258" i="4"/>
  <c r="Z258" i="4"/>
  <c r="AA258" i="4"/>
  <c r="AB258" i="4"/>
  <c r="AE258" i="4"/>
  <c r="Q258" i="4"/>
  <c r="N258" i="4"/>
  <c r="O258" i="4"/>
  <c r="P258" i="4"/>
  <c r="U258" i="4"/>
  <c r="R258" i="4"/>
  <c r="W176" i="4"/>
  <c r="X176" i="4"/>
  <c r="Y176" i="4"/>
  <c r="N176" i="4"/>
  <c r="AA176" i="4"/>
  <c r="AB176" i="4"/>
  <c r="AC176" i="4"/>
  <c r="R176" i="4"/>
  <c r="AD176" i="4"/>
  <c r="O176" i="4"/>
  <c r="P176" i="4"/>
  <c r="Q176" i="4"/>
  <c r="V176" i="4"/>
  <c r="S176" i="4"/>
  <c r="T176" i="4"/>
  <c r="U176" i="4"/>
  <c r="Z176" i="4"/>
  <c r="O129" i="4"/>
  <c r="Q338" i="4"/>
  <c r="T338" i="4"/>
  <c r="N334" i="4"/>
  <c r="T293" i="4"/>
  <c r="S293" i="4"/>
  <c r="R293" i="4"/>
  <c r="U293" i="4"/>
  <c r="AB289" i="4"/>
  <c r="AA289" i="4"/>
  <c r="Z289" i="4"/>
  <c r="AC289" i="4"/>
  <c r="Z281" i="4"/>
  <c r="AC281" i="4"/>
  <c r="X281" i="4"/>
  <c r="W281" i="4"/>
  <c r="T277" i="4"/>
  <c r="S277" i="4"/>
  <c r="R277" i="4"/>
  <c r="P269" i="4"/>
  <c r="S269" i="4"/>
  <c r="V269" i="4"/>
  <c r="AE269" i="4"/>
  <c r="O261" i="4"/>
  <c r="R261" i="4"/>
  <c r="Y261" i="4"/>
  <c r="AB261" i="4"/>
  <c r="Z257" i="4"/>
  <c r="P257" i="4"/>
  <c r="S257" i="4"/>
  <c r="AA249" i="4"/>
  <c r="Q249" i="4"/>
  <c r="X249" i="4"/>
  <c r="Q245" i="4"/>
  <c r="T245" i="4"/>
  <c r="W245" i="4"/>
  <c r="O319" i="4"/>
  <c r="N319" i="4"/>
  <c r="N237" i="4"/>
  <c r="V237" i="4"/>
  <c r="Y188" i="4"/>
  <c r="V188" i="4"/>
  <c r="W188" i="4"/>
  <c r="AB188" i="4"/>
  <c r="AC188" i="4"/>
  <c r="Z188" i="4"/>
  <c r="AA188" i="4"/>
  <c r="P188" i="4"/>
  <c r="AE188" i="4"/>
  <c r="Q188" i="4"/>
  <c r="N188" i="4"/>
  <c r="O188" i="4"/>
  <c r="T188" i="4"/>
  <c r="U188" i="4"/>
  <c r="R188" i="4"/>
  <c r="S188" i="4"/>
  <c r="X188" i="4"/>
  <c r="W171" i="4"/>
  <c r="X171" i="4"/>
  <c r="AC171" i="4"/>
  <c r="N171" i="4"/>
  <c r="AA171" i="4"/>
  <c r="AB171" i="4"/>
  <c r="Q171" i="4"/>
  <c r="R171" i="4"/>
  <c r="AD171" i="4"/>
  <c r="O171" i="4"/>
  <c r="P171" i="4"/>
  <c r="U171" i="4"/>
  <c r="V171" i="4"/>
  <c r="S171" i="4"/>
  <c r="T171" i="4"/>
  <c r="Y171" i="4"/>
  <c r="Z171" i="4"/>
  <c r="S339" i="4"/>
  <c r="V339" i="4"/>
  <c r="Q339" i="4"/>
  <c r="P339" i="4"/>
  <c r="U339" i="4"/>
  <c r="N339" i="4"/>
  <c r="T339" i="4"/>
  <c r="O339" i="4"/>
  <c r="R339" i="4"/>
  <c r="Y277" i="4"/>
  <c r="V277" i="4"/>
  <c r="AA277" i="4"/>
  <c r="N244" i="4"/>
  <c r="O244" i="4"/>
  <c r="P244" i="4"/>
  <c r="U244" i="4"/>
  <c r="R244" i="4"/>
  <c r="S244" i="4"/>
  <c r="T244" i="4"/>
  <c r="Y244" i="4"/>
  <c r="V244" i="4"/>
  <c r="W244" i="4"/>
  <c r="X244" i="4"/>
  <c r="AC244" i="4"/>
  <c r="Z244" i="4"/>
  <c r="AA244" i="4"/>
  <c r="AB244" i="4"/>
  <c r="AE244" i="4"/>
  <c r="Q244" i="4"/>
  <c r="P228" i="4"/>
  <c r="R228" i="4"/>
  <c r="O228" i="4"/>
  <c r="AA228" i="4"/>
  <c r="T228" i="4"/>
  <c r="W228" i="4"/>
  <c r="S228" i="4"/>
  <c r="X228" i="4"/>
  <c r="AC228" i="4"/>
  <c r="Y228" i="4"/>
  <c r="U228" i="4"/>
  <c r="Q228" i="4"/>
  <c r="AB228" i="4"/>
  <c r="AE228" i="4"/>
  <c r="N228" i="4"/>
  <c r="Z228" i="4"/>
  <c r="V228" i="4"/>
  <c r="R178" i="4"/>
  <c r="W178" i="4"/>
  <c r="X178" i="4"/>
  <c r="Y178" i="4"/>
  <c r="V178" i="4"/>
  <c r="AA178" i="4"/>
  <c r="AB178" i="4"/>
  <c r="AC178" i="4"/>
  <c r="Z178" i="4"/>
  <c r="O178" i="4"/>
  <c r="P178" i="4"/>
  <c r="Q178" i="4"/>
  <c r="AD178" i="4"/>
  <c r="N178" i="4"/>
  <c r="S178" i="4"/>
  <c r="T178" i="4"/>
  <c r="U178" i="4"/>
  <c r="N337" i="4"/>
  <c r="T337" i="4"/>
  <c r="R337" i="4"/>
  <c r="O337" i="4"/>
  <c r="U337" i="4"/>
  <c r="S337" i="4"/>
  <c r="Q337" i="4"/>
  <c r="P337" i="4"/>
  <c r="AE287" i="4"/>
  <c r="N287" i="4"/>
  <c r="O287" i="4"/>
  <c r="P287" i="4"/>
  <c r="Q287" i="4"/>
  <c r="R287" i="4"/>
  <c r="S287" i="4"/>
  <c r="T287" i="4"/>
  <c r="U287" i="4"/>
  <c r="V287" i="4"/>
  <c r="W287" i="4"/>
  <c r="X287" i="4"/>
  <c r="Y287" i="4"/>
  <c r="Z287" i="4"/>
  <c r="AA287" i="4"/>
  <c r="AB287" i="4"/>
  <c r="AC287" i="4"/>
  <c r="N267" i="4"/>
  <c r="X267" i="4"/>
  <c r="N201" i="4"/>
  <c r="T201" i="4"/>
  <c r="AD180" i="4"/>
  <c r="N180" i="4"/>
  <c r="O180" i="4"/>
  <c r="P180" i="4"/>
  <c r="U180" i="4"/>
  <c r="R180" i="4"/>
  <c r="S180" i="4"/>
  <c r="T180" i="4"/>
  <c r="Y180" i="4"/>
  <c r="V180" i="4"/>
  <c r="W180" i="4"/>
  <c r="X180" i="4"/>
  <c r="AC180" i="4"/>
  <c r="Z180" i="4"/>
  <c r="AA180" i="4"/>
  <c r="AB180" i="4"/>
  <c r="Q180" i="4"/>
  <c r="N313" i="4"/>
  <c r="W280" i="4"/>
  <c r="AB280" i="4"/>
  <c r="AC280" i="4"/>
  <c r="Z280" i="4"/>
  <c r="AA280" i="4"/>
  <c r="AE280" i="4"/>
  <c r="P280" i="4"/>
  <c r="Q280" i="4"/>
  <c r="N280" i="4"/>
  <c r="O280" i="4"/>
  <c r="T280" i="4"/>
  <c r="U280" i="4"/>
  <c r="R280" i="4"/>
  <c r="S280" i="4"/>
  <c r="X280" i="4"/>
  <c r="Y280" i="4"/>
  <c r="V280" i="4"/>
  <c r="AB263" i="4"/>
  <c r="AC263" i="4"/>
  <c r="Z263" i="4"/>
  <c r="AE263" i="4"/>
  <c r="O263" i="4"/>
  <c r="P263" i="4"/>
  <c r="Q263" i="4"/>
  <c r="N263" i="4"/>
  <c r="S263" i="4"/>
  <c r="T263" i="4"/>
  <c r="U263" i="4"/>
  <c r="R263" i="4"/>
  <c r="W263" i="4"/>
  <c r="X263" i="4"/>
  <c r="Y263" i="4"/>
  <c r="V263" i="4"/>
  <c r="AA263" i="4"/>
  <c r="AB247" i="4"/>
  <c r="AC247" i="4"/>
  <c r="AE247" i="4"/>
  <c r="N247" i="4"/>
  <c r="O247" i="4"/>
  <c r="P247" i="4"/>
  <c r="Q247" i="4"/>
  <c r="R247" i="4"/>
  <c r="S247" i="4"/>
  <c r="T247" i="4"/>
  <c r="U247" i="4"/>
  <c r="V247" i="4"/>
  <c r="W247" i="4"/>
  <c r="X247" i="4"/>
  <c r="Y247" i="4"/>
  <c r="Z247" i="4"/>
  <c r="AA247" i="4"/>
  <c r="N231" i="4"/>
  <c r="V231" i="4"/>
  <c r="Z181" i="4"/>
  <c r="AA181" i="4"/>
  <c r="AB181" i="4"/>
  <c r="AC181" i="4"/>
  <c r="AD181" i="4"/>
  <c r="N181" i="4"/>
  <c r="O181" i="4"/>
  <c r="P181" i="4"/>
  <c r="Q181" i="4"/>
  <c r="R181" i="4"/>
  <c r="S181" i="4"/>
  <c r="T181" i="4"/>
  <c r="U181" i="4"/>
  <c r="V181" i="4"/>
  <c r="W181" i="4"/>
  <c r="X181" i="4"/>
  <c r="Y181" i="4"/>
  <c r="N279" i="4"/>
  <c r="O127" i="4"/>
  <c r="AF127" i="4" s="1"/>
  <c r="V338" i="4"/>
  <c r="P338" i="4"/>
  <c r="P293" i="4"/>
  <c r="O293" i="4"/>
  <c r="N293" i="4"/>
  <c r="Q293" i="4"/>
  <c r="X289" i="4"/>
  <c r="W289" i="4"/>
  <c r="V289" i="4"/>
  <c r="V281" i="4"/>
  <c r="Y281" i="4"/>
  <c r="T281" i="4"/>
  <c r="P277" i="4"/>
  <c r="O277" i="4"/>
  <c r="N277" i="4"/>
  <c r="U277" i="4"/>
  <c r="O269" i="4"/>
  <c r="R269" i="4"/>
  <c r="Y269" i="4"/>
  <c r="N261" i="4"/>
  <c r="U261" i="4"/>
  <c r="T261" i="4"/>
  <c r="V257" i="4"/>
  <c r="AC257" i="4"/>
  <c r="AE257" i="4"/>
  <c r="W249" i="4"/>
  <c r="Z249" i="4"/>
  <c r="P249" i="4"/>
  <c r="P245" i="4"/>
  <c r="S245" i="4"/>
  <c r="V245" i="4"/>
  <c r="Q316" i="4"/>
  <c r="R316" i="4" s="1"/>
  <c r="S316" i="4" s="1"/>
  <c r="AA266" i="4"/>
  <c r="W266" i="4"/>
  <c r="S266" i="4"/>
  <c r="O266" i="4"/>
  <c r="AB266" i="4"/>
  <c r="X266" i="4"/>
  <c r="T266" i="4"/>
  <c r="P266" i="4"/>
  <c r="AC266" i="4"/>
  <c r="Y266" i="4"/>
  <c r="U266" i="4"/>
  <c r="Q266" i="4"/>
  <c r="Z266" i="4"/>
  <c r="V266" i="4"/>
  <c r="R266" i="4"/>
  <c r="N266" i="4"/>
  <c r="X338" i="4"/>
  <c r="Y338" i="4" s="1"/>
  <c r="Z338" i="4" s="1"/>
  <c r="W337" i="4"/>
  <c r="X337" i="4" s="1"/>
  <c r="Y337" i="4" s="1"/>
  <c r="U208" i="4"/>
  <c r="N138" i="4"/>
  <c r="AF138" i="4" s="1"/>
  <c r="U151" i="4"/>
  <c r="N243" i="4"/>
  <c r="N215" i="4"/>
  <c r="N151" i="4"/>
  <c r="N146" i="4"/>
  <c r="N125" i="4"/>
  <c r="AF125" i="4" s="1"/>
  <c r="Q152" i="4"/>
  <c r="N218" i="4"/>
  <c r="R146" i="4"/>
  <c r="O152" i="4"/>
  <c r="R154" i="4"/>
  <c r="N227" i="4"/>
  <c r="N120" i="4"/>
  <c r="AF120" i="4" s="1"/>
  <c r="S151" i="4"/>
  <c r="N253" i="4"/>
  <c r="O134" i="4"/>
  <c r="AF134" i="4" s="1"/>
  <c r="N286" i="4"/>
  <c r="Q319" i="4"/>
  <c r="R319" i="4" s="1"/>
  <c r="Q318" i="4"/>
  <c r="R318" i="4" s="1"/>
  <c r="S318" i="4" s="1"/>
  <c r="N246" i="4"/>
  <c r="P153" i="4"/>
  <c r="N153" i="4"/>
  <c r="P154" i="4"/>
  <c r="V152" i="4"/>
  <c r="V168" i="4" s="1"/>
  <c r="T152" i="4"/>
  <c r="Y282" i="4"/>
  <c r="N147" i="4"/>
  <c r="U153" i="4"/>
  <c r="S153" i="4"/>
  <c r="N91" i="4"/>
  <c r="S154" i="4"/>
  <c r="Q154" i="4"/>
  <c r="N270" i="4"/>
  <c r="Q151" i="4"/>
  <c r="T151" i="4"/>
  <c r="N225" i="4"/>
  <c r="N209" i="4"/>
  <c r="O146" i="4"/>
  <c r="N152" i="4"/>
  <c r="P152" i="4"/>
  <c r="O147" i="4"/>
  <c r="P147" i="4"/>
  <c r="Q153" i="4"/>
  <c r="O153" i="4"/>
  <c r="V153" i="4"/>
  <c r="N136" i="4"/>
  <c r="AF136" i="4" s="1"/>
  <c r="N84" i="4"/>
  <c r="N121" i="4"/>
  <c r="O121" i="4"/>
  <c r="N260" i="4"/>
  <c r="O124" i="4"/>
  <c r="AF124" i="4" s="1"/>
  <c r="R147" i="4"/>
  <c r="N154" i="4"/>
  <c r="U154" i="4"/>
  <c r="N102" i="4"/>
  <c r="T154" i="4"/>
  <c r="R151" i="4"/>
  <c r="P146" i="4"/>
  <c r="R152" i="4"/>
  <c r="U152" i="4"/>
  <c r="T153" i="4"/>
  <c r="F15" i="6"/>
  <c r="F16" i="6"/>
  <c r="F8" i="6"/>
  <c r="C297" i="6"/>
  <c r="C298" i="6"/>
  <c r="C303" i="6"/>
  <c r="C305" i="6" s="1"/>
  <c r="C290" i="6"/>
  <c r="C282" i="6"/>
  <c r="F190" i="4"/>
  <c r="C120" i="6"/>
  <c r="C122" i="6" s="1"/>
  <c r="C131" i="6"/>
  <c r="C231" i="6"/>
  <c r="C106" i="6"/>
  <c r="C23" i="6"/>
  <c r="C113" i="6"/>
  <c r="C147" i="6"/>
  <c r="C164" i="6"/>
  <c r="C220" i="6"/>
  <c r="C222" i="6" s="1"/>
  <c r="C247" i="6"/>
  <c r="C239" i="6"/>
  <c r="C264" i="6"/>
  <c r="C270" i="6"/>
  <c r="C272" i="6" s="1"/>
  <c r="C265" i="6"/>
  <c r="C256" i="6"/>
  <c r="C248" i="6"/>
  <c r="C240" i="6"/>
  <c r="C232" i="6"/>
  <c r="C204" i="6"/>
  <c r="C206" i="6" s="1"/>
  <c r="C215" i="6"/>
  <c r="C188" i="6"/>
  <c r="C190" i="6" s="1"/>
  <c r="C182" i="6"/>
  <c r="C156" i="6"/>
  <c r="C165" i="6"/>
  <c r="C157" i="6"/>
  <c r="C148" i="6"/>
  <c r="C140" i="6"/>
  <c r="C145" i="3"/>
  <c r="C146" i="3" s="1"/>
  <c r="C144" i="3"/>
  <c r="C68" i="3"/>
  <c r="C110" i="3"/>
  <c r="C103" i="3"/>
  <c r="C114" i="6"/>
  <c r="C105" i="6"/>
  <c r="C97" i="6"/>
  <c r="C96" i="6"/>
  <c r="C88" i="6"/>
  <c r="C89" i="6"/>
  <c r="C77" i="6"/>
  <c r="C79" i="6" s="1"/>
  <c r="C72" i="6"/>
  <c r="C63" i="6"/>
  <c r="C64" i="6"/>
  <c r="C55" i="6"/>
  <c r="C56" i="6"/>
  <c r="C47" i="6"/>
  <c r="C48" i="6"/>
  <c r="C39" i="6"/>
  <c r="C40" i="6"/>
  <c r="C32" i="6"/>
  <c r="C24" i="6"/>
  <c r="C16" i="6"/>
  <c r="C15" i="6"/>
  <c r="C7" i="6"/>
  <c r="C8" i="6"/>
  <c r="C24" i="5"/>
  <c r="C25" i="5"/>
  <c r="C16" i="5"/>
  <c r="C17" i="5"/>
  <c r="C8" i="5"/>
  <c r="C134" i="3"/>
  <c r="C136" i="3" s="1"/>
  <c r="C125" i="3"/>
  <c r="C127" i="3" s="1"/>
  <c r="C117" i="3"/>
  <c r="C119" i="3" s="1"/>
  <c r="C50" i="3"/>
  <c r="C52" i="3" s="1"/>
  <c r="C85" i="3"/>
  <c r="C58" i="3"/>
  <c r="C60" i="3" s="1"/>
  <c r="C111" i="3"/>
  <c r="C34" i="3"/>
  <c r="C76" i="3"/>
  <c r="C42" i="3"/>
  <c r="C93" i="3"/>
  <c r="C77" i="3"/>
  <c r="C69" i="3"/>
  <c r="C35" i="3"/>
  <c r="C24" i="3"/>
  <c r="C26" i="3" s="1"/>
  <c r="C43" i="3"/>
  <c r="C9" i="3"/>
  <c r="C6" i="3"/>
  <c r="C8" i="3" s="1"/>
  <c r="C14" i="3"/>
  <c r="L48" i="12"/>
  <c r="G502" i="4"/>
  <c r="AF502" i="4" s="1"/>
  <c r="G155" i="4"/>
  <c r="P155" i="4" s="1"/>
  <c r="G156" i="4"/>
  <c r="G157" i="4"/>
  <c r="V157" i="4" s="1"/>
  <c r="G377" i="4"/>
  <c r="G379" i="4"/>
  <c r="G380" i="4"/>
  <c r="G407" i="4"/>
  <c r="G409" i="4"/>
  <c r="N409" i="4" s="1"/>
  <c r="G411" i="4"/>
  <c r="G37" i="4"/>
  <c r="N37" i="4" s="1"/>
  <c r="G38" i="4"/>
  <c r="G39" i="4"/>
  <c r="P39" i="4" s="1"/>
  <c r="G40" i="4"/>
  <c r="P40" i="4" s="1"/>
  <c r="G41" i="4"/>
  <c r="G49" i="4"/>
  <c r="P49" i="4" s="1"/>
  <c r="G31" i="4"/>
  <c r="G11" i="4"/>
  <c r="G12" i="4"/>
  <c r="G13" i="4"/>
  <c r="G14" i="4"/>
  <c r="G15" i="4"/>
  <c r="G16" i="4"/>
  <c r="G17" i="4"/>
  <c r="G65" i="4"/>
  <c r="N65" i="4" s="1"/>
  <c r="G66" i="4"/>
  <c r="N66" i="4" s="1"/>
  <c r="G67" i="4"/>
  <c r="N67" i="4" s="1"/>
  <c r="G68" i="4"/>
  <c r="N68" i="4" s="1"/>
  <c r="G70" i="4"/>
  <c r="N70" i="4" s="1"/>
  <c r="G71" i="4"/>
  <c r="N71" i="4" s="1"/>
  <c r="G72" i="4"/>
  <c r="N72" i="4" s="1"/>
  <c r="G80" i="4"/>
  <c r="N80" i="4" s="1"/>
  <c r="G81" i="4"/>
  <c r="N81" i="4" s="1"/>
  <c r="G85" i="4"/>
  <c r="N85" i="4" s="1"/>
  <c r="G88" i="4"/>
  <c r="N88" i="4" s="1"/>
  <c r="G92" i="4"/>
  <c r="N92" i="4" s="1"/>
  <c r="G93" i="4"/>
  <c r="N93" i="4" s="1"/>
  <c r="G94" i="4"/>
  <c r="N94" i="4" s="1"/>
  <c r="G95" i="4"/>
  <c r="N95" i="4" s="1"/>
  <c r="G96" i="4"/>
  <c r="N96" i="4" s="1"/>
  <c r="G98" i="4"/>
  <c r="N98" i="4" s="1"/>
  <c r="G99" i="4"/>
  <c r="N99" i="4" s="1"/>
  <c r="G100" i="4"/>
  <c r="N100" i="4" s="1"/>
  <c r="G101" i="4"/>
  <c r="N101" i="4" s="1"/>
  <c r="G103" i="4"/>
  <c r="N103" i="4" s="1"/>
  <c r="G104" i="4"/>
  <c r="N104" i="4" s="1"/>
  <c r="G105" i="4"/>
  <c r="N105" i="4" s="1"/>
  <c r="G106" i="4"/>
  <c r="N106" i="4" s="1"/>
  <c r="G107" i="4"/>
  <c r="N107" i="4" s="1"/>
  <c r="G108" i="4"/>
  <c r="N108" i="4" s="1"/>
  <c r="G109" i="4"/>
  <c r="N109" i="4" s="1"/>
  <c r="G501" i="4"/>
  <c r="AF501" i="4" s="1"/>
  <c r="G500" i="4"/>
  <c r="H116" i="4" l="1"/>
  <c r="G496" i="4"/>
  <c r="G168" i="4"/>
  <c r="G51" i="12"/>
  <c r="G29" i="4"/>
  <c r="G56" i="4"/>
  <c r="V405" i="4"/>
  <c r="G54" i="12" s="1"/>
  <c r="G504" i="4"/>
  <c r="L29" i="4"/>
  <c r="AF8" i="4"/>
  <c r="O373" i="4"/>
  <c r="AA313" i="4"/>
  <c r="AA373" i="4" s="1"/>
  <c r="N373" i="4"/>
  <c r="AF121" i="4"/>
  <c r="AF266" i="4"/>
  <c r="AF261" i="4"/>
  <c r="AF339" i="4"/>
  <c r="AF174" i="4"/>
  <c r="AF256" i="4"/>
  <c r="AF335" i="4"/>
  <c r="AF274" i="4"/>
  <c r="AF141" i="4"/>
  <c r="AF315" i="4"/>
  <c r="P14" i="4"/>
  <c r="AF409" i="4"/>
  <c r="AF180" i="4"/>
  <c r="AF152" i="4"/>
  <c r="AF151" i="4"/>
  <c r="AF283" i="4"/>
  <c r="AF316" i="4"/>
  <c r="AF230" i="4"/>
  <c r="AF290" i="4"/>
  <c r="AF176" i="4"/>
  <c r="AF177" i="4"/>
  <c r="AF240" i="4"/>
  <c r="AF183" i="4"/>
  <c r="AF272" i="4"/>
  <c r="AF278" i="4"/>
  <c r="AF257" i="4"/>
  <c r="AF235" i="4"/>
  <c r="AF284" i="4"/>
  <c r="AF182" i="4"/>
  <c r="AF216" i="4"/>
  <c r="AF282" i="4"/>
  <c r="AF281" i="4"/>
  <c r="AF236" i="4"/>
  <c r="AF269" i="4"/>
  <c r="AF248" i="4"/>
  <c r="AF147" i="4"/>
  <c r="AF181" i="4"/>
  <c r="AF287" i="4"/>
  <c r="AF244" i="4"/>
  <c r="AF188" i="4"/>
  <c r="AF258" i="4"/>
  <c r="AF292" i="4"/>
  <c r="AF338" i="4"/>
  <c r="AF234" i="4"/>
  <c r="AF154" i="4"/>
  <c r="AF153" i="4"/>
  <c r="AF247" i="4"/>
  <c r="AF337" i="4"/>
  <c r="AF178" i="4"/>
  <c r="AF228" i="4"/>
  <c r="AF319" i="4"/>
  <c r="AF172" i="4"/>
  <c r="AF170" i="4"/>
  <c r="AF186" i="4"/>
  <c r="AF324" i="4"/>
  <c r="AF179" i="4"/>
  <c r="AF294" i="4"/>
  <c r="AF318" i="4"/>
  <c r="AF317" i="4"/>
  <c r="AF175" i="4"/>
  <c r="AF129" i="4"/>
  <c r="AF273" i="4"/>
  <c r="F14" i="10"/>
  <c r="AF262" i="4"/>
  <c r="AF196" i="4"/>
  <c r="AF229" i="4"/>
  <c r="AF219" i="4"/>
  <c r="AF251" i="4"/>
  <c r="R17" i="4"/>
  <c r="R29" i="4" s="1"/>
  <c r="AF277" i="4"/>
  <c r="N11" i="4"/>
  <c r="AF11" i="4" s="1"/>
  <c r="AF146" i="4"/>
  <c r="AF293" i="4"/>
  <c r="AF263" i="4"/>
  <c r="AF280" i="4"/>
  <c r="AF171" i="4"/>
  <c r="AF276" i="4"/>
  <c r="AF245" i="4"/>
  <c r="AF249" i="4"/>
  <c r="AF289" i="4"/>
  <c r="AF173" i="4"/>
  <c r="AF255" i="4"/>
  <c r="AF288" i="4"/>
  <c r="AF323" i="4"/>
  <c r="AF189" i="4"/>
  <c r="AF254" i="4"/>
  <c r="AF252" i="4"/>
  <c r="AF185" i="4"/>
  <c r="AF268" i="4"/>
  <c r="AF184" i="4"/>
  <c r="AF250" i="4"/>
  <c r="AF295" i="4"/>
  <c r="AF232" i="4"/>
  <c r="AF325" i="4"/>
  <c r="AD307" i="4"/>
  <c r="C16" i="10"/>
  <c r="C10" i="10"/>
  <c r="C8" i="10"/>
  <c r="P377" i="4"/>
  <c r="G190" i="4"/>
  <c r="H498" i="4"/>
  <c r="F63" i="4"/>
  <c r="F204" i="4"/>
  <c r="G204" i="4" s="1"/>
  <c r="F193" i="4"/>
  <c r="G193" i="4" s="1"/>
  <c r="U193" i="4" s="1"/>
  <c r="F211" i="4"/>
  <c r="G211" i="4" s="1"/>
  <c r="X211" i="4" s="1"/>
  <c r="F191" i="4"/>
  <c r="G191" i="4" s="1"/>
  <c r="AE191" i="4" s="1"/>
  <c r="F62" i="4"/>
  <c r="F78" i="4"/>
  <c r="F82" i="4"/>
  <c r="F195" i="4"/>
  <c r="G195" i="4" s="1"/>
  <c r="W195" i="4" s="1"/>
  <c r="F213" i="4"/>
  <c r="G213" i="4" s="1"/>
  <c r="U213" i="4" s="1"/>
  <c r="F206" i="4"/>
  <c r="G206" i="4" s="1"/>
  <c r="AH206" i="4" s="1"/>
  <c r="C129" i="3"/>
  <c r="E129" i="3" s="1"/>
  <c r="F75" i="4"/>
  <c r="F77" i="4"/>
  <c r="F222" i="4"/>
  <c r="G222" i="4" s="1"/>
  <c r="AH222" i="4" s="1"/>
  <c r="F74" i="4"/>
  <c r="F79" i="4"/>
  <c r="F192" i="4"/>
  <c r="G192" i="4" s="1"/>
  <c r="AE192" i="4" s="1"/>
  <c r="F214" i="4"/>
  <c r="G214" i="4" s="1"/>
  <c r="U214" i="4" s="1"/>
  <c r="F203" i="4"/>
  <c r="G203" i="4" s="1"/>
  <c r="F221" i="4"/>
  <c r="G221" i="4" s="1"/>
  <c r="F198" i="4"/>
  <c r="G198" i="4" s="1"/>
  <c r="AH198" i="4" s="1"/>
  <c r="F194" i="4"/>
  <c r="G194" i="4" s="1"/>
  <c r="Y194" i="4" s="1"/>
  <c r="F212" i="4"/>
  <c r="G212" i="4" s="1"/>
  <c r="AC212" i="4" s="1"/>
  <c r="F202" i="4"/>
  <c r="G202" i="4" s="1"/>
  <c r="F59" i="4"/>
  <c r="AG174" i="4"/>
  <c r="P13" i="4"/>
  <c r="N13" i="4"/>
  <c r="C98" i="6"/>
  <c r="AG315" i="4"/>
  <c r="AG170" i="4"/>
  <c r="AG324" i="4"/>
  <c r="AG317" i="4"/>
  <c r="AG175" i="4"/>
  <c r="W382" i="4"/>
  <c r="W405" i="4" s="1"/>
  <c r="Q226" i="4"/>
  <c r="R226" i="4" s="1"/>
  <c r="S226" i="4" s="1"/>
  <c r="T226" i="4" s="1"/>
  <c r="U226" i="4" s="1"/>
  <c r="Q208" i="4"/>
  <c r="R208" i="4" s="1"/>
  <c r="S208" i="4" s="1"/>
  <c r="T208" i="4" s="1"/>
  <c r="AH380" i="4"/>
  <c r="F61" i="4"/>
  <c r="C44" i="3"/>
  <c r="C81" i="6"/>
  <c r="AG266" i="4"/>
  <c r="AG277" i="4"/>
  <c r="AG293" i="4"/>
  <c r="AG181" i="4"/>
  <c r="AG263" i="4"/>
  <c r="AG280" i="4"/>
  <c r="AG287" i="4"/>
  <c r="AG244" i="4"/>
  <c r="AG171" i="4"/>
  <c r="AG188" i="4"/>
  <c r="AG176" i="4"/>
  <c r="AG258" i="4"/>
  <c r="AG177" i="4"/>
  <c r="AG276" i="4"/>
  <c r="AG292" i="4"/>
  <c r="AG240" i="4"/>
  <c r="AG183" i="4"/>
  <c r="AG281" i="4"/>
  <c r="AG338" i="4"/>
  <c r="AG173" i="4"/>
  <c r="AG255" i="4"/>
  <c r="AG272" i="4"/>
  <c r="AG288" i="4"/>
  <c r="AG323" i="4"/>
  <c r="AG189" i="4"/>
  <c r="AG234" i="4"/>
  <c r="AG254" i="4"/>
  <c r="AG252" i="4"/>
  <c r="AG278" i="4"/>
  <c r="AG257" i="4"/>
  <c r="AG185" i="4"/>
  <c r="AG235" i="4"/>
  <c r="AG268" i="4"/>
  <c r="AG284" i="4"/>
  <c r="AG184" i="4"/>
  <c r="AG250" i="4"/>
  <c r="AG295" i="4"/>
  <c r="AG182" i="4"/>
  <c r="AG216" i="4"/>
  <c r="AG232" i="4"/>
  <c r="AG325" i="4"/>
  <c r="AG282" i="4"/>
  <c r="C307" i="6"/>
  <c r="F223" i="4"/>
  <c r="G223" i="4" s="1"/>
  <c r="AG261" i="4"/>
  <c r="AG247" i="4"/>
  <c r="AG180" i="4"/>
  <c r="AG337" i="4"/>
  <c r="AG178" i="4"/>
  <c r="AG228" i="4"/>
  <c r="AG319" i="4"/>
  <c r="AG172" i="4"/>
  <c r="AG262" i="4"/>
  <c r="AG283" i="4"/>
  <c r="AG256" i="4"/>
  <c r="AG245" i="4"/>
  <c r="AG249" i="4"/>
  <c r="AG289" i="4"/>
  <c r="AG316" i="4"/>
  <c r="AG186" i="4"/>
  <c r="AG236" i="4"/>
  <c r="AG179" i="4"/>
  <c r="AG196" i="4"/>
  <c r="AG229" i="4"/>
  <c r="AG294" i="4"/>
  <c r="AG269" i="4"/>
  <c r="AG318" i="4"/>
  <c r="AG219" i="4"/>
  <c r="AG251" i="4"/>
  <c r="AG230" i="4"/>
  <c r="AG248" i="4"/>
  <c r="AG274" i="4"/>
  <c r="AG290" i="4"/>
  <c r="AG273" i="4"/>
  <c r="O253" i="4"/>
  <c r="P253" i="4" s="1"/>
  <c r="Q253" i="4" s="1"/>
  <c r="R253" i="4" s="1"/>
  <c r="S253" i="4" s="1"/>
  <c r="T253" i="4" s="1"/>
  <c r="U253" i="4" s="1"/>
  <c r="V253" i="4" s="1"/>
  <c r="W253" i="4" s="1"/>
  <c r="O218" i="4"/>
  <c r="P218" i="4" s="1"/>
  <c r="Q218" i="4" s="1"/>
  <c r="R218" i="4" s="1"/>
  <c r="S218" i="4" s="1"/>
  <c r="T218" i="4" s="1"/>
  <c r="O279" i="4"/>
  <c r="P279" i="4" s="1"/>
  <c r="Q279" i="4" s="1"/>
  <c r="R279" i="4" s="1"/>
  <c r="S279" i="4" s="1"/>
  <c r="T279" i="4" s="1"/>
  <c r="U279" i="4" s="1"/>
  <c r="V279" i="4" s="1"/>
  <c r="W279" i="4" s="1"/>
  <c r="X279" i="4" s="1"/>
  <c r="O224" i="4"/>
  <c r="P224" i="4" s="1"/>
  <c r="Q224" i="4" s="1"/>
  <c r="R224" i="4" s="1"/>
  <c r="S224" i="4" s="1"/>
  <c r="T224" i="4" s="1"/>
  <c r="O264" i="4"/>
  <c r="P264" i="4" s="1"/>
  <c r="Q264" i="4" s="1"/>
  <c r="R264" i="4" s="1"/>
  <c r="S264" i="4" s="1"/>
  <c r="T264" i="4" s="1"/>
  <c r="U264" i="4" s="1"/>
  <c r="V264" i="4" s="1"/>
  <c r="W264" i="4" s="1"/>
  <c r="O225" i="4"/>
  <c r="P225" i="4" s="1"/>
  <c r="O227" i="4"/>
  <c r="P227" i="4" s="1"/>
  <c r="Q227" i="4" s="1"/>
  <c r="R227" i="4" s="1"/>
  <c r="S227" i="4" s="1"/>
  <c r="T227" i="4" s="1"/>
  <c r="U227" i="4" s="1"/>
  <c r="O243" i="4"/>
  <c r="P243" i="4" s="1"/>
  <c r="Q243" i="4" s="1"/>
  <c r="R243" i="4" s="1"/>
  <c r="S243" i="4" s="1"/>
  <c r="T243" i="4" s="1"/>
  <c r="U243" i="4" s="1"/>
  <c r="V243" i="4" s="1"/>
  <c r="O231" i="4"/>
  <c r="P231" i="4" s="1"/>
  <c r="Q231" i="4" s="1"/>
  <c r="R231" i="4" s="1"/>
  <c r="S231" i="4" s="1"/>
  <c r="T231" i="4" s="1"/>
  <c r="U231" i="4" s="1"/>
  <c r="O201" i="4"/>
  <c r="P201" i="4" s="1"/>
  <c r="Q201" i="4" s="1"/>
  <c r="R201" i="4" s="1"/>
  <c r="S201" i="4" s="1"/>
  <c r="O238" i="4"/>
  <c r="P238" i="4" s="1"/>
  <c r="Q238" i="4" s="1"/>
  <c r="R238" i="4" s="1"/>
  <c r="S238" i="4" s="1"/>
  <c r="T238" i="4" s="1"/>
  <c r="U238" i="4" s="1"/>
  <c r="O200" i="4"/>
  <c r="P200" i="4" s="1"/>
  <c r="Q200" i="4" s="1"/>
  <c r="R200" i="4" s="1"/>
  <c r="S200" i="4" s="1"/>
  <c r="O233" i="4"/>
  <c r="P233" i="4" s="1"/>
  <c r="Q233" i="4" s="1"/>
  <c r="R233" i="4" s="1"/>
  <c r="S233" i="4" s="1"/>
  <c r="T233" i="4" s="1"/>
  <c r="U233" i="4" s="1"/>
  <c r="O271" i="4"/>
  <c r="P271" i="4" s="1"/>
  <c r="Q271" i="4" s="1"/>
  <c r="R271" i="4" s="1"/>
  <c r="S271" i="4" s="1"/>
  <c r="T271" i="4" s="1"/>
  <c r="U271" i="4" s="1"/>
  <c r="V271" i="4" s="1"/>
  <c r="W271" i="4" s="1"/>
  <c r="O199" i="4"/>
  <c r="P199" i="4" s="1"/>
  <c r="Q199" i="4" s="1"/>
  <c r="R199" i="4" s="1"/>
  <c r="S199" i="4" s="1"/>
  <c r="O241" i="4"/>
  <c r="P241" i="4" s="1"/>
  <c r="Q241" i="4" s="1"/>
  <c r="R241" i="4" s="1"/>
  <c r="S241" i="4" s="1"/>
  <c r="T241" i="4" s="1"/>
  <c r="U241" i="4" s="1"/>
  <c r="P379" i="4"/>
  <c r="N379" i="4"/>
  <c r="AH379" i="4"/>
  <c r="Q379" i="4"/>
  <c r="R379" i="4"/>
  <c r="R405" i="4" s="1"/>
  <c r="O379" i="4"/>
  <c r="S379" i="4"/>
  <c r="T197" i="4"/>
  <c r="AH197" i="4"/>
  <c r="O209" i="4"/>
  <c r="P209" i="4" s="1"/>
  <c r="Q209" i="4" s="1"/>
  <c r="R209" i="4" s="1"/>
  <c r="S209" i="4" s="1"/>
  <c r="O270" i="4"/>
  <c r="P270" i="4" s="1"/>
  <c r="Q270" i="4" s="1"/>
  <c r="R270" i="4" s="1"/>
  <c r="S270" i="4" s="1"/>
  <c r="T270" i="4" s="1"/>
  <c r="U270" i="4" s="1"/>
  <c r="V270" i="4" s="1"/>
  <c r="W270" i="4" s="1"/>
  <c r="O286" i="4"/>
  <c r="P286" i="4" s="1"/>
  <c r="Q286" i="4" s="1"/>
  <c r="R286" i="4" s="1"/>
  <c r="S286" i="4" s="1"/>
  <c r="T286" i="4" s="1"/>
  <c r="U286" i="4" s="1"/>
  <c r="V286" i="4" s="1"/>
  <c r="W286" i="4" s="1"/>
  <c r="X286" i="4" s="1"/>
  <c r="Y286" i="4" s="1"/>
  <c r="Z286" i="4" s="1"/>
  <c r="O215" i="4"/>
  <c r="P215" i="4" s="1"/>
  <c r="Q215" i="4" s="1"/>
  <c r="R215" i="4" s="1"/>
  <c r="S215" i="4" s="1"/>
  <c r="O239" i="4"/>
  <c r="P239" i="4" s="1"/>
  <c r="Q239" i="4" s="1"/>
  <c r="R239" i="4" s="1"/>
  <c r="S239" i="4" s="1"/>
  <c r="T239" i="4" s="1"/>
  <c r="U239" i="4" s="1"/>
  <c r="O260" i="4"/>
  <c r="P260" i="4" s="1"/>
  <c r="Q260" i="4" s="1"/>
  <c r="R260" i="4" s="1"/>
  <c r="S260" i="4" s="1"/>
  <c r="T260" i="4" s="1"/>
  <c r="U260" i="4" s="1"/>
  <c r="V260" i="4" s="1"/>
  <c r="W260" i="4" s="1"/>
  <c r="O246" i="4"/>
  <c r="P246" i="4" s="1"/>
  <c r="Q246" i="4" s="1"/>
  <c r="R246" i="4" s="1"/>
  <c r="S246" i="4" s="1"/>
  <c r="T246" i="4" s="1"/>
  <c r="U246" i="4" s="1"/>
  <c r="V246" i="4" s="1"/>
  <c r="O267" i="4"/>
  <c r="P267" i="4" s="1"/>
  <c r="Q267" i="4" s="1"/>
  <c r="R267" i="4" s="1"/>
  <c r="S267" i="4" s="1"/>
  <c r="T267" i="4" s="1"/>
  <c r="U267" i="4" s="1"/>
  <c r="V267" i="4" s="1"/>
  <c r="W267" i="4" s="1"/>
  <c r="O237" i="4"/>
  <c r="P237" i="4" s="1"/>
  <c r="Q237" i="4" s="1"/>
  <c r="R237" i="4" s="1"/>
  <c r="S237" i="4" s="1"/>
  <c r="T237" i="4" s="1"/>
  <c r="U237" i="4" s="1"/>
  <c r="O259" i="4"/>
  <c r="P259" i="4" s="1"/>
  <c r="Q259" i="4" s="1"/>
  <c r="R259" i="4" s="1"/>
  <c r="S259" i="4" s="1"/>
  <c r="T259" i="4" s="1"/>
  <c r="U259" i="4" s="1"/>
  <c r="V259" i="4" s="1"/>
  <c r="W259" i="4" s="1"/>
  <c r="O217" i="4"/>
  <c r="P217" i="4" s="1"/>
  <c r="Q217" i="4" s="1"/>
  <c r="R217" i="4" s="1"/>
  <c r="S217" i="4" s="1"/>
  <c r="T217" i="4" s="1"/>
  <c r="O210" i="4"/>
  <c r="P210" i="4" s="1"/>
  <c r="Q210" i="4" s="1"/>
  <c r="R210" i="4" s="1"/>
  <c r="S210" i="4" s="1"/>
  <c r="O105" i="4"/>
  <c r="P105" i="4" s="1"/>
  <c r="Q105" i="4" s="1"/>
  <c r="R105" i="4" s="1"/>
  <c r="S105" i="4" s="1"/>
  <c r="T105" i="4" s="1"/>
  <c r="U105" i="4" s="1"/>
  <c r="V105" i="4" s="1"/>
  <c r="W105" i="4" s="1"/>
  <c r="X105" i="4" s="1"/>
  <c r="Y105" i="4" s="1"/>
  <c r="Z105" i="4" s="1"/>
  <c r="AA105" i="4" s="1"/>
  <c r="AB105" i="4" s="1"/>
  <c r="AC105" i="4" s="1"/>
  <c r="AD105" i="4" s="1"/>
  <c r="AE105" i="4" s="1"/>
  <c r="O106" i="4"/>
  <c r="P106" i="4" s="1"/>
  <c r="Q106" i="4" s="1"/>
  <c r="R106" i="4" s="1"/>
  <c r="S106" i="4" s="1"/>
  <c r="T106" i="4" s="1"/>
  <c r="U106" i="4" s="1"/>
  <c r="V106" i="4" s="1"/>
  <c r="W106" i="4" s="1"/>
  <c r="X106" i="4" s="1"/>
  <c r="Y106" i="4" s="1"/>
  <c r="Z106" i="4" s="1"/>
  <c r="AA106" i="4" s="1"/>
  <c r="AB106" i="4" s="1"/>
  <c r="AC106" i="4" s="1"/>
  <c r="AD106" i="4" s="1"/>
  <c r="AE106" i="4" s="1"/>
  <c r="O101" i="4"/>
  <c r="P101" i="4" s="1"/>
  <c r="Q101" i="4" s="1"/>
  <c r="R101" i="4" s="1"/>
  <c r="S101" i="4" s="1"/>
  <c r="T101" i="4" s="1"/>
  <c r="U101" i="4" s="1"/>
  <c r="V101" i="4" s="1"/>
  <c r="W101" i="4" s="1"/>
  <c r="X101" i="4" s="1"/>
  <c r="Y101" i="4" s="1"/>
  <c r="Z101" i="4" s="1"/>
  <c r="AA101" i="4" s="1"/>
  <c r="AB101" i="4" s="1"/>
  <c r="AC101" i="4" s="1"/>
  <c r="AD101" i="4" s="1"/>
  <c r="AE101" i="4" s="1"/>
  <c r="O96" i="4"/>
  <c r="P96" i="4" s="1"/>
  <c r="Q96" i="4" s="1"/>
  <c r="R96" i="4" s="1"/>
  <c r="S96" i="4" s="1"/>
  <c r="T96" i="4" s="1"/>
  <c r="U96" i="4" s="1"/>
  <c r="V96" i="4" s="1"/>
  <c r="W96" i="4" s="1"/>
  <c r="X96" i="4" s="1"/>
  <c r="Y96" i="4" s="1"/>
  <c r="Z96" i="4" s="1"/>
  <c r="AA96" i="4" s="1"/>
  <c r="AB96" i="4" s="1"/>
  <c r="AC96" i="4" s="1"/>
  <c r="AD96" i="4" s="1"/>
  <c r="AE96" i="4" s="1"/>
  <c r="O92" i="4"/>
  <c r="P92" i="4" s="1"/>
  <c r="Q92" i="4" s="1"/>
  <c r="R92" i="4" s="1"/>
  <c r="S92" i="4" s="1"/>
  <c r="T92" i="4" s="1"/>
  <c r="U92" i="4" s="1"/>
  <c r="V92" i="4" s="1"/>
  <c r="W92" i="4" s="1"/>
  <c r="X92" i="4" s="1"/>
  <c r="Y92" i="4" s="1"/>
  <c r="Z92" i="4" s="1"/>
  <c r="AA92" i="4" s="1"/>
  <c r="AB92" i="4" s="1"/>
  <c r="AC92" i="4" s="1"/>
  <c r="AD92" i="4" s="1"/>
  <c r="AE92" i="4" s="1"/>
  <c r="O80" i="4"/>
  <c r="P80" i="4" s="1"/>
  <c r="Q80" i="4" s="1"/>
  <c r="R80" i="4" s="1"/>
  <c r="S80" i="4" s="1"/>
  <c r="T80" i="4" s="1"/>
  <c r="U80" i="4" s="1"/>
  <c r="V80" i="4" s="1"/>
  <c r="W80" i="4" s="1"/>
  <c r="X80" i="4" s="1"/>
  <c r="Y80" i="4" s="1"/>
  <c r="Z80" i="4" s="1"/>
  <c r="AA80" i="4" s="1"/>
  <c r="AB80" i="4" s="1"/>
  <c r="AC80" i="4" s="1"/>
  <c r="AD80" i="4" s="1"/>
  <c r="AE80" i="4" s="1"/>
  <c r="O70" i="4"/>
  <c r="P70" i="4" s="1"/>
  <c r="Q70" i="4" s="1"/>
  <c r="R70" i="4" s="1"/>
  <c r="S70" i="4" s="1"/>
  <c r="T70" i="4" s="1"/>
  <c r="U70" i="4" s="1"/>
  <c r="V70" i="4" s="1"/>
  <c r="W70" i="4" s="1"/>
  <c r="X70" i="4" s="1"/>
  <c r="Y70" i="4" s="1"/>
  <c r="Z70" i="4" s="1"/>
  <c r="AA70" i="4" s="1"/>
  <c r="AB70" i="4" s="1"/>
  <c r="AC70" i="4" s="1"/>
  <c r="AD70" i="4" s="1"/>
  <c r="AE70" i="4" s="1"/>
  <c r="O65" i="4"/>
  <c r="P65" i="4" s="1"/>
  <c r="Q65" i="4" s="1"/>
  <c r="R65" i="4" s="1"/>
  <c r="S65" i="4" s="1"/>
  <c r="T65" i="4" s="1"/>
  <c r="U65" i="4" s="1"/>
  <c r="V65" i="4" s="1"/>
  <c r="W65" i="4" s="1"/>
  <c r="X65" i="4" s="1"/>
  <c r="Y65" i="4" s="1"/>
  <c r="Z65" i="4" s="1"/>
  <c r="AA65" i="4" s="1"/>
  <c r="AB65" i="4" s="1"/>
  <c r="AC65" i="4" s="1"/>
  <c r="AD65" i="4" s="1"/>
  <c r="AE65" i="4" s="1"/>
  <c r="O91" i="4"/>
  <c r="P91" i="4" s="1"/>
  <c r="Q91" i="4" s="1"/>
  <c r="R91" i="4" s="1"/>
  <c r="S91" i="4" s="1"/>
  <c r="T91" i="4" s="1"/>
  <c r="U91" i="4" s="1"/>
  <c r="V91" i="4" s="1"/>
  <c r="W91" i="4" s="1"/>
  <c r="X91" i="4" s="1"/>
  <c r="Y91" i="4" s="1"/>
  <c r="Z91" i="4" s="1"/>
  <c r="AA91" i="4" s="1"/>
  <c r="AB91" i="4" s="1"/>
  <c r="AC91" i="4" s="1"/>
  <c r="AD91" i="4" s="1"/>
  <c r="AE91" i="4" s="1"/>
  <c r="O100" i="4"/>
  <c r="P100" i="4" s="1"/>
  <c r="Q100" i="4" s="1"/>
  <c r="R100" i="4" s="1"/>
  <c r="S100" i="4" s="1"/>
  <c r="T100" i="4" s="1"/>
  <c r="U100" i="4" s="1"/>
  <c r="V100" i="4" s="1"/>
  <c r="W100" i="4" s="1"/>
  <c r="X100" i="4" s="1"/>
  <c r="Y100" i="4" s="1"/>
  <c r="Z100" i="4" s="1"/>
  <c r="AA100" i="4" s="1"/>
  <c r="AB100" i="4" s="1"/>
  <c r="AC100" i="4" s="1"/>
  <c r="AD100" i="4" s="1"/>
  <c r="AE100" i="4" s="1"/>
  <c r="O88" i="4"/>
  <c r="P88" i="4" s="1"/>
  <c r="Q88" i="4" s="1"/>
  <c r="R88" i="4" s="1"/>
  <c r="S88" i="4" s="1"/>
  <c r="T88" i="4" s="1"/>
  <c r="U88" i="4" s="1"/>
  <c r="V88" i="4" s="1"/>
  <c r="W88" i="4" s="1"/>
  <c r="X88" i="4" s="1"/>
  <c r="Y88" i="4" s="1"/>
  <c r="Z88" i="4" s="1"/>
  <c r="AA88" i="4" s="1"/>
  <c r="AB88" i="4" s="1"/>
  <c r="AC88" i="4" s="1"/>
  <c r="AD88" i="4" s="1"/>
  <c r="AE88" i="4" s="1"/>
  <c r="O107" i="4"/>
  <c r="P107" i="4" s="1"/>
  <c r="Q107" i="4" s="1"/>
  <c r="R107" i="4" s="1"/>
  <c r="S107" i="4" s="1"/>
  <c r="T107" i="4" s="1"/>
  <c r="U107" i="4" s="1"/>
  <c r="V107" i="4" s="1"/>
  <c r="W107" i="4" s="1"/>
  <c r="X107" i="4" s="1"/>
  <c r="Y107" i="4" s="1"/>
  <c r="Z107" i="4" s="1"/>
  <c r="AA107" i="4" s="1"/>
  <c r="AB107" i="4" s="1"/>
  <c r="AC107" i="4" s="1"/>
  <c r="AD107" i="4" s="1"/>
  <c r="AE107" i="4" s="1"/>
  <c r="O103" i="4"/>
  <c r="P103" i="4" s="1"/>
  <c r="Q103" i="4" s="1"/>
  <c r="R103" i="4" s="1"/>
  <c r="S103" i="4" s="1"/>
  <c r="T103" i="4" s="1"/>
  <c r="U103" i="4" s="1"/>
  <c r="V103" i="4" s="1"/>
  <c r="W103" i="4" s="1"/>
  <c r="X103" i="4" s="1"/>
  <c r="Y103" i="4" s="1"/>
  <c r="Z103" i="4" s="1"/>
  <c r="AA103" i="4" s="1"/>
  <c r="AB103" i="4" s="1"/>
  <c r="AC103" i="4" s="1"/>
  <c r="AD103" i="4" s="1"/>
  <c r="AE103" i="4" s="1"/>
  <c r="O98" i="4"/>
  <c r="P98" i="4" s="1"/>
  <c r="Q98" i="4" s="1"/>
  <c r="R98" i="4" s="1"/>
  <c r="S98" i="4" s="1"/>
  <c r="T98" i="4" s="1"/>
  <c r="U98" i="4" s="1"/>
  <c r="V98" i="4" s="1"/>
  <c r="W98" i="4" s="1"/>
  <c r="X98" i="4" s="1"/>
  <c r="Y98" i="4" s="1"/>
  <c r="Z98" i="4" s="1"/>
  <c r="AA98" i="4" s="1"/>
  <c r="AB98" i="4" s="1"/>
  <c r="AC98" i="4" s="1"/>
  <c r="AD98" i="4" s="1"/>
  <c r="AE98" i="4" s="1"/>
  <c r="O93" i="4"/>
  <c r="P93" i="4" s="1"/>
  <c r="Q93" i="4" s="1"/>
  <c r="R93" i="4" s="1"/>
  <c r="S93" i="4" s="1"/>
  <c r="T93" i="4" s="1"/>
  <c r="U93" i="4" s="1"/>
  <c r="V93" i="4" s="1"/>
  <c r="W93" i="4" s="1"/>
  <c r="X93" i="4" s="1"/>
  <c r="Y93" i="4" s="1"/>
  <c r="Z93" i="4" s="1"/>
  <c r="AA93" i="4" s="1"/>
  <c r="AB93" i="4" s="1"/>
  <c r="AC93" i="4" s="1"/>
  <c r="AD93" i="4" s="1"/>
  <c r="AE93" i="4" s="1"/>
  <c r="O81" i="4"/>
  <c r="P81" i="4" s="1"/>
  <c r="Q81" i="4" s="1"/>
  <c r="R81" i="4" s="1"/>
  <c r="S81" i="4" s="1"/>
  <c r="T81" i="4" s="1"/>
  <c r="U81" i="4" s="1"/>
  <c r="V81" i="4" s="1"/>
  <c r="W81" i="4" s="1"/>
  <c r="X81" i="4" s="1"/>
  <c r="Y81" i="4" s="1"/>
  <c r="Z81" i="4" s="1"/>
  <c r="AA81" i="4" s="1"/>
  <c r="AB81" i="4" s="1"/>
  <c r="AC81" i="4" s="1"/>
  <c r="AD81" i="4" s="1"/>
  <c r="AE81" i="4" s="1"/>
  <c r="O71" i="4"/>
  <c r="P71" i="4" s="1"/>
  <c r="Q71" i="4" s="1"/>
  <c r="R71" i="4" s="1"/>
  <c r="S71" i="4" s="1"/>
  <c r="T71" i="4" s="1"/>
  <c r="U71" i="4" s="1"/>
  <c r="V71" i="4" s="1"/>
  <c r="W71" i="4" s="1"/>
  <c r="X71" i="4" s="1"/>
  <c r="Y71" i="4" s="1"/>
  <c r="Z71" i="4" s="1"/>
  <c r="AA71" i="4" s="1"/>
  <c r="AB71" i="4" s="1"/>
  <c r="AC71" i="4" s="1"/>
  <c r="AD71" i="4" s="1"/>
  <c r="AE71" i="4" s="1"/>
  <c r="O66" i="4"/>
  <c r="P66" i="4" s="1"/>
  <c r="Q66" i="4" s="1"/>
  <c r="R66" i="4" s="1"/>
  <c r="S66" i="4" s="1"/>
  <c r="T66" i="4" s="1"/>
  <c r="U66" i="4" s="1"/>
  <c r="V66" i="4" s="1"/>
  <c r="W66" i="4" s="1"/>
  <c r="X66" i="4" s="1"/>
  <c r="Y66" i="4" s="1"/>
  <c r="Z66" i="4" s="1"/>
  <c r="AA66" i="4" s="1"/>
  <c r="AB66" i="4" s="1"/>
  <c r="AC66" i="4" s="1"/>
  <c r="AD66" i="4" s="1"/>
  <c r="AE66" i="4" s="1"/>
  <c r="O12" i="4"/>
  <c r="N12" i="4"/>
  <c r="O109" i="4"/>
  <c r="P109" i="4" s="1"/>
  <c r="Q109" i="4" s="1"/>
  <c r="R109" i="4" s="1"/>
  <c r="S109" i="4" s="1"/>
  <c r="T109" i="4" s="1"/>
  <c r="U109" i="4" s="1"/>
  <c r="V109" i="4" s="1"/>
  <c r="W109" i="4" s="1"/>
  <c r="X109" i="4" s="1"/>
  <c r="Y109" i="4" s="1"/>
  <c r="Z109" i="4" s="1"/>
  <c r="AA109" i="4" s="1"/>
  <c r="AB109" i="4" s="1"/>
  <c r="AC109" i="4" s="1"/>
  <c r="AD109" i="4" s="1"/>
  <c r="AE109" i="4" s="1"/>
  <c r="O95" i="4"/>
  <c r="P95" i="4" s="1"/>
  <c r="Q95" i="4" s="1"/>
  <c r="R95" i="4" s="1"/>
  <c r="S95" i="4" s="1"/>
  <c r="T95" i="4" s="1"/>
  <c r="U95" i="4" s="1"/>
  <c r="V95" i="4" s="1"/>
  <c r="W95" i="4" s="1"/>
  <c r="X95" i="4" s="1"/>
  <c r="Y95" i="4" s="1"/>
  <c r="Z95" i="4" s="1"/>
  <c r="AA95" i="4" s="1"/>
  <c r="AB95" i="4" s="1"/>
  <c r="AC95" i="4" s="1"/>
  <c r="AD95" i="4" s="1"/>
  <c r="AE95" i="4" s="1"/>
  <c r="O68" i="4"/>
  <c r="P68" i="4" s="1"/>
  <c r="Q68" i="4" s="1"/>
  <c r="R68" i="4" s="1"/>
  <c r="S68" i="4" s="1"/>
  <c r="T68" i="4" s="1"/>
  <c r="U68" i="4" s="1"/>
  <c r="V68" i="4" s="1"/>
  <c r="W68" i="4" s="1"/>
  <c r="X68" i="4" s="1"/>
  <c r="Y68" i="4" s="1"/>
  <c r="Z68" i="4" s="1"/>
  <c r="AA68" i="4" s="1"/>
  <c r="AB68" i="4" s="1"/>
  <c r="AC68" i="4" s="1"/>
  <c r="AD68" i="4" s="1"/>
  <c r="AE68" i="4" s="1"/>
  <c r="O108" i="4"/>
  <c r="P108" i="4" s="1"/>
  <c r="Q108" i="4" s="1"/>
  <c r="R108" i="4" s="1"/>
  <c r="S108" i="4" s="1"/>
  <c r="T108" i="4" s="1"/>
  <c r="U108" i="4" s="1"/>
  <c r="V108" i="4" s="1"/>
  <c r="W108" i="4" s="1"/>
  <c r="X108" i="4" s="1"/>
  <c r="Y108" i="4" s="1"/>
  <c r="Z108" i="4" s="1"/>
  <c r="AA108" i="4" s="1"/>
  <c r="AB108" i="4" s="1"/>
  <c r="AC108" i="4" s="1"/>
  <c r="AD108" i="4" s="1"/>
  <c r="AE108" i="4" s="1"/>
  <c r="O104" i="4"/>
  <c r="P104" i="4" s="1"/>
  <c r="Q104" i="4" s="1"/>
  <c r="R104" i="4" s="1"/>
  <c r="S104" i="4" s="1"/>
  <c r="T104" i="4" s="1"/>
  <c r="U104" i="4" s="1"/>
  <c r="V104" i="4" s="1"/>
  <c r="W104" i="4" s="1"/>
  <c r="X104" i="4" s="1"/>
  <c r="Y104" i="4" s="1"/>
  <c r="Z104" i="4" s="1"/>
  <c r="AA104" i="4" s="1"/>
  <c r="AB104" i="4" s="1"/>
  <c r="AC104" i="4" s="1"/>
  <c r="AD104" i="4" s="1"/>
  <c r="O99" i="4"/>
  <c r="P99" i="4" s="1"/>
  <c r="Q99" i="4" s="1"/>
  <c r="R99" i="4" s="1"/>
  <c r="S99" i="4" s="1"/>
  <c r="T99" i="4" s="1"/>
  <c r="U99" i="4" s="1"/>
  <c r="V99" i="4" s="1"/>
  <c r="W99" i="4" s="1"/>
  <c r="X99" i="4" s="1"/>
  <c r="Y99" i="4" s="1"/>
  <c r="Z99" i="4" s="1"/>
  <c r="AA99" i="4" s="1"/>
  <c r="AB99" i="4" s="1"/>
  <c r="AC99" i="4" s="1"/>
  <c r="AD99" i="4" s="1"/>
  <c r="AE99" i="4" s="1"/>
  <c r="O94" i="4"/>
  <c r="P94" i="4" s="1"/>
  <c r="Q94" i="4" s="1"/>
  <c r="R94" i="4" s="1"/>
  <c r="S94" i="4" s="1"/>
  <c r="T94" i="4" s="1"/>
  <c r="U94" i="4" s="1"/>
  <c r="V94" i="4" s="1"/>
  <c r="W94" i="4" s="1"/>
  <c r="X94" i="4" s="1"/>
  <c r="Y94" i="4" s="1"/>
  <c r="Z94" i="4" s="1"/>
  <c r="AA94" i="4" s="1"/>
  <c r="AB94" i="4" s="1"/>
  <c r="AC94" i="4" s="1"/>
  <c r="AD94" i="4" s="1"/>
  <c r="AE94" i="4" s="1"/>
  <c r="O85" i="4"/>
  <c r="P85" i="4" s="1"/>
  <c r="Q85" i="4" s="1"/>
  <c r="R85" i="4" s="1"/>
  <c r="S85" i="4" s="1"/>
  <c r="T85" i="4" s="1"/>
  <c r="U85" i="4" s="1"/>
  <c r="V85" i="4" s="1"/>
  <c r="W85" i="4" s="1"/>
  <c r="X85" i="4" s="1"/>
  <c r="Y85" i="4" s="1"/>
  <c r="Z85" i="4" s="1"/>
  <c r="AA85" i="4" s="1"/>
  <c r="AB85" i="4" s="1"/>
  <c r="AC85" i="4" s="1"/>
  <c r="AD85" i="4" s="1"/>
  <c r="AE85" i="4" s="1"/>
  <c r="O72" i="4"/>
  <c r="P72" i="4" s="1"/>
  <c r="Q72" i="4" s="1"/>
  <c r="R72" i="4" s="1"/>
  <c r="S72" i="4" s="1"/>
  <c r="T72" i="4" s="1"/>
  <c r="U72" i="4" s="1"/>
  <c r="V72" i="4" s="1"/>
  <c r="W72" i="4" s="1"/>
  <c r="X72" i="4" s="1"/>
  <c r="Y72" i="4" s="1"/>
  <c r="Z72" i="4" s="1"/>
  <c r="AA72" i="4" s="1"/>
  <c r="AB72" i="4" s="1"/>
  <c r="AC72" i="4" s="1"/>
  <c r="AD72" i="4" s="1"/>
  <c r="AE72" i="4" s="1"/>
  <c r="O67" i="4"/>
  <c r="P67" i="4" s="1"/>
  <c r="Q67" i="4" s="1"/>
  <c r="R67" i="4" s="1"/>
  <c r="S67" i="4" s="1"/>
  <c r="T67" i="4" s="1"/>
  <c r="U67" i="4" s="1"/>
  <c r="V67" i="4" s="1"/>
  <c r="W67" i="4" s="1"/>
  <c r="X67" i="4" s="1"/>
  <c r="Y67" i="4" s="1"/>
  <c r="Z67" i="4" s="1"/>
  <c r="AA67" i="4" s="1"/>
  <c r="AB67" i="4" s="1"/>
  <c r="AC67" i="4" s="1"/>
  <c r="AD67" i="4" s="1"/>
  <c r="AE67" i="4" s="1"/>
  <c r="O102" i="4"/>
  <c r="P102" i="4" s="1"/>
  <c r="Q102" i="4" s="1"/>
  <c r="R102" i="4" s="1"/>
  <c r="S102" i="4" s="1"/>
  <c r="T102" i="4" s="1"/>
  <c r="U102" i="4" s="1"/>
  <c r="V102" i="4" s="1"/>
  <c r="W102" i="4" s="1"/>
  <c r="X102" i="4" s="1"/>
  <c r="Y102" i="4" s="1"/>
  <c r="Z102" i="4" s="1"/>
  <c r="AA102" i="4" s="1"/>
  <c r="AB102" i="4" s="1"/>
  <c r="AC102" i="4" s="1"/>
  <c r="AD102" i="4" s="1"/>
  <c r="AE102" i="4" s="1"/>
  <c r="O84" i="4"/>
  <c r="P84" i="4" s="1"/>
  <c r="Q84" i="4" s="1"/>
  <c r="R84" i="4" s="1"/>
  <c r="S84" i="4" s="1"/>
  <c r="T84" i="4" s="1"/>
  <c r="U84" i="4" s="1"/>
  <c r="V84" i="4" s="1"/>
  <c r="W84" i="4" s="1"/>
  <c r="X84" i="4" s="1"/>
  <c r="Y84" i="4" s="1"/>
  <c r="Z84" i="4" s="1"/>
  <c r="AA84" i="4" s="1"/>
  <c r="AB84" i="4" s="1"/>
  <c r="AC84" i="4" s="1"/>
  <c r="AD84" i="4" s="1"/>
  <c r="AE84" i="4" s="1"/>
  <c r="V335" i="4"/>
  <c r="W335" i="4" s="1"/>
  <c r="X335" i="4" s="1"/>
  <c r="U334" i="4"/>
  <c r="V334" i="4" s="1"/>
  <c r="W334" i="4" s="1"/>
  <c r="R320" i="4"/>
  <c r="S320" i="4" s="1"/>
  <c r="S373" i="4" s="1"/>
  <c r="X339" i="4"/>
  <c r="Y339" i="4" s="1"/>
  <c r="AF500" i="4"/>
  <c r="O13" i="4"/>
  <c r="O37" i="4"/>
  <c r="AF37" i="4" s="1"/>
  <c r="P15" i="4"/>
  <c r="N15" i="4"/>
  <c r="O15" i="4"/>
  <c r="N39" i="4"/>
  <c r="P156" i="4"/>
  <c r="Q156" i="4"/>
  <c r="R156" i="4"/>
  <c r="N156" i="4"/>
  <c r="S156" i="4"/>
  <c r="O156" i="4"/>
  <c r="P313" i="4"/>
  <c r="P373" i="4" s="1"/>
  <c r="H505" i="4"/>
  <c r="N17" i="4"/>
  <c r="P41" i="4"/>
  <c r="P56" i="4" s="1"/>
  <c r="N41" i="4"/>
  <c r="O41" i="4"/>
  <c r="N14" i="4"/>
  <c r="O14" i="4"/>
  <c r="N49" i="4"/>
  <c r="Q49" i="4"/>
  <c r="Q56" i="4" s="1"/>
  <c r="O49" i="4"/>
  <c r="O38" i="4"/>
  <c r="N38" i="4"/>
  <c r="N377" i="4"/>
  <c r="O377" i="4"/>
  <c r="N155" i="4"/>
  <c r="O155" i="4"/>
  <c r="O16" i="4"/>
  <c r="N16" i="4"/>
  <c r="P16" i="4"/>
  <c r="N40" i="4"/>
  <c r="O411" i="4"/>
  <c r="O496" i="4" s="1"/>
  <c r="N411" i="4"/>
  <c r="N496" i="4" s="1"/>
  <c r="N380" i="4"/>
  <c r="R157" i="4"/>
  <c r="N157" i="4"/>
  <c r="S157" i="4"/>
  <c r="O157" i="4"/>
  <c r="T157" i="4"/>
  <c r="T168" i="4" s="1"/>
  <c r="P157" i="4"/>
  <c r="U157" i="4"/>
  <c r="U168" i="4" s="1"/>
  <c r="Q157" i="4"/>
  <c r="N197" i="4"/>
  <c r="L407" i="4"/>
  <c r="L496" i="4" s="1"/>
  <c r="AF496" i="4" s="1"/>
  <c r="L31" i="4"/>
  <c r="AF31" i="4" s="1"/>
  <c r="F17" i="6"/>
  <c r="C224" i="6"/>
  <c r="F205" i="4"/>
  <c r="G205" i="4" s="1"/>
  <c r="C274" i="6"/>
  <c r="F220" i="4"/>
  <c r="G220" i="4" s="1"/>
  <c r="C132" i="6"/>
  <c r="C183" i="6"/>
  <c r="C257" i="6"/>
  <c r="C166" i="6"/>
  <c r="C149" i="6"/>
  <c r="C112" i="3"/>
  <c r="F83" i="4"/>
  <c r="C115" i="6"/>
  <c r="C94" i="3"/>
  <c r="F76" i="4"/>
  <c r="C18" i="3"/>
  <c r="F58" i="4"/>
  <c r="G59" i="4" l="1"/>
  <c r="N59" i="4" s="1"/>
  <c r="AF59" i="4" s="1"/>
  <c r="G77" i="4"/>
  <c r="N77" i="4" s="1"/>
  <c r="AF77" i="4"/>
  <c r="G62" i="4"/>
  <c r="N62" i="4" s="1"/>
  <c r="AF66" i="4"/>
  <c r="AF104" i="4"/>
  <c r="AF105" i="4"/>
  <c r="AF107" i="4"/>
  <c r="AF101" i="4"/>
  <c r="AF70" i="4"/>
  <c r="G76" i="4"/>
  <c r="N76" i="4" s="1"/>
  <c r="AF76" i="4" s="1"/>
  <c r="G83" i="4"/>
  <c r="N83" i="4" s="1"/>
  <c r="G79" i="4"/>
  <c r="N79" i="4" s="1"/>
  <c r="G75" i="4"/>
  <c r="G63" i="4"/>
  <c r="N63" i="4" s="1"/>
  <c r="AF71" i="4"/>
  <c r="AF108" i="4"/>
  <c r="AF109" i="4"/>
  <c r="AF68" i="4"/>
  <c r="AF106" i="4"/>
  <c r="AF93" i="4"/>
  <c r="AF85" i="4"/>
  <c r="G61" i="4"/>
  <c r="N61" i="4" s="1"/>
  <c r="G74" i="4"/>
  <c r="N74" i="4" s="1"/>
  <c r="G82" i="4"/>
  <c r="N82" i="4" s="1"/>
  <c r="AF82" i="4"/>
  <c r="AF84" i="4"/>
  <c r="AF94" i="4"/>
  <c r="AF67" i="4"/>
  <c r="AF81" i="4"/>
  <c r="AF95" i="4"/>
  <c r="AF80" i="4"/>
  <c r="AF91" i="4"/>
  <c r="AF96" i="4"/>
  <c r="AF72" i="4"/>
  <c r="AF38" i="4"/>
  <c r="AF49" i="4"/>
  <c r="AF41" i="4"/>
  <c r="G78" i="4"/>
  <c r="N78" i="4" s="1"/>
  <c r="Q52" i="12"/>
  <c r="AF102" i="4"/>
  <c r="AF99" i="4"/>
  <c r="AF100" i="4"/>
  <c r="AF103" i="4"/>
  <c r="AF98" i="4"/>
  <c r="AF92" i="4"/>
  <c r="F307" i="4"/>
  <c r="AF65" i="4"/>
  <c r="AF88" i="4"/>
  <c r="AG496" i="4"/>
  <c r="F116" i="4"/>
  <c r="G307" i="4"/>
  <c r="X373" i="4"/>
  <c r="AF16" i="4"/>
  <c r="AF14" i="4"/>
  <c r="AF12" i="4"/>
  <c r="Z339" i="4"/>
  <c r="Z373" i="4" s="1"/>
  <c r="Y373" i="4"/>
  <c r="AF13" i="4"/>
  <c r="AF15" i="4"/>
  <c r="W373" i="4"/>
  <c r="AF210" i="4"/>
  <c r="AF334" i="4"/>
  <c r="AF411" i="4"/>
  <c r="AF253" i="4"/>
  <c r="AF260" i="4"/>
  <c r="AF259" i="4"/>
  <c r="B10" i="7"/>
  <c r="D10" i="7" s="1"/>
  <c r="AF241" i="4"/>
  <c r="L56" i="4"/>
  <c r="F11" i="10"/>
  <c r="H11" i="10" s="1"/>
  <c r="AF155" i="4"/>
  <c r="O78" i="4"/>
  <c r="P78" i="4" s="1"/>
  <c r="Q78" i="4" s="1"/>
  <c r="R78" i="4" s="1"/>
  <c r="S78" i="4" s="1"/>
  <c r="T78" i="4" s="1"/>
  <c r="U78" i="4" s="1"/>
  <c r="V78" i="4" s="1"/>
  <c r="W78" i="4" s="1"/>
  <c r="X78" i="4" s="1"/>
  <c r="Y78" i="4" s="1"/>
  <c r="Z78" i="4" s="1"/>
  <c r="AA78" i="4" s="1"/>
  <c r="AB78" i="4" s="1"/>
  <c r="AC78" i="4" s="1"/>
  <c r="AD78" i="4" s="1"/>
  <c r="AE78" i="4" s="1"/>
  <c r="AF286" i="4"/>
  <c r="AF279" i="4"/>
  <c r="AF208" i="4"/>
  <c r="AF270" i="4"/>
  <c r="AF271" i="4"/>
  <c r="AF320" i="4"/>
  <c r="O82" i="4"/>
  <c r="P82" i="4" s="1"/>
  <c r="Q82" i="4" s="1"/>
  <c r="R82" i="4" s="1"/>
  <c r="S82" i="4" s="1"/>
  <c r="T82" i="4" s="1"/>
  <c r="U82" i="4" s="1"/>
  <c r="V82" i="4" s="1"/>
  <c r="W82" i="4" s="1"/>
  <c r="X82" i="4" s="1"/>
  <c r="Y82" i="4" s="1"/>
  <c r="Z82" i="4" s="1"/>
  <c r="AA82" i="4" s="1"/>
  <c r="AB82" i="4" s="1"/>
  <c r="AC82" i="4" s="1"/>
  <c r="AD82" i="4" s="1"/>
  <c r="AE82" i="4" s="1"/>
  <c r="AF157" i="4"/>
  <c r="AF379" i="4"/>
  <c r="O59" i="4"/>
  <c r="P59" i="4" s="1"/>
  <c r="Q59" i="4" s="1"/>
  <c r="R59" i="4" s="1"/>
  <c r="S59" i="4" s="1"/>
  <c r="T59" i="4" s="1"/>
  <c r="U59" i="4" s="1"/>
  <c r="V59" i="4" s="1"/>
  <c r="W59" i="4" s="1"/>
  <c r="X59" i="4" s="1"/>
  <c r="Y59" i="4" s="1"/>
  <c r="Z59" i="4" s="1"/>
  <c r="AA59" i="4" s="1"/>
  <c r="AB59" i="4" s="1"/>
  <c r="AC59" i="4" s="1"/>
  <c r="AD59" i="4" s="1"/>
  <c r="AE59" i="4" s="1"/>
  <c r="O77" i="4"/>
  <c r="P77" i="4" s="1"/>
  <c r="Q77" i="4" s="1"/>
  <c r="R77" i="4" s="1"/>
  <c r="S77" i="4" s="1"/>
  <c r="T77" i="4" s="1"/>
  <c r="U77" i="4" s="1"/>
  <c r="V77" i="4" s="1"/>
  <c r="W77" i="4" s="1"/>
  <c r="X77" i="4" s="1"/>
  <c r="Y77" i="4" s="1"/>
  <c r="Z77" i="4" s="1"/>
  <c r="AA77" i="4" s="1"/>
  <c r="AB77" i="4" s="1"/>
  <c r="AC77" i="4" s="1"/>
  <c r="AD77" i="4" s="1"/>
  <c r="AE77" i="4" s="1"/>
  <c r="AF233" i="4"/>
  <c r="AF199" i="4"/>
  <c r="AF226" i="4"/>
  <c r="AF224" i="4"/>
  <c r="AF243" i="4"/>
  <c r="AF209" i="4"/>
  <c r="AF237" i="4"/>
  <c r="AF267" i="4"/>
  <c r="AF264" i="4"/>
  <c r="AF217" i="4"/>
  <c r="AF227" i="4"/>
  <c r="AF218" i="4"/>
  <c r="O40" i="4"/>
  <c r="AF40" i="4" s="1"/>
  <c r="O61" i="4"/>
  <c r="P61" i="4" s="1"/>
  <c r="Q61" i="4" s="1"/>
  <c r="R61" i="4" s="1"/>
  <c r="S61" i="4" s="1"/>
  <c r="T61" i="4" s="1"/>
  <c r="U61" i="4" s="1"/>
  <c r="V61" i="4" s="1"/>
  <c r="W61" i="4" s="1"/>
  <c r="X61" i="4" s="1"/>
  <c r="Y61" i="4" s="1"/>
  <c r="Z61" i="4" s="1"/>
  <c r="AA61" i="4" s="1"/>
  <c r="AB61" i="4" s="1"/>
  <c r="AC61" i="4" s="1"/>
  <c r="AD61" i="4" s="1"/>
  <c r="AE61" i="4" s="1"/>
  <c r="Q56" i="12"/>
  <c r="AF407" i="4"/>
  <c r="AF377" i="4"/>
  <c r="AF156" i="4"/>
  <c r="AF200" i="4"/>
  <c r="AF201" i="4"/>
  <c r="AF215" i="4"/>
  <c r="AF239" i="4"/>
  <c r="AF238" i="4"/>
  <c r="AF231" i="4"/>
  <c r="AF246" i="4"/>
  <c r="X190" i="4"/>
  <c r="N405" i="4"/>
  <c r="N168" i="4"/>
  <c r="S168" i="4"/>
  <c r="P168" i="4"/>
  <c r="B8" i="7" s="1"/>
  <c r="D8" i="7" s="1"/>
  <c r="O168" i="4"/>
  <c r="R168" i="4"/>
  <c r="Q168" i="4"/>
  <c r="E8" i="10"/>
  <c r="H14" i="10"/>
  <c r="E16" i="10"/>
  <c r="AF504" i="4"/>
  <c r="O48" i="12" s="1"/>
  <c r="E49" i="12"/>
  <c r="E10" i="10"/>
  <c r="W190" i="4"/>
  <c r="U190" i="4"/>
  <c r="V190" i="4"/>
  <c r="AB190" i="4"/>
  <c r="AA190" i="4"/>
  <c r="Z190" i="4"/>
  <c r="Y190" i="4"/>
  <c r="P190" i="4"/>
  <c r="O190" i="4"/>
  <c r="N190" i="4"/>
  <c r="AH190" i="4"/>
  <c r="AC190" i="4"/>
  <c r="T190" i="4"/>
  <c r="S190" i="4"/>
  <c r="R190" i="4"/>
  <c r="Q190" i="4"/>
  <c r="AE190" i="4"/>
  <c r="N56" i="4"/>
  <c r="B6" i="7"/>
  <c r="D6" i="7" s="1"/>
  <c r="Z192" i="4"/>
  <c r="P194" i="4"/>
  <c r="Y214" i="4"/>
  <c r="P191" i="4"/>
  <c r="AH191" i="4"/>
  <c r="X193" i="4"/>
  <c r="N194" i="4"/>
  <c r="Z193" i="4"/>
  <c r="X213" i="4"/>
  <c r="P214" i="4"/>
  <c r="W191" i="4"/>
  <c r="U191" i="4"/>
  <c r="W193" i="4"/>
  <c r="AE193" i="4"/>
  <c r="AC194" i="4"/>
  <c r="X191" i="4"/>
  <c r="Z191" i="4"/>
  <c r="AB193" i="4"/>
  <c r="Q193" i="4"/>
  <c r="X214" i="4"/>
  <c r="AA191" i="4"/>
  <c r="AC191" i="4"/>
  <c r="N193" i="4"/>
  <c r="AB214" i="4"/>
  <c r="O194" i="4"/>
  <c r="T214" i="4"/>
  <c r="AB192" i="4"/>
  <c r="Y212" i="4"/>
  <c r="AH194" i="4"/>
  <c r="N222" i="4"/>
  <c r="U222" i="4"/>
  <c r="N198" i="4"/>
  <c r="U192" i="4"/>
  <c r="Z212" i="4"/>
  <c r="X192" i="4"/>
  <c r="AB191" i="4"/>
  <c r="V191" i="4"/>
  <c r="P193" i="4"/>
  <c r="AA193" i="4"/>
  <c r="Y193" i="4"/>
  <c r="R212" i="4"/>
  <c r="U211" i="4"/>
  <c r="X195" i="4"/>
  <c r="W192" i="4"/>
  <c r="T198" i="4"/>
  <c r="O212" i="4"/>
  <c r="AB212" i="4"/>
  <c r="U195" i="4"/>
  <c r="AA192" i="4"/>
  <c r="O191" i="4"/>
  <c r="R191" i="4"/>
  <c r="Y191" i="4"/>
  <c r="AH193" i="4"/>
  <c r="O193" i="4"/>
  <c r="V193" i="4"/>
  <c r="AC193" i="4"/>
  <c r="AA212" i="4"/>
  <c r="T212" i="4"/>
  <c r="AC195" i="4"/>
  <c r="Z195" i="4"/>
  <c r="AH211" i="4"/>
  <c r="T195" i="4"/>
  <c r="R195" i="4"/>
  <c r="AA195" i="4"/>
  <c r="AH192" i="4"/>
  <c r="R192" i="4"/>
  <c r="Y192" i="4"/>
  <c r="AE211" i="4"/>
  <c r="AH212" i="4"/>
  <c r="X212" i="4"/>
  <c r="P212" i="4"/>
  <c r="Y195" i="4"/>
  <c r="V195" i="4"/>
  <c r="P192" i="4"/>
  <c r="S192" i="4"/>
  <c r="V192" i="4"/>
  <c r="AC192" i="4"/>
  <c r="T191" i="4"/>
  <c r="S191" i="4"/>
  <c r="N191" i="4"/>
  <c r="Q191" i="4"/>
  <c r="T193" i="4"/>
  <c r="S193" i="4"/>
  <c r="R193" i="4"/>
  <c r="N212" i="4"/>
  <c r="W212" i="4"/>
  <c r="U212" i="4"/>
  <c r="AE213" i="4"/>
  <c r="V214" i="4"/>
  <c r="Z214" i="4"/>
  <c r="AH214" i="4"/>
  <c r="AE214" i="4"/>
  <c r="AC214" i="4"/>
  <c r="T194" i="4"/>
  <c r="S194" i="4"/>
  <c r="R194" i="4"/>
  <c r="Q194" i="4"/>
  <c r="AE194" i="4"/>
  <c r="P213" i="4"/>
  <c r="AC213" i="4"/>
  <c r="O195" i="4"/>
  <c r="AH195" i="4"/>
  <c r="AB195" i="4"/>
  <c r="AE195" i="4"/>
  <c r="AA214" i="4"/>
  <c r="N214" i="4"/>
  <c r="R214" i="4"/>
  <c r="Q214" i="4"/>
  <c r="P211" i="4"/>
  <c r="X194" i="4"/>
  <c r="W194" i="4"/>
  <c r="V194" i="4"/>
  <c r="U194" i="4"/>
  <c r="T213" i="4"/>
  <c r="P195" i="4"/>
  <c r="S195" i="4"/>
  <c r="N195" i="4"/>
  <c r="Q195" i="4"/>
  <c r="O214" i="4"/>
  <c r="S214" i="4"/>
  <c r="W214" i="4"/>
  <c r="T192" i="4"/>
  <c r="O192" i="4"/>
  <c r="N192" i="4"/>
  <c r="Q192" i="4"/>
  <c r="O211" i="4"/>
  <c r="V212" i="4"/>
  <c r="S212" i="4"/>
  <c r="Q212" i="4"/>
  <c r="AE212" i="4"/>
  <c r="AB194" i="4"/>
  <c r="AA194" i="4"/>
  <c r="Z194" i="4"/>
  <c r="AH213" i="4"/>
  <c r="O213" i="4"/>
  <c r="S213" i="4"/>
  <c r="AB213" i="4"/>
  <c r="Y213" i="4"/>
  <c r="N211" i="4"/>
  <c r="Y211" i="4"/>
  <c r="AC211" i="4"/>
  <c r="T211" i="4"/>
  <c r="AB211" i="4"/>
  <c r="Q221" i="4"/>
  <c r="N221" i="4"/>
  <c r="AA221" i="4"/>
  <c r="W221" i="4"/>
  <c r="X221" i="4"/>
  <c r="AH221" i="4"/>
  <c r="AC221" i="4"/>
  <c r="AE221" i="4"/>
  <c r="Z221" i="4"/>
  <c r="V221" i="4"/>
  <c r="R221" i="4"/>
  <c r="U221" i="4"/>
  <c r="S221" i="4"/>
  <c r="O221" i="4"/>
  <c r="AB221" i="4"/>
  <c r="Y221" i="4"/>
  <c r="T221" i="4"/>
  <c r="P221" i="4"/>
  <c r="N75" i="4"/>
  <c r="V213" i="4"/>
  <c r="Z213" i="4"/>
  <c r="R213" i="4"/>
  <c r="Q213" i="4"/>
  <c r="Z211" i="4"/>
  <c r="Q211" i="4"/>
  <c r="V211" i="4"/>
  <c r="S211" i="4"/>
  <c r="AH202" i="4"/>
  <c r="T202" i="4"/>
  <c r="N202" i="4"/>
  <c r="T203" i="4"/>
  <c r="AH203" i="4"/>
  <c r="N203" i="4"/>
  <c r="T204" i="4"/>
  <c r="AH204" i="4"/>
  <c r="N204" i="4"/>
  <c r="AA213" i="4"/>
  <c r="N213" i="4"/>
  <c r="W213" i="4"/>
  <c r="R211" i="4"/>
  <c r="W211" i="4"/>
  <c r="AA211" i="4"/>
  <c r="N206" i="4"/>
  <c r="T206" i="4"/>
  <c r="AG208" i="4"/>
  <c r="AG226" i="4"/>
  <c r="X382" i="4"/>
  <c r="X405" i="4" s="1"/>
  <c r="AE104" i="4"/>
  <c r="AH205" i="4"/>
  <c r="Q225" i="4"/>
  <c r="R225" i="4" s="1"/>
  <c r="S225" i="4" s="1"/>
  <c r="T225" i="4" s="1"/>
  <c r="U225" i="4" s="1"/>
  <c r="AG271" i="4"/>
  <c r="AG335" i="4"/>
  <c r="AG239" i="4"/>
  <c r="AG233" i="4"/>
  <c r="AG200" i="4"/>
  <c r="AG224" i="4"/>
  <c r="AG334" i="4"/>
  <c r="AG218" i="4"/>
  <c r="AG286" i="4"/>
  <c r="AG209" i="4"/>
  <c r="AG264" i="4"/>
  <c r="AG237" i="4"/>
  <c r="AG201" i="4"/>
  <c r="AG279" i="4"/>
  <c r="AG243" i="4"/>
  <c r="AG246" i="4"/>
  <c r="AG260" i="4"/>
  <c r="AH223" i="4"/>
  <c r="U223" i="4"/>
  <c r="N223" i="4"/>
  <c r="AG379" i="4"/>
  <c r="AG241" i="4"/>
  <c r="AG199" i="4"/>
  <c r="AG210" i="4"/>
  <c r="AG217" i="4"/>
  <c r="AG238" i="4"/>
  <c r="AG259" i="4"/>
  <c r="AG231" i="4"/>
  <c r="AG215" i="4"/>
  <c r="AG253" i="4"/>
  <c r="AG270" i="4"/>
  <c r="AG320" i="4"/>
  <c r="AG267" i="4"/>
  <c r="AG227" i="4"/>
  <c r="O197" i="4"/>
  <c r="P197" i="4" s="1"/>
  <c r="Q197" i="4" s="1"/>
  <c r="R197" i="4" s="1"/>
  <c r="S197" i="4" s="1"/>
  <c r="O380" i="4"/>
  <c r="O405" i="4" s="1"/>
  <c r="AE220" i="4"/>
  <c r="Z220" i="4"/>
  <c r="V220" i="4"/>
  <c r="R220" i="4"/>
  <c r="N220" i="4"/>
  <c r="Y220" i="4"/>
  <c r="T220" i="4"/>
  <c r="O220" i="4"/>
  <c r="AA220" i="4"/>
  <c r="U220" i="4"/>
  <c r="P220" i="4"/>
  <c r="AB220" i="4"/>
  <c r="W220" i="4"/>
  <c r="Q220" i="4"/>
  <c r="AH220" i="4"/>
  <c r="AC220" i="4"/>
  <c r="X220" i="4"/>
  <c r="S220" i="4"/>
  <c r="O17" i="4"/>
  <c r="P17" i="4" s="1"/>
  <c r="Q17" i="4" s="1"/>
  <c r="Q29" i="4" s="1"/>
  <c r="O39" i="4"/>
  <c r="AF39" i="4" s="1"/>
  <c r="O83" i="4"/>
  <c r="P83" i="4" s="1"/>
  <c r="Q83" i="4" s="1"/>
  <c r="R83" i="4" s="1"/>
  <c r="S83" i="4" s="1"/>
  <c r="T83" i="4" s="1"/>
  <c r="U83" i="4" s="1"/>
  <c r="V83" i="4" s="1"/>
  <c r="W83" i="4" s="1"/>
  <c r="X83" i="4" s="1"/>
  <c r="Y83" i="4" s="1"/>
  <c r="Z83" i="4" s="1"/>
  <c r="AA83" i="4" s="1"/>
  <c r="AB83" i="4" s="1"/>
  <c r="AC83" i="4" s="1"/>
  <c r="AD83" i="4" s="1"/>
  <c r="AE83" i="4" s="1"/>
  <c r="O76" i="4"/>
  <c r="P76" i="4" s="1"/>
  <c r="Q76" i="4" s="1"/>
  <c r="R76" i="4" s="1"/>
  <c r="S76" i="4" s="1"/>
  <c r="T76" i="4" s="1"/>
  <c r="U76" i="4" s="1"/>
  <c r="V76" i="4" s="1"/>
  <c r="W76" i="4" s="1"/>
  <c r="X76" i="4" s="1"/>
  <c r="Y76" i="4" s="1"/>
  <c r="Z76" i="4" s="1"/>
  <c r="AA76" i="4" s="1"/>
  <c r="AB76" i="4" s="1"/>
  <c r="AC76" i="4" s="1"/>
  <c r="AD76" i="4" s="1"/>
  <c r="AE76" i="4" s="1"/>
  <c r="T333" i="4"/>
  <c r="T373" i="4" s="1"/>
  <c r="N29" i="4"/>
  <c r="Q313" i="4"/>
  <c r="Q373" i="4" s="1"/>
  <c r="T205" i="4"/>
  <c r="N205" i="4"/>
  <c r="C16" i="3"/>
  <c r="G375" i="4"/>
  <c r="G405" i="4" s="1"/>
  <c r="G60" i="4"/>
  <c r="N60" i="4" s="1"/>
  <c r="AF79" i="4" l="1"/>
  <c r="O63" i="4"/>
  <c r="O62" i="4"/>
  <c r="P62" i="4" s="1"/>
  <c r="Q62" i="4" s="1"/>
  <c r="R62" i="4" s="1"/>
  <c r="S62" i="4" s="1"/>
  <c r="T62" i="4" s="1"/>
  <c r="U62" i="4" s="1"/>
  <c r="V62" i="4" s="1"/>
  <c r="W62" i="4" s="1"/>
  <c r="X62" i="4" s="1"/>
  <c r="Y62" i="4" s="1"/>
  <c r="Z62" i="4" s="1"/>
  <c r="AA62" i="4" s="1"/>
  <c r="AB62" i="4" s="1"/>
  <c r="AC62" i="4" s="1"/>
  <c r="AD62" i="4" s="1"/>
  <c r="AE62" i="4" s="1"/>
  <c r="AF78" i="4"/>
  <c r="O79" i="4"/>
  <c r="P79" i="4" s="1"/>
  <c r="Q79" i="4" s="1"/>
  <c r="R79" i="4" s="1"/>
  <c r="S79" i="4" s="1"/>
  <c r="T79" i="4" s="1"/>
  <c r="U79" i="4" s="1"/>
  <c r="V79" i="4" s="1"/>
  <c r="W79" i="4" s="1"/>
  <c r="X79" i="4" s="1"/>
  <c r="Y79" i="4" s="1"/>
  <c r="Z79" i="4" s="1"/>
  <c r="AA79" i="4" s="1"/>
  <c r="AB79" i="4" s="1"/>
  <c r="AC79" i="4" s="1"/>
  <c r="AD79" i="4" s="1"/>
  <c r="AE79" i="4" s="1"/>
  <c r="O74" i="4"/>
  <c r="AF74" i="4" s="1"/>
  <c r="AF61" i="4"/>
  <c r="AF83" i="4"/>
  <c r="AG339" i="4"/>
  <c r="O56" i="4"/>
  <c r="Y307" i="4"/>
  <c r="V307" i="4"/>
  <c r="W307" i="4"/>
  <c r="X307" i="4"/>
  <c r="AG159" i="4"/>
  <c r="AA307" i="4"/>
  <c r="Z307" i="4"/>
  <c r="AF17" i="4"/>
  <c r="AG18" i="4" s="1"/>
  <c r="P63" i="4"/>
  <c r="Q63" i="4" s="1"/>
  <c r="R63" i="4" s="1"/>
  <c r="S63" i="4" s="1"/>
  <c r="T63" i="4" s="1"/>
  <c r="U63" i="4" s="1"/>
  <c r="V63" i="4" s="1"/>
  <c r="W63" i="4" s="1"/>
  <c r="X63" i="4" s="1"/>
  <c r="Y63" i="4" s="1"/>
  <c r="Z63" i="4" s="1"/>
  <c r="AA63" i="4" s="1"/>
  <c r="AB63" i="4" s="1"/>
  <c r="AC63" i="4" s="1"/>
  <c r="AD63" i="4" s="1"/>
  <c r="AE63" i="4" s="1"/>
  <c r="O56" i="12"/>
  <c r="AF192" i="4"/>
  <c r="AF225" i="4"/>
  <c r="O203" i="4"/>
  <c r="P203" i="4" s="1"/>
  <c r="Q203" i="4" s="1"/>
  <c r="R203" i="4" s="1"/>
  <c r="S203" i="4" s="1"/>
  <c r="AF212" i="4"/>
  <c r="O222" i="4"/>
  <c r="P222" i="4" s="1"/>
  <c r="Q222" i="4" s="1"/>
  <c r="R222" i="4" s="1"/>
  <c r="S222" i="4" s="1"/>
  <c r="T222" i="4" s="1"/>
  <c r="O204" i="4"/>
  <c r="P204" i="4" s="1"/>
  <c r="Q204" i="4" s="1"/>
  <c r="R204" i="4" s="1"/>
  <c r="S204" i="4" s="1"/>
  <c r="AF211" i="4"/>
  <c r="P74" i="4"/>
  <c r="Q74" i="4" s="1"/>
  <c r="R74" i="4" s="1"/>
  <c r="S74" i="4" s="1"/>
  <c r="T74" i="4" s="1"/>
  <c r="U74" i="4" s="1"/>
  <c r="V74" i="4" s="1"/>
  <c r="W74" i="4" s="1"/>
  <c r="X74" i="4" s="1"/>
  <c r="Y74" i="4" s="1"/>
  <c r="Z74" i="4" s="1"/>
  <c r="AA74" i="4" s="1"/>
  <c r="AB74" i="4" s="1"/>
  <c r="AC74" i="4" s="1"/>
  <c r="AD74" i="4" s="1"/>
  <c r="AE74" i="4" s="1"/>
  <c r="AF191" i="4"/>
  <c r="AF190" i="4"/>
  <c r="U307" i="4"/>
  <c r="AF197" i="4"/>
  <c r="O206" i="4"/>
  <c r="P206" i="4" s="1"/>
  <c r="Q206" i="4" s="1"/>
  <c r="R206" i="4" s="1"/>
  <c r="S206" i="4" s="1"/>
  <c r="O75" i="4"/>
  <c r="P75" i="4" s="1"/>
  <c r="Q75" i="4" s="1"/>
  <c r="R75" i="4" s="1"/>
  <c r="S75" i="4" s="1"/>
  <c r="T75" i="4" s="1"/>
  <c r="U75" i="4" s="1"/>
  <c r="V75" i="4" s="1"/>
  <c r="W75" i="4" s="1"/>
  <c r="X75" i="4" s="1"/>
  <c r="Y75" i="4" s="1"/>
  <c r="Z75" i="4" s="1"/>
  <c r="AA75" i="4" s="1"/>
  <c r="AB75" i="4" s="1"/>
  <c r="AC75" i="4" s="1"/>
  <c r="AD75" i="4" s="1"/>
  <c r="AE75" i="4" s="1"/>
  <c r="AF214" i="4"/>
  <c r="O198" i="4"/>
  <c r="P198" i="4" s="1"/>
  <c r="Q198" i="4" s="1"/>
  <c r="R198" i="4" s="1"/>
  <c r="S198" i="4" s="1"/>
  <c r="AG53" i="4"/>
  <c r="AF220" i="4"/>
  <c r="AF213" i="4"/>
  <c r="O202" i="4"/>
  <c r="P202" i="4" s="1"/>
  <c r="Q202" i="4" s="1"/>
  <c r="R202" i="4" s="1"/>
  <c r="S202" i="4" s="1"/>
  <c r="AF221" i="4"/>
  <c r="AF195" i="4"/>
  <c r="AF193" i="4"/>
  <c r="AF194" i="4"/>
  <c r="AE307" i="4"/>
  <c r="AC307" i="4"/>
  <c r="AB307" i="4"/>
  <c r="E48" i="12"/>
  <c r="N48" i="12"/>
  <c r="B59" i="12"/>
  <c r="E52" i="12"/>
  <c r="N307" i="4"/>
  <c r="AG190" i="4"/>
  <c r="F505" i="4"/>
  <c r="AG212" i="4"/>
  <c r="AG193" i="4"/>
  <c r="AG191" i="4"/>
  <c r="AG195" i="4"/>
  <c r="AG194" i="4"/>
  <c r="AG214" i="4"/>
  <c r="AG211" i="4"/>
  <c r="AG213" i="4"/>
  <c r="AG192" i="4"/>
  <c r="AG221" i="4"/>
  <c r="AG225" i="4"/>
  <c r="P380" i="4"/>
  <c r="P405" i="4" s="1"/>
  <c r="P29" i="4"/>
  <c r="B5" i="7" s="1"/>
  <c r="Y382" i="4"/>
  <c r="Y405" i="4" s="1"/>
  <c r="U333" i="4"/>
  <c r="O223" i="4"/>
  <c r="AG197" i="4"/>
  <c r="AG220" i="4"/>
  <c r="O205" i="4"/>
  <c r="P205" i="4" s="1"/>
  <c r="Q205" i="4" s="1"/>
  <c r="R205" i="4" s="1"/>
  <c r="S205" i="4" s="1"/>
  <c r="O29" i="4"/>
  <c r="AF29" i="4" s="1"/>
  <c r="O60" i="4"/>
  <c r="P60" i="4" s="1"/>
  <c r="Q60" i="4" s="1"/>
  <c r="R60" i="4" s="1"/>
  <c r="S60" i="4" s="1"/>
  <c r="T60" i="4" s="1"/>
  <c r="U60" i="4" s="1"/>
  <c r="V60" i="4" s="1"/>
  <c r="W60" i="4" s="1"/>
  <c r="X60" i="4" s="1"/>
  <c r="Y60" i="4" s="1"/>
  <c r="Z60" i="4" s="1"/>
  <c r="AA60" i="4" s="1"/>
  <c r="AB60" i="4" s="1"/>
  <c r="AC60" i="4" s="1"/>
  <c r="AD60" i="4" s="1"/>
  <c r="AE60" i="4" s="1"/>
  <c r="R313" i="4"/>
  <c r="R373" i="4" s="1"/>
  <c r="L375" i="4"/>
  <c r="G309" i="4"/>
  <c r="G373" i="4" s="1"/>
  <c r="G58" i="4"/>
  <c r="AF62" i="4" l="1"/>
  <c r="AF60" i="4"/>
  <c r="AF63" i="4"/>
  <c r="AF75" i="4"/>
  <c r="G50" i="12"/>
  <c r="N58" i="4"/>
  <c r="G116" i="4"/>
  <c r="AG198" i="4"/>
  <c r="AG204" i="4"/>
  <c r="AG202" i="4"/>
  <c r="AF333" i="4"/>
  <c r="U373" i="4"/>
  <c r="F13" i="10" s="1"/>
  <c r="H13" i="10" s="1"/>
  <c r="O52" i="12"/>
  <c r="AG203" i="4"/>
  <c r="AF203" i="4"/>
  <c r="AF202" i="4"/>
  <c r="AG206" i="4"/>
  <c r="AG222" i="4"/>
  <c r="AF206" i="4"/>
  <c r="AF222" i="4"/>
  <c r="AF198" i="4"/>
  <c r="L405" i="4"/>
  <c r="AF375" i="4"/>
  <c r="AF205" i="4"/>
  <c r="AF313" i="4"/>
  <c r="V333" i="4"/>
  <c r="AF204" i="4"/>
  <c r="F12" i="10"/>
  <c r="K48" i="12"/>
  <c r="P48" i="12" s="1"/>
  <c r="L56" i="12"/>
  <c r="N56" i="12" s="1"/>
  <c r="J56" i="12"/>
  <c r="K56" i="12" s="1"/>
  <c r="P56" i="12" s="1"/>
  <c r="O307" i="4"/>
  <c r="B11" i="7"/>
  <c r="D11" i="7" s="1"/>
  <c r="AH309" i="4"/>
  <c r="D5" i="7"/>
  <c r="Q380" i="4"/>
  <c r="P223" i="4"/>
  <c r="AG205" i="4"/>
  <c r="AG313" i="4"/>
  <c r="L309" i="4"/>
  <c r="F498" i="4"/>
  <c r="Q54" i="12" l="1"/>
  <c r="N116" i="4"/>
  <c r="V373" i="4"/>
  <c r="G53" i="12" s="1"/>
  <c r="AG340" i="4"/>
  <c r="AG29" i="4"/>
  <c r="L373" i="4"/>
  <c r="AF309" i="4"/>
  <c r="AG333" i="4"/>
  <c r="S380" i="4"/>
  <c r="S405" i="4" s="1"/>
  <c r="Q405" i="4"/>
  <c r="AF405" i="4" s="1"/>
  <c r="L51" i="12"/>
  <c r="J51" i="12"/>
  <c r="L53" i="12"/>
  <c r="N53" i="12" s="1"/>
  <c r="L55" i="12"/>
  <c r="J52" i="12"/>
  <c r="K52" i="12" s="1"/>
  <c r="P52" i="12" s="1"/>
  <c r="L52" i="12"/>
  <c r="N52" i="12" s="1"/>
  <c r="G505" i="4"/>
  <c r="P307" i="4"/>
  <c r="B9" i="7" s="1"/>
  <c r="D9" i="7" s="1"/>
  <c r="O58" i="4"/>
  <c r="O116" i="4" s="1"/>
  <c r="Q223" i="4"/>
  <c r="Q307" i="4" s="1"/>
  <c r="N505" i="4"/>
  <c r="L498" i="4"/>
  <c r="N498" i="4"/>
  <c r="G498" i="4"/>
  <c r="L505" i="4" l="1"/>
  <c r="AF373" i="4"/>
  <c r="O54" i="12"/>
  <c r="P58" i="4"/>
  <c r="AF380" i="4"/>
  <c r="AG390" i="4" s="1"/>
  <c r="G2" i="4"/>
  <c r="N51" i="12"/>
  <c r="J53" i="12"/>
  <c r="K53" i="12" s="1"/>
  <c r="N55" i="12"/>
  <c r="J55" i="12"/>
  <c r="R223" i="4"/>
  <c r="R307" i="4" s="1"/>
  <c r="P116" i="4" l="1"/>
  <c r="P505" i="4" s="1"/>
  <c r="Q58" i="4"/>
  <c r="O53" i="12"/>
  <c r="P53" i="12" s="1"/>
  <c r="AG373" i="4"/>
  <c r="O498" i="4"/>
  <c r="O505" i="4"/>
  <c r="AG380" i="4"/>
  <c r="S223" i="4"/>
  <c r="S307" i="4" s="1"/>
  <c r="P498" i="4" l="1"/>
  <c r="R58" i="4"/>
  <c r="R116" i="4" s="1"/>
  <c r="Q116" i="4"/>
  <c r="B7" i="7"/>
  <c r="Q498" i="4"/>
  <c r="T223" i="4"/>
  <c r="AF223" i="4" s="1"/>
  <c r="D7" i="7" l="1"/>
  <c r="D14" i="7" s="1"/>
  <c r="B14" i="7"/>
  <c r="S58" i="4"/>
  <c r="S116" i="4" s="1"/>
  <c r="Q505" i="4"/>
  <c r="AG300" i="4"/>
  <c r="AG301" i="4"/>
  <c r="T307" i="4"/>
  <c r="AG223" i="4"/>
  <c r="R505" i="4"/>
  <c r="R498" i="4"/>
  <c r="T58" i="4"/>
  <c r="T116" i="4" s="1"/>
  <c r="AF307" i="4" l="1"/>
  <c r="AG307" i="4" s="1"/>
  <c r="L50" i="12"/>
  <c r="N50" i="12" s="1"/>
  <c r="J50" i="12"/>
  <c r="K50" i="12" s="1"/>
  <c r="H12" i="10"/>
  <c r="S505" i="4"/>
  <c r="S498" i="4"/>
  <c r="U58" i="4"/>
  <c r="O50" i="12" l="1"/>
  <c r="P50" i="12" s="1"/>
  <c r="U116" i="4"/>
  <c r="L54" i="12"/>
  <c r="J54" i="12"/>
  <c r="T505" i="4"/>
  <c r="T498" i="4"/>
  <c r="V58" i="4"/>
  <c r="V116" i="4" l="1"/>
  <c r="AF116" i="4" s="1"/>
  <c r="O49" i="12" s="1"/>
  <c r="AF58" i="4"/>
  <c r="G10" i="10"/>
  <c r="G17" i="10" s="1"/>
  <c r="F10" i="10"/>
  <c r="F17" i="10" s="1"/>
  <c r="N54" i="12"/>
  <c r="K54" i="12"/>
  <c r="P54" i="12" s="1"/>
  <c r="L49" i="12"/>
  <c r="L59" i="12" s="1"/>
  <c r="N59" i="12" s="1"/>
  <c r="F59" i="12"/>
  <c r="U505" i="4"/>
  <c r="U498" i="4"/>
  <c r="W58" i="4"/>
  <c r="W116" i="4" s="1"/>
  <c r="G49" i="12"/>
  <c r="J49" i="12" s="1"/>
  <c r="K49" i="12" s="1"/>
  <c r="G59" i="12" l="1"/>
  <c r="P49" i="12"/>
  <c r="H17" i="10"/>
  <c r="H10" i="10"/>
  <c r="N49" i="12"/>
  <c r="J59" i="12"/>
  <c r="V498" i="4"/>
  <c r="V505" i="4"/>
  <c r="X58" i="4"/>
  <c r="X116" i="4" s="1"/>
  <c r="W505" i="4" l="1"/>
  <c r="W498" i="4"/>
  <c r="Y58" i="4"/>
  <c r="Y116" i="4" s="1"/>
  <c r="X505" i="4" l="1"/>
  <c r="X498" i="4"/>
  <c r="Z58" i="4"/>
  <c r="Z116" i="4" s="1"/>
  <c r="Y505" i="4" l="1"/>
  <c r="Y498" i="4"/>
  <c r="AA58" i="4"/>
  <c r="AB58" i="4" l="1"/>
  <c r="AB116" i="4" s="1"/>
  <c r="AA116" i="4"/>
  <c r="Z505" i="4"/>
  <c r="Z498" i="4"/>
  <c r="AC58" i="4" l="1"/>
  <c r="AC116" i="4" s="1"/>
  <c r="AD58" i="4"/>
  <c r="AD116" i="4" s="1"/>
  <c r="AB505" i="4"/>
  <c r="AB498" i="4"/>
  <c r="AA505" i="4"/>
  <c r="AA498" i="4"/>
  <c r="AE58" i="4" l="1"/>
  <c r="AE116" i="4" s="1"/>
  <c r="AE498" i="4" s="1"/>
  <c r="AC498" i="4"/>
  <c r="AC505" i="4"/>
  <c r="AE505" i="4" l="1"/>
  <c r="AF505" i="4" s="1"/>
  <c r="AF498" i="4"/>
  <c r="E51" i="12" l="1"/>
  <c r="K51" i="12" s="1"/>
  <c r="J17" i="12"/>
  <c r="J34" i="12" s="1"/>
  <c r="F17" i="12" l="1"/>
  <c r="K17" i="12" s="1"/>
  <c r="K34" i="12" s="1"/>
  <c r="D34" i="12"/>
  <c r="F34" i="12" l="1"/>
  <c r="E35" i="12"/>
  <c r="D62" i="12"/>
  <c r="E63" i="12" s="1"/>
  <c r="D64" i="12"/>
  <c r="C59" i="12"/>
  <c r="E55" i="12"/>
  <c r="K55" i="12" s="1"/>
  <c r="E59" i="12"/>
  <c r="C63" i="12" l="1"/>
  <c r="E36" i="12"/>
  <c r="E37" i="12" s="1"/>
  <c r="D36" i="12"/>
  <c r="K59" i="12"/>
  <c r="AF56" i="4"/>
  <c r="O55" i="12" s="1"/>
  <c r="P55" i="12" s="1"/>
  <c r="C9" i="10"/>
  <c r="E9" i="10" s="1"/>
  <c r="AG56" i="4" l="1"/>
  <c r="C11" i="10"/>
  <c r="E11" i="10" s="1"/>
  <c r="E17" i="10" s="1"/>
  <c r="D498" i="4"/>
  <c r="D505" i="4"/>
  <c r="AF168" i="4"/>
  <c r="O51" i="12" s="1"/>
  <c r="P51" i="12" s="1"/>
  <c r="C17" i="10" l="1"/>
  <c r="AG168"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51" authorId="0" shapeId="0" xr:uid="{00000000-0006-0000-0800-000001000000}">
      <text>
        <r>
          <rPr>
            <b/>
            <sz val="9"/>
            <color indexed="81"/>
            <rFont val="Tahoma"/>
            <family val="2"/>
          </rPr>
          <t>Author:</t>
        </r>
        <r>
          <rPr>
            <sz val="9"/>
            <color indexed="81"/>
            <rFont val="Tahoma"/>
            <family val="2"/>
          </rPr>
          <t xml:space="preserve">
lab equip
</t>
        </r>
      </text>
    </comment>
    <comment ref="B377" authorId="0" shapeId="0" xr:uid="{00000000-0006-0000-0800-000002000000}">
      <text>
        <r>
          <rPr>
            <b/>
            <sz val="9"/>
            <color indexed="81"/>
            <rFont val="Tahoma"/>
            <family val="2"/>
          </rPr>
          <t>Author:</t>
        </r>
        <r>
          <rPr>
            <sz val="9"/>
            <color indexed="81"/>
            <rFont val="Tahoma"/>
            <family val="2"/>
          </rPr>
          <t xml:space="preserve">
has been written off from tally
</t>
        </r>
      </text>
    </comment>
    <comment ref="T414" authorId="0" shapeId="0" xr:uid="{8F0F3A72-1839-4188-A5F3-D898D7269B74}">
      <text>
        <r>
          <rPr>
            <b/>
            <sz val="9"/>
            <color indexed="81"/>
            <rFont val="Tahoma"/>
            <family val="2"/>
          </rPr>
          <t>Author:</t>
        </r>
        <r>
          <rPr>
            <sz val="9"/>
            <color indexed="81"/>
            <rFont val="Tahoma"/>
            <family val="2"/>
          </rPr>
          <t xml:space="preserve">
Since its life ended this very year. The dep is calculated on the balance net of residual value
</t>
        </r>
      </text>
    </comment>
    <comment ref="T415" authorId="0" shapeId="0" xr:uid="{D666AEA6-7BA3-4262-8073-4F33E68C362F}">
      <text>
        <r>
          <rPr>
            <b/>
            <sz val="9"/>
            <color indexed="81"/>
            <rFont val="Tahoma"/>
            <family val="2"/>
          </rPr>
          <t>Author:</t>
        </r>
        <r>
          <rPr>
            <sz val="9"/>
            <color indexed="81"/>
            <rFont val="Tahoma"/>
            <family val="2"/>
          </rPr>
          <t xml:space="preserve">
Since its life ended this very year. The dep is calculated on the balance net of residual value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E14" authorId="0" shapeId="0" xr:uid="{00000000-0006-0000-0300-000001000000}">
      <text>
        <r>
          <rPr>
            <b/>
            <sz val="9"/>
            <color indexed="81"/>
            <rFont val="Tahoma"/>
            <family val="2"/>
          </rPr>
          <t>Author:</t>
        </r>
        <r>
          <rPr>
            <sz val="9"/>
            <color indexed="81"/>
            <rFont val="Tahoma"/>
            <family val="2"/>
          </rPr>
          <t xml:space="preserve">
Written off from tally but not from schedule</t>
        </r>
      </text>
    </comment>
  </commentList>
</comments>
</file>

<file path=xl/sharedStrings.xml><?xml version="1.0" encoding="utf-8"?>
<sst xmlns="http://schemas.openxmlformats.org/spreadsheetml/2006/main" count="1140" uniqueCount="596">
  <si>
    <t>Group</t>
  </si>
  <si>
    <t>Item Name</t>
  </si>
  <si>
    <t>Total</t>
  </si>
  <si>
    <t>Grand Total</t>
  </si>
  <si>
    <t>NILACHAL IRON &amp; POWER LIMITED</t>
  </si>
  <si>
    <t>Buildings (Kiln)</t>
  </si>
  <si>
    <t>Buildings (Coal Washery)</t>
  </si>
  <si>
    <t>Land</t>
  </si>
  <si>
    <t>1 Nos. Jaw Crusher</t>
  </si>
  <si>
    <t>1 Set 22KW Frequency Converters</t>
  </si>
  <si>
    <t xml:space="preserve">Kiln &amp; Cooler </t>
  </si>
  <si>
    <t xml:space="preserve">Chimney </t>
  </si>
  <si>
    <t xml:space="preserve">Cooling Tower </t>
  </si>
  <si>
    <t xml:space="preserve">ESP &amp; GCT </t>
  </si>
  <si>
    <t xml:space="preserve">Pollution Control System </t>
  </si>
  <si>
    <t xml:space="preserve">ECR </t>
  </si>
  <si>
    <t xml:space="preserve">Material Handling System </t>
  </si>
  <si>
    <t>Load Cell &amp; Converter</t>
  </si>
  <si>
    <t xml:space="preserve">Day Bin </t>
  </si>
  <si>
    <t>Finished Product Structure</t>
  </si>
  <si>
    <t xml:space="preserve">Water System </t>
  </si>
  <si>
    <t xml:space="preserve">Oil Distribution System </t>
  </si>
  <si>
    <t>Tools And Equipments</t>
  </si>
  <si>
    <t xml:space="preserve">Lab Equipments </t>
  </si>
  <si>
    <t>1 No. Drilling Machine with Stand</t>
  </si>
  <si>
    <t>1 No. Crimping Tool</t>
  </si>
  <si>
    <t>3 KVA Voltage Stabilizer</t>
  </si>
  <si>
    <t>5 Nos. Bag Closure Machine</t>
  </si>
  <si>
    <t>1 No. 50 MT Weighing Bridge</t>
  </si>
  <si>
    <t>2 Nos. 60 MT Weighing Bridge</t>
  </si>
  <si>
    <t>Crusher (Iron Ore)</t>
  </si>
  <si>
    <t>Pollution Control Equipment - RMC</t>
  </si>
  <si>
    <t>6 Nos. Motors</t>
  </si>
  <si>
    <t>3 Nos. Submersible Pumps</t>
  </si>
  <si>
    <t>1 No. Hydraulic Pulley Set</t>
  </si>
  <si>
    <t>1 No. Master Sequential (Instrumentation)</t>
  </si>
  <si>
    <t>1 No. Bin Load Cell</t>
  </si>
  <si>
    <t>1 No. Air Injection Tube (Kiln &amp; Cooler)</t>
  </si>
  <si>
    <t>1 No. Hex Roter (Kiln &amp; Cooler)</t>
  </si>
  <si>
    <t>3 No. Air Shell Fan</t>
  </si>
  <si>
    <t>1 No. Slip Ring Assembly (Kiln &amp; Cooler)</t>
  </si>
  <si>
    <t>1 No. RPM Motor</t>
  </si>
  <si>
    <t>7 Nos. Coal Injector</t>
  </si>
  <si>
    <t>3 Nos. Pemanent Magnetic Concentrator</t>
  </si>
  <si>
    <t>2 Nos. Drive Panel (Compressor)</t>
  </si>
  <si>
    <t>1 No. Gear Box</t>
  </si>
  <si>
    <t>1 No. Electro Magnetic Vibrator</t>
  </si>
  <si>
    <t>1 No. High Pressure Multistage Gland Pump</t>
  </si>
  <si>
    <t>1 No. Coal Throw Pipe</t>
  </si>
  <si>
    <t>1 No. Pressure Roller</t>
  </si>
  <si>
    <t>2 Nos. Air Injection Tube</t>
  </si>
  <si>
    <t>Weigh Bridge</t>
  </si>
  <si>
    <t>Iron Ore Crusher Plant</t>
  </si>
  <si>
    <t>1 No. Drive Panel &amp; Gear Box (Crusher)</t>
  </si>
  <si>
    <t>1 No. Weighing Machine</t>
  </si>
  <si>
    <t>1 No. Coal Injector</t>
  </si>
  <si>
    <t>2 Nos. Weighing &amp; Bagging Machine</t>
  </si>
  <si>
    <t>1 No. Drive Panel</t>
  </si>
  <si>
    <t>2 Nos.Indusction Motor</t>
  </si>
  <si>
    <t>2 Nos. Coal Throw Pipe</t>
  </si>
  <si>
    <t>2 Nos. Controller</t>
  </si>
  <si>
    <t>1 No. Cooler Ring</t>
  </si>
  <si>
    <t>2 Nos. Load Cell</t>
  </si>
  <si>
    <t>1 No. Watering Pump</t>
  </si>
  <si>
    <t>2 Nos. Steel Casting  (Klin &amp; Cooler)</t>
  </si>
  <si>
    <t>1 No. Cooler Thrust Roller (Klin &amp; Cooler)</t>
  </si>
  <si>
    <t>4 Nos. Coal Throw Pipe</t>
  </si>
  <si>
    <t>2 No. Borewell Pump</t>
  </si>
  <si>
    <t>1 No. Compressor Tube</t>
  </si>
  <si>
    <t>1 No. Pump</t>
  </si>
  <si>
    <t>1 No. Steel Casting  Support (Klin &amp; Cooler)</t>
  </si>
  <si>
    <t>3 Nos. Air Injection Tube</t>
  </si>
  <si>
    <t>4 Nos. Motor</t>
  </si>
  <si>
    <t>6 Nos. Gear Box</t>
  </si>
  <si>
    <t>1 No. Analyzer Sheet</t>
  </si>
  <si>
    <t>7 Nos. Gear Box</t>
  </si>
  <si>
    <t>5 Nos. Air Injection Tube</t>
  </si>
  <si>
    <t>1 No. Digital Furnace</t>
  </si>
  <si>
    <t>2 No.coal throw pipe</t>
  </si>
  <si>
    <t>1 No. LoadCell</t>
  </si>
  <si>
    <t>6 No. Vibrator motor</t>
  </si>
  <si>
    <t>1 No. GCT Pump</t>
  </si>
  <si>
    <t>2 No. Coal throw pipe</t>
  </si>
  <si>
    <t>4 Nos. Vibrator motor</t>
  </si>
  <si>
    <t>1 No. Data loading system</t>
  </si>
  <si>
    <t>1 Nos. Gear motor</t>
  </si>
  <si>
    <t>Plant (Kiln II)</t>
  </si>
  <si>
    <t>Pollution Control Equipments at Kiln</t>
  </si>
  <si>
    <t>Air Conditioners at Kiln</t>
  </si>
  <si>
    <t>Plant (Kiln I)</t>
  </si>
  <si>
    <t>Plant (Coal Washery)</t>
  </si>
  <si>
    <t>Pollution Control Equipments at Coal Washery</t>
  </si>
  <si>
    <t>3 Nos. Motor</t>
  </si>
  <si>
    <t xml:space="preserve">1 No. Pollution Contol Equipment </t>
  </si>
  <si>
    <t xml:space="preserve">Boundary Wall </t>
  </si>
  <si>
    <t>Weigh Bridge Room</t>
  </si>
  <si>
    <t>Factory Office</t>
  </si>
  <si>
    <t xml:space="preserve">ECR Building </t>
  </si>
  <si>
    <t xml:space="preserve">Coal Shed </t>
  </si>
  <si>
    <t xml:space="preserve">D.G.Room - I </t>
  </si>
  <si>
    <t>D.G. Room - II</t>
  </si>
  <si>
    <t xml:space="preserve">Switch Yard Room </t>
  </si>
  <si>
    <t xml:space="preserve">Cable Trench </t>
  </si>
  <si>
    <t xml:space="preserve">Pump House </t>
  </si>
  <si>
    <t xml:space="preserve">Central Stores Building </t>
  </si>
  <si>
    <t xml:space="preserve">Security Building </t>
  </si>
  <si>
    <t xml:space="preserve">Screen &amp; Crusher Building </t>
  </si>
  <si>
    <t xml:space="preserve">Laboratory Building </t>
  </si>
  <si>
    <t xml:space="preserve">Work Shop Building </t>
  </si>
  <si>
    <t xml:space="preserve">Raw Material Stock Yard </t>
  </si>
  <si>
    <t>Tube Well Boring</t>
  </si>
  <si>
    <t xml:space="preserve">Internal Road </t>
  </si>
  <si>
    <t xml:space="preserve">Pond (Plant) </t>
  </si>
  <si>
    <t>Meter Room</t>
  </si>
  <si>
    <t>Canteen Shed (Including Labour Charges)</t>
  </si>
  <si>
    <t>Drain Work</t>
  </si>
  <si>
    <t>Mechanical Room</t>
  </si>
  <si>
    <t>Finished Product Shed</t>
  </si>
  <si>
    <t>Settling Tank</t>
  </si>
  <si>
    <t>Attendance Room</t>
  </si>
  <si>
    <t>Bagging Shed</t>
  </si>
  <si>
    <t>Sponge Iron Shed</t>
  </si>
  <si>
    <t>Land at Kiln</t>
  </si>
  <si>
    <t>Land (Coal Washery)</t>
  </si>
  <si>
    <t xml:space="preserve"> Initial Electric Installation </t>
  </si>
  <si>
    <t xml:space="preserve"> Miscellaneous Items </t>
  </si>
  <si>
    <t xml:space="preserve"> Street Lighting including Labour</t>
  </si>
  <si>
    <t xml:space="preserve"> 1 No. Tong Tester</t>
  </si>
  <si>
    <t xml:space="preserve"> 1 No. Angle Grinder</t>
  </si>
  <si>
    <t xml:space="preserve"> 1 No. Mounting Switch</t>
  </si>
  <si>
    <t xml:space="preserve"> 1 Nos. Electronic Trivector Meter</t>
  </si>
  <si>
    <t xml:space="preserve"> 1 Set Aluminium Ladder with Trolley</t>
  </si>
  <si>
    <t xml:space="preserve"> 1 No. 1000 KVAR APGC Panel</t>
  </si>
  <si>
    <t xml:space="preserve"> 1 No. Synchronisation Panel</t>
  </si>
  <si>
    <t xml:space="preserve"> PCB Large, Small Transformer Cell Holder</t>
  </si>
  <si>
    <t xml:space="preserve"> Installations at Kiln</t>
  </si>
  <si>
    <t xml:space="preserve"> Installations at Coal Washery</t>
  </si>
  <si>
    <t xml:space="preserve"> Insulated Copper</t>
  </si>
  <si>
    <t xml:space="preserve"> 1 No. EPB System</t>
  </si>
  <si>
    <t xml:space="preserve"> 1 No. Mobile Phone</t>
  </si>
  <si>
    <t xml:space="preserve"> 1 no. Refrigerator</t>
  </si>
  <si>
    <t xml:space="preserve"> 1 No. DSIB Card for EPABX (including installation charges)</t>
  </si>
  <si>
    <t xml:space="preserve"> Computerised Attendance Recording &amp; Access Contol</t>
  </si>
  <si>
    <t xml:space="preserve"> 2 Nos. 1250 KVA D.G.</t>
  </si>
  <si>
    <t>1 No. Voltage Regulator</t>
  </si>
  <si>
    <t xml:space="preserve"> D.G. Sets at Kiln</t>
  </si>
  <si>
    <t xml:space="preserve"> 1 No. L.G. Air Conditioner</t>
  </si>
  <si>
    <t xml:space="preserve"> 1 No. Samsung Window Air Conditioner</t>
  </si>
  <si>
    <t xml:space="preserve"> 1 No. window. Air Conditioner</t>
  </si>
  <si>
    <t xml:space="preserve"> 1 no. Voltas Split Air Conditioner</t>
  </si>
  <si>
    <t xml:space="preserve"> 1 no. Voltas Air Conditioner</t>
  </si>
  <si>
    <t xml:space="preserve">  1 No. Inspection Door</t>
  </si>
  <si>
    <t xml:space="preserve"> 7 Nos. Office Tables &amp; 7 Nos. Chairs</t>
  </si>
  <si>
    <t xml:space="preserve"> 3 Nos. Industrial Lockers</t>
  </si>
  <si>
    <t xml:space="preserve"> 3 Nos. Executive Tables</t>
  </si>
  <si>
    <t xml:space="preserve"> 6 Nos. Computer Table</t>
  </si>
  <si>
    <t xml:space="preserve"> 2 Nos. Executive Chairs</t>
  </si>
  <si>
    <t xml:space="preserve"> Furnitures</t>
  </si>
  <si>
    <t xml:space="preserve"> 1 No. Almirahs</t>
  </si>
  <si>
    <t xml:space="preserve"> 5 Nos. Almirahs</t>
  </si>
  <si>
    <t xml:space="preserve"> 3 Nos. Almirahs</t>
  </si>
  <si>
    <t xml:space="preserve"> 1 No. Steel Almirah</t>
  </si>
  <si>
    <t xml:space="preserve"> 3 No. Steel Filing Cabinets</t>
  </si>
  <si>
    <t xml:space="preserve"> 1 No. Steel Almirah </t>
  </si>
  <si>
    <t xml:space="preserve"> 1 no. Steel Almirah</t>
  </si>
  <si>
    <t xml:space="preserve"> Furniture &amp; Fixtures at Kiln</t>
  </si>
  <si>
    <t xml:space="preserve"> 1 No. Scorpio Car</t>
  </si>
  <si>
    <t xml:space="preserve"> 1 No. Motor Bike</t>
  </si>
  <si>
    <t xml:space="preserve"> 1 No. Volkswagen Jetta Car</t>
  </si>
  <si>
    <t xml:space="preserve"> 1 No. Computer</t>
  </si>
  <si>
    <t xml:space="preserve"> Computers at Kiln</t>
  </si>
  <si>
    <t xml:space="preserve">Water Tanks </t>
  </si>
  <si>
    <t>Water Tanks - 2 Nos.</t>
  </si>
  <si>
    <t>Boundary Wall</t>
  </si>
  <si>
    <t>Cost as on 4/4/2005</t>
  </si>
  <si>
    <t>WDV as on 1/4/2006</t>
  </si>
  <si>
    <t>WDV as on 1/4/2007</t>
  </si>
  <si>
    <t>WDV as on 1/4/2014</t>
  </si>
  <si>
    <t>Total Depreciation</t>
  </si>
  <si>
    <t>Cost as on 22/3/2006</t>
  </si>
  <si>
    <t>WDV CALCULATION upto 31/3/14</t>
  </si>
  <si>
    <t>Less: Depreciation for the period 1/4/06-31/3/14</t>
  </si>
  <si>
    <t xml:space="preserve">                                        </t>
  </si>
  <si>
    <t>Depreciation</t>
  </si>
  <si>
    <t xml:space="preserve">                                 </t>
  </si>
  <si>
    <t>Cost as on 1/6/2003</t>
  </si>
  <si>
    <t>WDV as on 1/4/2004</t>
  </si>
  <si>
    <t>Less: Depreciation for the period 1/4/04-31/3/14</t>
  </si>
  <si>
    <t>Cost as on 17/5/2006</t>
  </si>
  <si>
    <t>Less: Depreciation for the period 1/4/07-31/3/14</t>
  </si>
  <si>
    <t>Water Tank</t>
  </si>
  <si>
    <t>Water Tank 2</t>
  </si>
  <si>
    <t>Water Tank 3</t>
  </si>
  <si>
    <t>Water Tank 4</t>
  </si>
  <si>
    <t>Cost as on 9/5/2005</t>
  </si>
  <si>
    <t>Cost as on 29/5/2005</t>
  </si>
  <si>
    <t>Water Tank 5</t>
  </si>
  <si>
    <t>Cost as on 17/6/2005</t>
  </si>
  <si>
    <t>Water Tank 6</t>
  </si>
  <si>
    <t>Cost as on 18/7/2005</t>
  </si>
  <si>
    <t>Cost as on 30/5/2005</t>
  </si>
  <si>
    <t>Screen &amp; Crusher Building - Flooring</t>
  </si>
  <si>
    <t>Cost as on 04/4/2005</t>
  </si>
  <si>
    <t>Cost as on 29/6/2005</t>
  </si>
  <si>
    <t>Motor &amp; Cable</t>
  </si>
  <si>
    <t xml:space="preserve">Coal Injector </t>
  </si>
  <si>
    <t>Chain Block &amp; Hydraulic Jack</t>
  </si>
  <si>
    <t>Chain Block with Trolley</t>
  </si>
  <si>
    <t>Hydraulic Lifting Jack</t>
  </si>
  <si>
    <t xml:space="preserve">Welding Machine  </t>
  </si>
  <si>
    <t>GSTR</t>
  </si>
  <si>
    <t>11 MCB Motor</t>
  </si>
  <si>
    <t>Grease Lubricant</t>
  </si>
  <si>
    <t>Hydraulic system</t>
  </si>
  <si>
    <t>Inner Protection Tube</t>
  </si>
  <si>
    <t>Gear Box</t>
  </si>
  <si>
    <t>Air Injection Tube</t>
  </si>
  <si>
    <t>Chequered plate</t>
  </si>
  <si>
    <t>Air Fan with Accessories</t>
  </si>
  <si>
    <t>Less: Depreciation for 31/3/2006</t>
  </si>
  <si>
    <t>Less: Depreciation for 31/3/2004</t>
  </si>
  <si>
    <t>Less: Depreciation for 31/3/2007</t>
  </si>
  <si>
    <t xml:space="preserve">Workshop Building </t>
  </si>
  <si>
    <t xml:space="preserve">  Mancooler Pedestal Fan</t>
  </si>
  <si>
    <t xml:space="preserve"> Pump </t>
  </si>
  <si>
    <t xml:space="preserve"> Pedestal Fan</t>
  </si>
  <si>
    <t>Cost as on 15/6/2005</t>
  </si>
  <si>
    <t>Cost as on 31/5/2005</t>
  </si>
  <si>
    <t>Cost as on 9/6/2005</t>
  </si>
  <si>
    <t>Kiln &amp; Cooler</t>
  </si>
  <si>
    <t>Grease Lubricant System</t>
  </si>
  <si>
    <t>Cost as on 7/4/2005</t>
  </si>
  <si>
    <t>Cost as on 29/4/2005</t>
  </si>
  <si>
    <t>Hydraulic System</t>
  </si>
  <si>
    <t>Cost as on 10/6/2005</t>
  </si>
  <si>
    <t>Cost as on 9/7/2005</t>
  </si>
  <si>
    <t>Cost as on 7/7/2005</t>
  </si>
  <si>
    <t>Cost as on 3/9/2005</t>
  </si>
  <si>
    <t>Cost as on 7/10/2005</t>
  </si>
  <si>
    <t>Cost as on 20/10/2005</t>
  </si>
  <si>
    <t>Cost as on 22/12/2005</t>
  </si>
  <si>
    <t>ESP &amp; GST</t>
  </si>
  <si>
    <t>Cost as on 15/06/2005</t>
  </si>
  <si>
    <t>Cost as on 23/12/2006</t>
  </si>
  <si>
    <t>ECR</t>
  </si>
  <si>
    <t>Cost as on 11/6/2005</t>
  </si>
  <si>
    <t>Cost as on 21/7/2006</t>
  </si>
  <si>
    <t>Day Bin</t>
  </si>
  <si>
    <t>Cost as on 14/8/2005</t>
  </si>
  <si>
    <t>Cost as on 18/10/2005</t>
  </si>
  <si>
    <t>Water System</t>
  </si>
  <si>
    <t>Cost as on 25/7/2005</t>
  </si>
  <si>
    <t>Weilding Machine</t>
  </si>
  <si>
    <t>Cost as on 20/5/2005</t>
  </si>
  <si>
    <t>Chain Block with Hydraulic Jack</t>
  </si>
  <si>
    <t>Chain Block with Trolly</t>
  </si>
  <si>
    <t>Cost as on 27/8/2005</t>
  </si>
  <si>
    <t>Cost as on 21/3/2006</t>
  </si>
  <si>
    <t>Cost as on 14/9/2005</t>
  </si>
  <si>
    <t>Coal Injector</t>
  </si>
  <si>
    <t>Cost as on 23/3/2006</t>
  </si>
  <si>
    <t>Cost as on 9/11/2005</t>
  </si>
  <si>
    <t>Cost as on 6/7/2005</t>
  </si>
  <si>
    <t>Pollution Control Equipment -RMC</t>
  </si>
  <si>
    <t>Cost as on 29/11/2006</t>
  </si>
  <si>
    <t>Cost as on 5/7/2006</t>
  </si>
  <si>
    <t>Land (Freehold)</t>
  </si>
  <si>
    <t>Mancooler Pedestal Fan</t>
  </si>
  <si>
    <t>Initial Electrical Installation</t>
  </si>
  <si>
    <t>Kirloskar Pump</t>
  </si>
  <si>
    <t>1 no.  Pump</t>
  </si>
  <si>
    <t>Blower Machines</t>
  </si>
  <si>
    <t>3 Nos. Blower Machines</t>
  </si>
  <si>
    <t>Blower Machine</t>
  </si>
  <si>
    <t>Cost as on 22/10/2005</t>
  </si>
  <si>
    <t>Cost as on 15/5/2006</t>
  </si>
  <si>
    <t>Cost as on 9/9/2006</t>
  </si>
  <si>
    <t>Pump</t>
  </si>
  <si>
    <t>Cost as on 5/2/2007</t>
  </si>
  <si>
    <t>Weighing Bridge</t>
  </si>
  <si>
    <t>Motor Cable</t>
  </si>
  <si>
    <t>Cost as on 28/7/2006</t>
  </si>
  <si>
    <t>Date of 
Purchase</t>
  </si>
  <si>
    <t>Cost 
Price</t>
  </si>
  <si>
    <t>Useful 
Life</t>
  </si>
  <si>
    <t>Depreciation 
as on 
31/03/2014</t>
  </si>
  <si>
    <t>WDV 
as on 
31/03/14</t>
  </si>
  <si>
    <t>Residual 
Value 
(@ 5%)</t>
  </si>
  <si>
    <t>Remaining 
Useful 
life</t>
  </si>
  <si>
    <t>Remaining Useful life 
in Days</t>
  </si>
  <si>
    <t>Tranfer to 
Retained 
Earnings</t>
  </si>
  <si>
    <t>Depreciation 
for 2015-16</t>
  </si>
  <si>
    <t>Depreciation 
for 2016-17</t>
  </si>
  <si>
    <t>Depreciation 
for 2017-18</t>
  </si>
  <si>
    <t>Depreciation 
for 2018-19</t>
  </si>
  <si>
    <t>Depreciation 
for 2019-20</t>
  </si>
  <si>
    <t>Depreciation 
for 2020-21</t>
  </si>
  <si>
    <t>Depreciation 
for 2022-23</t>
  </si>
  <si>
    <t>Depreciation 
for 2021-22</t>
  </si>
  <si>
    <t>Depreciation 
for 2024-25</t>
  </si>
  <si>
    <t>Depreciation 
for 2023-24</t>
  </si>
  <si>
    <t>Depreciation 
for 2025-26</t>
  </si>
  <si>
    <t>Depreciation 
for 2026-27</t>
  </si>
  <si>
    <t>Depreciation 
for 2027-28</t>
  </si>
  <si>
    <t>Depreciation 
for 2028-29</t>
  </si>
  <si>
    <t>Useful Life 
utilized till 
31.03.2014</t>
  </si>
  <si>
    <t xml:space="preserve">Total Depreciable Item </t>
  </si>
  <si>
    <t>5 No. Ceiling Fan</t>
  </si>
  <si>
    <t xml:space="preserve"> 1 No. HP  Printer</t>
  </si>
  <si>
    <t>2 Nos Fan and 25 Nos Socket</t>
  </si>
  <si>
    <t>2 Nos Mobile Phone</t>
  </si>
  <si>
    <t>5 Nos Fire Extinguiser</t>
  </si>
  <si>
    <t>1 No. Mobile phone</t>
  </si>
  <si>
    <t xml:space="preserve"> 1 No. Steel Angel Rack</t>
  </si>
  <si>
    <t>Useful Life Exhausted</t>
  </si>
  <si>
    <t xml:space="preserve"> 4 Nos Chairs</t>
  </si>
  <si>
    <t xml:space="preserve"> 30 Nos Chairs</t>
  </si>
  <si>
    <t xml:space="preserve"> 5 Nos Table</t>
  </si>
  <si>
    <t xml:space="preserve"> 2 Nos Bed</t>
  </si>
  <si>
    <t xml:space="preserve"> 6 Nos Bed</t>
  </si>
  <si>
    <t xml:space="preserve"> 5 Nos. Aluminium Doors</t>
  </si>
  <si>
    <t xml:space="preserve"> 2 No. Almirahs</t>
  </si>
  <si>
    <t>Miscellaneous Furniture</t>
  </si>
  <si>
    <t xml:space="preserve">Chairs, Tables, Almirahs, Beds &amp; Racks </t>
  </si>
  <si>
    <t xml:space="preserve"> 2 Nos Steel Almirah</t>
  </si>
  <si>
    <t>Cost as on 02-03</t>
  </si>
  <si>
    <t>Less: Depreciation for 31/3/2003</t>
  </si>
  <si>
    <t>WDV as on 1/4/2003</t>
  </si>
  <si>
    <t>Less: Depreciation for the period 1/4/03-31/3/14</t>
  </si>
  <si>
    <t xml:space="preserve"> 2 No Pedestal Fan</t>
  </si>
  <si>
    <t xml:space="preserve"> 1 Pc Electronic Meter</t>
  </si>
  <si>
    <t xml:space="preserve"> 8 Nos UPS</t>
  </si>
  <si>
    <t xml:space="preserve"> 5 Nos Ceiling Fan &amp; 2 Nos Exhaust Fan</t>
  </si>
  <si>
    <t xml:space="preserve"> 100 Nos  70 watt Integral Well Glass</t>
  </si>
  <si>
    <t xml:space="preserve"> 1 No Electric Blower</t>
  </si>
  <si>
    <t xml:space="preserve"> 5 No Exhaust Fan</t>
  </si>
  <si>
    <t xml:space="preserve"> 35  No Ceiling Fan</t>
  </si>
  <si>
    <t xml:space="preserve"> 1 No Multimeter</t>
  </si>
  <si>
    <t xml:space="preserve"> 20 Nos UPS</t>
  </si>
  <si>
    <t xml:space="preserve"> Miscellaneous Item</t>
  </si>
  <si>
    <t xml:space="preserve"> 7 Nos Ceiling Fan &amp; 2 Nos Exhaust Fan</t>
  </si>
  <si>
    <t xml:space="preserve">  Contractor</t>
  </si>
  <si>
    <t>3 Nos. Bag Closure Machine</t>
  </si>
  <si>
    <t>Network Sensor Monitoring Unit</t>
  </si>
  <si>
    <t>Cost as on 11/06/2005</t>
  </si>
  <si>
    <t>Cost as on 15/05/2006</t>
  </si>
  <si>
    <t>Total Non Depreciable Item</t>
  </si>
  <si>
    <t xml:space="preserve">WDV </t>
  </si>
  <si>
    <t>Depreciation 
for 2029-30</t>
  </si>
  <si>
    <t>Depreciation 
for 2030-31</t>
  </si>
  <si>
    <t>Air Conditioners
(01.04.2009)</t>
  </si>
  <si>
    <t>Office Equipment
(01.04.2009)</t>
  </si>
  <si>
    <t>Buildings
(01.04.1984)</t>
  </si>
  <si>
    <t>Electrical Installation
(01.04.2004)</t>
  </si>
  <si>
    <t>Plant and Machinery
(01.04.1999)</t>
  </si>
  <si>
    <t>Furniture
(01.04.2004)</t>
  </si>
  <si>
    <t>Motor Car
(01.04.2006)</t>
  </si>
  <si>
    <t xml:space="preserve">Depreciation 
for 2014-15
</t>
  </si>
  <si>
    <t>Depreciation 
for 2031-32</t>
  </si>
  <si>
    <t>Gross</t>
  </si>
  <si>
    <t>Laptop with Bag</t>
  </si>
  <si>
    <t>Computer</t>
  </si>
  <si>
    <t>JCB</t>
  </si>
  <si>
    <t xml:space="preserve">Brooke made Loader </t>
  </si>
  <si>
    <t>Asset</t>
  </si>
  <si>
    <t>AC</t>
  </si>
  <si>
    <t>Building</t>
  </si>
  <si>
    <t>Electric Installation</t>
  </si>
  <si>
    <t>Plant &amp; Machinery</t>
  </si>
  <si>
    <t>Furniture</t>
  </si>
  <si>
    <t>Motor Car</t>
  </si>
  <si>
    <t>Office  Equipment</t>
  </si>
  <si>
    <t>Depn Withoout Subsy</t>
  </si>
  <si>
    <t>Depn With Subsy</t>
  </si>
  <si>
    <t>NIPL</t>
  </si>
  <si>
    <t>Cost Price</t>
  </si>
  <si>
    <t>Subsy</t>
  </si>
  <si>
    <t>Net</t>
  </si>
  <si>
    <t>Depn upto 15-16</t>
  </si>
  <si>
    <t>Depn 16-17</t>
  </si>
  <si>
    <t xml:space="preserve">Coral Software </t>
  </si>
  <si>
    <t>Computer/Printer &amp; Software</t>
  </si>
  <si>
    <t xml:space="preserve"> 1 No. Water Purifier</t>
  </si>
  <si>
    <t>1 No. vfd panel for induction Motor</t>
  </si>
  <si>
    <t>LAND FREE HOLD</t>
  </si>
  <si>
    <t>Nil</t>
  </si>
  <si>
    <t>FACTORY BUILDING</t>
  </si>
  <si>
    <t>PLANT &amp; MACHINERY</t>
  </si>
  <si>
    <t xml:space="preserve">ELECTRIC INSTALLATION </t>
  </si>
  <si>
    <t>AIR CONDITIONERS</t>
  </si>
  <si>
    <t>OFFICE EQUIPMENTS</t>
  </si>
  <si>
    <t>COMPUTER</t>
  </si>
  <si>
    <t>FURNITURE &amp; FIXTURE</t>
  </si>
  <si>
    <t>VEHICLES</t>
  </si>
  <si>
    <t>D.G. SET</t>
  </si>
  <si>
    <t>TOTAL</t>
  </si>
  <si>
    <t xml:space="preserve"> </t>
  </si>
  <si>
    <t>STATEMENT OF DEPRECIATION FOR THE YEAR 2019-2020 AS PER SCHEDULE II OF COMPANIES ACT 2013</t>
  </si>
  <si>
    <t>1 No. Induction Motor</t>
  </si>
  <si>
    <t xml:space="preserve">Chairs, Tables, </t>
  </si>
  <si>
    <t xml:space="preserve"> 2 No. Motor Bike</t>
  </si>
  <si>
    <t>Fixed Asset Reco</t>
  </si>
  <si>
    <t>Particulars</t>
  </si>
  <si>
    <t>As per TB</t>
  </si>
  <si>
    <t>Difference with TB</t>
  </si>
  <si>
    <t>Dep. As per TB</t>
  </si>
  <si>
    <t>Category</t>
  </si>
  <si>
    <t>Date of Capitalisation</t>
  </si>
  <si>
    <t>Life Years</t>
  </si>
  <si>
    <t>Cost of Acquisition (Gross Block)</t>
  </si>
  <si>
    <t>Depreciation Expense for the year</t>
  </si>
  <si>
    <t>Office Equipment</t>
  </si>
  <si>
    <t>No. of Days Asset used during the year</t>
  </si>
  <si>
    <t xml:space="preserve">        DEPRECIATION CHART AS PER INCOME TAX  ACT 1961</t>
  </si>
  <si>
    <t>ANNEXURE - C</t>
  </si>
  <si>
    <t>DESCRIPTION</t>
  </si>
  <si>
    <t>SALE / REDUCTION DURING THE YEAR</t>
  </si>
  <si>
    <t>ADDITIONS DURING THE YEAR USE ABOVE 180 DAYS (Acquired before 3rd October)</t>
  </si>
  <si>
    <t>ADDITIONS DURING THE YEAR USE LESS THEN 180 DAYS</t>
  </si>
  <si>
    <t>TOTAL BLOCK VALUE</t>
  </si>
  <si>
    <t>DEPT. RATE</t>
  </si>
  <si>
    <t>DEPRECIATION AMOUNT</t>
  </si>
  <si>
    <t>WRITTEN DOWN VALUE AS ON 31.03.2021</t>
  </si>
  <si>
    <t>SCHEDULE - 5</t>
  </si>
  <si>
    <t>FIXED ASSETS</t>
  </si>
  <si>
    <t>G R O S S      B L O C K</t>
  </si>
  <si>
    <t>D E P R E C I A T I O N</t>
  </si>
  <si>
    <t>NET BLOCK</t>
  </si>
  <si>
    <t>ADDITIONS DURING THE YEAR</t>
  </si>
  <si>
    <t>REDUCTION ON SALE / ADJUSTMENT</t>
  </si>
  <si>
    <t>FOR THE YEAR</t>
  </si>
  <si>
    <t>DEDUCTION ON SALE / ADJUSTMENT</t>
  </si>
  <si>
    <t>OTHER ADJUSTMENTS</t>
  </si>
  <si>
    <t>AS ON  31.03.2021</t>
  </si>
  <si>
    <t>TOTAL:</t>
  </si>
  <si>
    <t>Previous Year:</t>
  </si>
  <si>
    <t>AS PER COMPANIES ACT</t>
  </si>
  <si>
    <t>Air Conditioner</t>
  </si>
  <si>
    <t>Gross Block as per Schedule</t>
  </si>
  <si>
    <t>Dep. As per schedule</t>
  </si>
  <si>
    <t>Buildings</t>
  </si>
  <si>
    <t>Electrical Installation</t>
  </si>
  <si>
    <t>Motor car</t>
  </si>
  <si>
    <t>Office equipment</t>
  </si>
  <si>
    <t>Residual Value</t>
  </si>
  <si>
    <r>
      <t>DEPRECIATION</t>
    </r>
    <r>
      <rPr>
        <b/>
        <sz val="9"/>
        <rFont val="Arial"/>
        <family val="2"/>
      </rPr>
      <t xml:space="preserve"> NOT CLAIMED</t>
    </r>
  </si>
  <si>
    <t>CHECK</t>
  </si>
  <si>
    <t>Check with PY Audited BS</t>
  </si>
  <si>
    <t>&gt; 180 days for IT Dep</t>
  </si>
  <si>
    <t>Voltas  AC 183 V 1.5 ton</t>
  </si>
  <si>
    <t>Samsung Mobile</t>
  </si>
  <si>
    <t>Laptop Dell Insp 2 pcs</t>
  </si>
  <si>
    <t>Server Dell Intel 1 pc</t>
  </si>
  <si>
    <t>Laptop Dell Insp 1 pc</t>
  </si>
  <si>
    <t>Printer 1 pc</t>
  </si>
  <si>
    <t>Desktop Dell 1pc</t>
  </si>
  <si>
    <t>Lenovo Laptop &amp; Carry case 1 pc</t>
  </si>
  <si>
    <t>HP Laptop 1 pc</t>
  </si>
  <si>
    <t>DELL DESKTOP,MONITOR SAMSUNG,CPU CORE 13-3RD GEN etc</t>
  </si>
  <si>
    <t>MB GIGABYTE,HDD 240GB,DDR4 4GB RAM,CPU CORE etc</t>
  </si>
  <si>
    <t>Number of days used during the year</t>
  </si>
  <si>
    <t>Sale off</t>
  </si>
  <si>
    <t>Discard off</t>
  </si>
  <si>
    <t>Discarded off</t>
  </si>
  <si>
    <t>Straight Line Depreciation</t>
  </si>
  <si>
    <t>Video Conferencing Equipment</t>
  </si>
  <si>
    <t>LED Dot Matrix Display System, Stock Monitoring Data Communication System, Converter</t>
  </si>
  <si>
    <t>Captive Power Plant (12MW)</t>
  </si>
  <si>
    <t>2 Loader</t>
  </si>
  <si>
    <t>Hydraulic Excavator</t>
  </si>
  <si>
    <t>Scorpio S11-WB02AS3642</t>
  </si>
  <si>
    <t>Scorpio S11-WB02TC057</t>
  </si>
  <si>
    <t>Scorpio S11-WB02TC0572</t>
  </si>
  <si>
    <t>Dell Laptop &amp; Monitor</t>
  </si>
  <si>
    <t>HP Laptop</t>
  </si>
  <si>
    <t>4 Dell Laptop</t>
  </si>
  <si>
    <t>Laptop &amp; Desktop</t>
  </si>
  <si>
    <t>HP Printer</t>
  </si>
  <si>
    <t>3 CPU, Monitor, Accessories and 1 Printer</t>
  </si>
  <si>
    <t>Printer</t>
  </si>
  <si>
    <t>2 Printer, Pendrive, Mouse etc</t>
  </si>
  <si>
    <t>Laptop</t>
  </si>
  <si>
    <t>SMS - 10*3</t>
  </si>
  <si>
    <t>Rolling Mill</t>
  </si>
  <si>
    <t>AS ON              31.03.2021</t>
  </si>
  <si>
    <t>UPTO 31.03.2021</t>
  </si>
  <si>
    <t>AS ON  31.03.2022</t>
  </si>
  <si>
    <t>WRITTEN DOWN VALUE AS ON 31.03.2022</t>
  </si>
  <si>
    <t>As per Depreciation Co's Act</t>
  </si>
  <si>
    <t>Diff</t>
  </si>
  <si>
    <t>13 Monitor, 22 Laptop, Printer and Accessories</t>
  </si>
  <si>
    <t>Tally Customisation</t>
  </si>
  <si>
    <t>Network Video Recorder, 3 CCTV &amp; 1 Harddisk</t>
  </si>
  <si>
    <t>Not Considered in Total</t>
  </si>
  <si>
    <t xml:space="preserve"> DEPRECIATION CHART AS PER COMPANIES ACT 2013 AS ON 31/03/2022</t>
  </si>
  <si>
    <t>Monitor Lenevo 21.5,Printer</t>
  </si>
  <si>
    <t>4pcs Desktop &amp; Printer</t>
  </si>
  <si>
    <t>5 pcs Desktop</t>
  </si>
  <si>
    <t>Office Table</t>
  </si>
  <si>
    <t>2+2 Almirah &amp; Office Table</t>
  </si>
  <si>
    <t>4+1 Chair &amp; Almirah</t>
  </si>
  <si>
    <t>Steel Almirah &amp; Chair</t>
  </si>
  <si>
    <t xml:space="preserve">               ACCOUNTING YEAR : 2022-2023</t>
  </si>
  <si>
    <t xml:space="preserve">              ASSESSMENT YEAR : 2023-2024</t>
  </si>
  <si>
    <t>ALCAZAR-WB02AS-9573</t>
  </si>
  <si>
    <t>BOLERO CAMPER</t>
  </si>
  <si>
    <t>JCB 3157534</t>
  </si>
  <si>
    <t>LOADER VOLVO L958H</t>
  </si>
  <si>
    <t>TIPPER TATA - JH22F 1045</t>
  </si>
  <si>
    <t>TIPPER TATA - JH22F 2753</t>
  </si>
  <si>
    <t>TIPPER TATA - JH22F 3866</t>
  </si>
  <si>
    <t>TIPPER TATA - JH22F 4219</t>
  </si>
  <si>
    <t>Wheel Loader L946(Engine No- 1021L027455)</t>
  </si>
  <si>
    <t>Wheel Loader L946(Engine No- 1021L027459)</t>
  </si>
  <si>
    <t>Voltas  AC 183DZZ 1.5 ton</t>
  </si>
  <si>
    <t>2 No, Mitsubishi AC</t>
  </si>
  <si>
    <t xml:space="preserve">Wiring expenses for AC Installation </t>
  </si>
  <si>
    <t>1+1+2 Office Table,High Back Revolving Chair &amp; S.S.Visitor Chair</t>
  </si>
  <si>
    <t>2 Steel Almirah with Locker</t>
  </si>
  <si>
    <t>Almirah</t>
  </si>
  <si>
    <t>2+1 Office Table and Chair</t>
  </si>
  <si>
    <t>5+4 Office Table and Chair</t>
  </si>
  <si>
    <t>2+2+2+1 Pcs.Of Steel Almirah,Office Table,S.S.Visitors Chair And High Back Revolving Chair</t>
  </si>
  <si>
    <t>2+16 Pcs.Of Steel Office Table &amp; Pastic Maulded Chair With Arms</t>
  </si>
  <si>
    <t>1+1+6 Pcs.Of Steel Locker Unit With Lock &amp; Key,Almirah &amp; National Moulded Chair With Arms</t>
  </si>
  <si>
    <t>6+1 Nos.Of Supreme Moulded Chair With Arm And Table</t>
  </si>
  <si>
    <t>3+1 Nos.Of Steel Locker Unit With 12 Lockers With Lock &amp; Keys And Steel Almirah</t>
  </si>
  <si>
    <t>2+2 Pcs.Of Steel Office Tablr &amp; Revolving Chair Medium Back</t>
  </si>
  <si>
    <t>1+2+10Pcs Of Steel Office Table,Stainless Steel Office Chair &amp; National Moulded Chair Without Arms</t>
  </si>
  <si>
    <t>Land (Chandil)</t>
  </si>
  <si>
    <t>Captive Power Plant (30MW)</t>
  </si>
  <si>
    <t>SMS - 15*4</t>
  </si>
  <si>
    <t>1 No, Mitsubishi AC</t>
  </si>
  <si>
    <t>Antivirus for 3years (30Pc)</t>
  </si>
  <si>
    <t>Refrigerator</t>
  </si>
  <si>
    <t>4+3 of steel locker</t>
  </si>
  <si>
    <t>3 nos of SS OFFICE CHAIR</t>
  </si>
  <si>
    <t>2 nos of SS OFFICE CHAIR</t>
  </si>
  <si>
    <t>1+3+6 NOS PARTICAL VARD OFFICE TABLE, CHAIR AND TABLE</t>
  </si>
  <si>
    <t>6+6+2 NET BACK OFFICE CHAIR</t>
  </si>
  <si>
    <t>1 NOS OF OFFICE CHAIR</t>
  </si>
  <si>
    <t>1+1 PCS OF STEEL OFFICE TABLE &amp; HIGH BACK REVOLOVING CHAIR</t>
  </si>
  <si>
    <t>3+3+25 NOS OF MDF OFFICE TABLE &amp; REVOLVING CHAIR AND VISITOR CHAIR</t>
  </si>
  <si>
    <t>SLIMLINE 4S BODY IN ROYAL IVORY</t>
  </si>
  <si>
    <t>CCTV CAMERA</t>
  </si>
  <si>
    <t>Cable Connector</t>
  </si>
  <si>
    <t>LLYOD AC</t>
  </si>
  <si>
    <t>CPU Core 13-12th generation</t>
  </si>
  <si>
    <t>98pcs of Power code, VGA Cable</t>
  </si>
  <si>
    <t>VGA Cable,HDMI Cable</t>
  </si>
  <si>
    <t>1+2 Lenova TC Neo 50T Gen</t>
  </si>
  <si>
    <t>Projector Epson EB-E01</t>
  </si>
  <si>
    <t>Evolis Primacy Printer</t>
  </si>
  <si>
    <t>CPU 1PC DDR Ram</t>
  </si>
  <si>
    <t>1Pcs Epson Printer</t>
  </si>
  <si>
    <t>5+5 Nos of Netgear GS724TP-200INS</t>
  </si>
  <si>
    <t>2+2+2+3+1+1+2+2+1 Pcs of PC Lenovo TC Neo</t>
  </si>
  <si>
    <t>Lenovo Laptop</t>
  </si>
  <si>
    <t>Lenovo Laptop Idea Pad3</t>
  </si>
  <si>
    <t>50Nos Named User Licence ERP</t>
  </si>
  <si>
    <t>Oracle Database Standard Edition ERP</t>
  </si>
  <si>
    <t>Microsoft Office Home &amp; Business 2021 FPP</t>
  </si>
  <si>
    <t>CP Plus IP 5MP Bullet Camera</t>
  </si>
  <si>
    <t>3Nos Usb A to 9Pin Female Cable U Port</t>
  </si>
  <si>
    <t>Optical &amp; Cat 6 Laying , IO Box, Camera Mount</t>
  </si>
  <si>
    <t>CCTV Installation</t>
  </si>
  <si>
    <t>Lenovo,Monitor Ups Microtek,Spike CPU</t>
  </si>
  <si>
    <t>2Pcs of NFR-27U-8010-BL-Sk</t>
  </si>
  <si>
    <t>2+2 Pcs Printer HP Laser</t>
  </si>
  <si>
    <t>135Pcs of computer accessories</t>
  </si>
  <si>
    <t>10002 Nos onetime integration charges with API ERP</t>
  </si>
  <si>
    <t>Bolero Neo OD09V0586</t>
  </si>
  <si>
    <t>Scorpio- OD0920358</t>
  </si>
  <si>
    <t>Truck Crane</t>
  </si>
  <si>
    <t>Brokk Machine</t>
  </si>
  <si>
    <t>PM10 &amp; PM2.5</t>
  </si>
  <si>
    <t>1 Nos Voltas Split AC</t>
  </si>
  <si>
    <t>DRI - 600TPD Kiln 4</t>
  </si>
  <si>
    <t>DRI - 600TPD Kiln 5</t>
  </si>
  <si>
    <t>4+1+20+1+1 Pcs of Netgear,Gigabite,Battery</t>
  </si>
  <si>
    <t>103 pcs of Climping Tools,Ram DDR3 4GB,Punching Tools</t>
  </si>
  <si>
    <t>1Pcs of HP Printer</t>
  </si>
  <si>
    <t>6x1+3x2 pcs of PC HP</t>
  </si>
  <si>
    <t>1+1 no of Fortigage,Fortappliance, Forticare for IT</t>
  </si>
  <si>
    <t>10x3+1pcs of CPU, MB Gigabyte, DDR</t>
  </si>
  <si>
    <t>Server Lenovo,Ram,HDD,Power Supply</t>
  </si>
  <si>
    <t>1+1 Pcs of Lenovo Laptop</t>
  </si>
  <si>
    <t>3+2+1+1+2 Pcs of Dell Latitute, Monitor Samsung</t>
  </si>
  <si>
    <t>1+1+5Pcs+10Unit+1Pcs of Dell Laptop,HP Laserjet,CPU Fan</t>
  </si>
  <si>
    <t>6x1 pcs of CPU,MB Gigabyte,HDD SSD,DDR 4 8GB</t>
  </si>
  <si>
    <t>12Pcs CCTV Camera</t>
  </si>
  <si>
    <t>Laptop HP 250GB 4Pcs</t>
  </si>
  <si>
    <t>NVR Matrix 64004X</t>
  </si>
  <si>
    <t>Computers</t>
  </si>
  <si>
    <t>DRI - 600TPD-Kiln 4</t>
  </si>
  <si>
    <t>DRI - 600TPD-Kiln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</si>
</sst>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 #,##0.00_ ;_ * \-#,##0.00_ ;_ * &quot;-&quot;??_ ;_ @_ "/>
    <numFmt numFmtId="164" formatCode="_(* #,##0.00_);_(* \(#,##0.00\);_(* &quot;-&quot;??_);_(@_)"/>
    <numFmt numFmtId="165" formatCode="_(* #,##0_);_(* \(#,##0\);_(* &quot;-&quot;??_);_(@_)"/>
    <numFmt numFmtId="166" formatCode="#,##0.0_);\(#,##0.0\)"/>
    <numFmt numFmtId="167" formatCode="_-* #,##0.00_-;\-* #,##0.00_-;_-* &quot;-&quot;??_-;_-@_-"/>
    <numFmt numFmtId="168" formatCode="_(* #,##0.00_);_(* \(#,##0.00\);_(* \-??_);_(@_)"/>
    <numFmt numFmtId="169" formatCode="_([$€-2]* #,##0.00_);_([$€-2]* \(#,##0.00\);_([$€-2]* &quot;-&quot;??_)"/>
    <numFmt numFmtId="170" formatCode="[$-4009]dd\ mmmm\ yyyy"/>
    <numFmt numFmtId="171" formatCode="_ * #,##0_ ;_ * \-#,##0_ ;_ * &quot;-&quot;??_ ;_ @_ "/>
    <numFmt numFmtId="172" formatCode="[$-F400]h:mm:ss\ AM/PM"/>
    <numFmt numFmtId="173" formatCode="&quot;&quot;0.00"/>
  </numFmts>
  <fonts count="54" x14ac:knownFonts="1">
    <font>
      <sz val="11"/>
      <color theme="1"/>
      <name val="Calibri"/>
      <family val="2"/>
      <scheme val="minor"/>
    </font>
    <font>
      <sz val="11"/>
      <color theme="1"/>
      <name val="Calibri"/>
      <family val="2"/>
      <scheme val="minor"/>
    </font>
    <font>
      <sz val="10"/>
      <name val="Arial"/>
      <family val="2"/>
    </font>
    <font>
      <sz val="10"/>
      <color indexed="10"/>
      <name val="Arial"/>
      <family val="2"/>
    </font>
    <font>
      <sz val="10"/>
      <color indexed="8"/>
      <name val="Arial"/>
      <family val="2"/>
    </font>
    <font>
      <sz val="10"/>
      <name val="Courier"/>
      <family val="3"/>
    </font>
    <font>
      <b/>
      <sz val="9"/>
      <color indexed="81"/>
      <name val="Tahoma"/>
      <family val="2"/>
    </font>
    <font>
      <sz val="9"/>
      <color indexed="81"/>
      <name val="Tahoma"/>
      <family val="2"/>
    </font>
    <font>
      <b/>
      <sz val="11"/>
      <color theme="1"/>
      <name val="Calibri"/>
      <family val="2"/>
      <scheme val="minor"/>
    </font>
    <font>
      <b/>
      <u/>
      <sz val="11"/>
      <color theme="1"/>
      <name val="Calibri"/>
      <family val="2"/>
      <scheme val="minor"/>
    </font>
    <font>
      <u/>
      <sz val="11"/>
      <color theme="1"/>
      <name val="Calibri"/>
      <family val="2"/>
      <scheme val="minor"/>
    </font>
    <font>
      <b/>
      <u/>
      <sz val="11"/>
      <name val="Calibri"/>
      <family val="2"/>
      <scheme val="minor"/>
    </font>
    <font>
      <sz val="11"/>
      <name val="Calibri"/>
      <family val="2"/>
      <scheme val="minor"/>
    </font>
    <font>
      <b/>
      <sz val="10"/>
      <color theme="1"/>
      <name val="Arial"/>
      <family val="2"/>
    </font>
    <font>
      <sz val="10"/>
      <color theme="1"/>
      <name val="Arial"/>
      <family val="2"/>
    </font>
    <font>
      <b/>
      <sz val="10"/>
      <name val="Arial"/>
      <family val="2"/>
    </font>
    <font>
      <sz val="10"/>
      <color theme="10"/>
      <name val="Calibri"/>
      <family val="2"/>
    </font>
    <font>
      <u/>
      <sz val="11"/>
      <color theme="10"/>
      <name val="Calibri"/>
      <family val="2"/>
    </font>
    <font>
      <b/>
      <i/>
      <sz val="10"/>
      <name val="Times New Roman"/>
      <family val="1"/>
    </font>
    <font>
      <i/>
      <sz val="10"/>
      <name val="Times New Roman"/>
      <family val="1"/>
    </font>
    <font>
      <i/>
      <sz val="10"/>
      <color indexed="8"/>
      <name val="Times New Roman"/>
      <family val="1"/>
    </font>
    <font>
      <sz val="11"/>
      <color indexed="8"/>
      <name val="Calibri"/>
      <family val="2"/>
    </font>
    <font>
      <b/>
      <i/>
      <sz val="10"/>
      <color theme="1"/>
      <name val="Arial"/>
      <family val="2"/>
    </font>
    <font>
      <sz val="10"/>
      <color indexed="64"/>
      <name val="Arial"/>
      <family val="2"/>
    </font>
    <font>
      <b/>
      <sz val="10"/>
      <color indexed="64"/>
      <name val="Times New Roman"/>
      <family val="1"/>
    </font>
    <font>
      <b/>
      <sz val="10"/>
      <color rgb="FFFF0000"/>
      <name val="Calibri"/>
      <family val="2"/>
      <scheme val="minor"/>
    </font>
    <font>
      <b/>
      <sz val="10"/>
      <color theme="1"/>
      <name val="Times New Roman"/>
      <family val="1"/>
    </font>
    <font>
      <b/>
      <sz val="10"/>
      <color theme="1"/>
      <name val="Calibri"/>
      <family val="2"/>
      <scheme val="minor"/>
    </font>
    <font>
      <u/>
      <sz val="11"/>
      <color theme="10"/>
      <name val="Calibri"/>
      <family val="2"/>
      <scheme val="minor"/>
    </font>
    <font>
      <b/>
      <sz val="12"/>
      <name val="Arial"/>
      <family val="2"/>
    </font>
    <font>
      <b/>
      <sz val="11"/>
      <name val="Arial"/>
      <family val="2"/>
    </font>
    <font>
      <b/>
      <sz val="11"/>
      <name val="Calibri"/>
      <family val="2"/>
      <scheme val="minor"/>
    </font>
    <font>
      <sz val="10"/>
      <color indexed="9"/>
      <name val="Arial"/>
      <family val="2"/>
    </font>
    <font>
      <b/>
      <sz val="10"/>
      <color rgb="FF0000FF"/>
      <name val="Arial"/>
      <family val="2"/>
    </font>
    <font>
      <b/>
      <sz val="11"/>
      <color rgb="FF0000FF"/>
      <name val="Calibri"/>
      <family val="2"/>
      <scheme val="minor"/>
    </font>
    <font>
      <b/>
      <sz val="8"/>
      <name val="Arial"/>
      <family val="2"/>
    </font>
    <font>
      <sz val="10"/>
      <color rgb="FF0000FF"/>
      <name val="Arial"/>
      <family val="2"/>
    </font>
    <font>
      <sz val="10"/>
      <color rgb="FF0000FF"/>
      <name val="Calibri"/>
      <family val="2"/>
      <scheme val="minor"/>
    </font>
    <font>
      <i/>
      <u/>
      <sz val="12"/>
      <name val="Arial"/>
      <family val="2"/>
    </font>
    <font>
      <i/>
      <u/>
      <sz val="10"/>
      <name val="Arial"/>
      <family val="2"/>
    </font>
    <font>
      <i/>
      <u/>
      <sz val="9"/>
      <name val="Arial"/>
      <family val="2"/>
    </font>
    <font>
      <i/>
      <sz val="11"/>
      <color theme="1"/>
      <name val="Calibri"/>
      <family val="2"/>
      <scheme val="minor"/>
    </font>
    <font>
      <b/>
      <i/>
      <sz val="10"/>
      <color rgb="FFFF0000"/>
      <name val="Arial"/>
      <family val="2"/>
    </font>
    <font>
      <b/>
      <i/>
      <sz val="10"/>
      <color rgb="FFFF0000"/>
      <name val="Calibri"/>
      <family val="2"/>
    </font>
    <font>
      <i/>
      <sz val="11"/>
      <color indexed="8"/>
      <name val="Times New Roman"/>
      <family val="1"/>
    </font>
    <font>
      <sz val="11"/>
      <color rgb="FFFF0000"/>
      <name val="Calibri"/>
      <family val="2"/>
      <scheme val="minor"/>
    </font>
    <font>
      <b/>
      <sz val="9"/>
      <name val="Arial"/>
      <family val="2"/>
    </font>
    <font>
      <b/>
      <i/>
      <sz val="10"/>
      <color rgb="FFFF0000"/>
      <name val="Times New Roman"/>
      <family val="1"/>
    </font>
    <font>
      <b/>
      <sz val="10"/>
      <color rgb="FFFF0000"/>
      <name val="Arial"/>
      <family val="2"/>
    </font>
    <font>
      <sz val="10"/>
      <color rgb="FFFF0000"/>
      <name val="Arial"/>
      <family val="2"/>
    </font>
    <font>
      <b/>
      <sz val="11"/>
      <color rgb="FFFF0000"/>
      <name val="Calibri"/>
      <family val="2"/>
      <scheme val="minor"/>
    </font>
    <font>
      <b/>
      <i/>
      <u/>
      <sz val="11"/>
      <color rgb="FFFF0000"/>
      <name val="Calibri"/>
      <family val="2"/>
      <scheme val="minor"/>
    </font>
    <font>
      <sz val="9"/>
      <color indexed="8"/>
      <name val="Arial"/>
      <family val="2"/>
    </font>
    <font>
      <i/>
      <sz val="9"/>
      <color theme="1"/>
      <name val="Arial"/>
      <family val="2"/>
    </font>
  </fonts>
  <fills count="10">
    <fill>
      <patternFill patternType="none"/>
    </fill>
    <fill>
      <patternFill patternType="gray125"/>
    </fill>
    <fill>
      <patternFill patternType="solid">
        <fgColor indexed="26"/>
      </patternFill>
    </fill>
    <fill>
      <patternFill patternType="solid">
        <fgColor rgb="FF92D050"/>
        <bgColor indexed="64"/>
      </patternFill>
    </fill>
    <fill>
      <patternFill patternType="solid">
        <fgColor rgb="FFFF000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CCFFCC"/>
        <bgColor indexed="64"/>
      </patternFill>
    </fill>
    <fill>
      <patternFill patternType="solid">
        <fgColor theme="0" tint="-0.34998626667073579"/>
        <bgColor indexed="64"/>
      </patternFill>
    </fill>
    <fill>
      <patternFill patternType="solid">
        <fgColor theme="7" tint="0.59999389629810485"/>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style="medium">
        <color indexed="64"/>
      </bottom>
      <diagonal/>
    </border>
    <border>
      <left/>
      <right/>
      <top/>
      <bottom style="medium">
        <color indexed="64"/>
      </bottom>
      <diagonal/>
    </border>
    <border>
      <left/>
      <right/>
      <top style="thin">
        <color indexed="64"/>
      </top>
      <bottom style="double">
        <color indexed="64"/>
      </bottom>
      <diagonal/>
    </border>
    <border>
      <left/>
      <right/>
      <top style="medium">
        <color indexed="64"/>
      </top>
      <bottom style="double">
        <color indexed="64"/>
      </bottom>
      <diagonal/>
    </border>
    <border>
      <left style="thin">
        <color indexed="64"/>
      </left>
      <right style="thin">
        <color indexed="64"/>
      </right>
      <top style="medium">
        <color indexed="64"/>
      </top>
      <bottom/>
      <diagonal/>
    </border>
    <border>
      <left style="medium">
        <color indexed="64"/>
      </left>
      <right/>
      <top style="medium">
        <color indexed="64"/>
      </top>
      <bottom style="thin">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thin">
        <color auto="1"/>
      </left>
      <right/>
      <top style="thin">
        <color auto="1"/>
      </top>
      <bottom/>
      <diagonal/>
    </border>
    <border>
      <left style="thin">
        <color auto="1"/>
      </left>
      <right/>
      <top/>
      <bottom/>
      <diagonal/>
    </border>
  </borders>
  <cellStyleXfs count="38">
    <xf numFmtId="0" fontId="0" fillId="0" borderId="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8" fontId="3" fillId="0" borderId="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9" fontId="2" fillId="0" borderId="0" applyFont="0" applyFill="0" applyBorder="0" applyAlignment="0" applyProtection="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37" fontId="5"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2" borderId="0" applyNumberFormat="0" applyFont="0" applyBorder="0" applyAlignment="0" applyProtection="0"/>
    <xf numFmtId="0" fontId="2" fillId="0" borderId="0"/>
    <xf numFmtId="0" fontId="2" fillId="0" borderId="0"/>
    <xf numFmtId="170" fontId="2" fillId="0" borderId="0"/>
    <xf numFmtId="43" fontId="1" fillId="0" borderId="0" applyFont="0" applyFill="0" applyBorder="0" applyAlignment="0" applyProtection="0"/>
    <xf numFmtId="0" fontId="17" fillId="0" borderId="0" applyNumberFormat="0" applyFill="0" applyBorder="0" applyAlignment="0" applyProtection="0">
      <alignment vertical="top"/>
      <protection locked="0"/>
    </xf>
    <xf numFmtId="43" fontId="21" fillId="0" borderId="0" applyFont="0" applyFill="0" applyBorder="0" applyAlignment="0" applyProtection="0"/>
    <xf numFmtId="9" fontId="1" fillId="0" borderId="0" applyFont="0" applyFill="0" applyBorder="0" applyAlignment="0" applyProtection="0"/>
    <xf numFmtId="0" fontId="23" fillId="0" borderId="0"/>
    <xf numFmtId="0" fontId="28" fillId="0" borderId="0" applyNumberFormat="0" applyFill="0" applyBorder="0" applyAlignment="0" applyProtection="0"/>
    <xf numFmtId="0" fontId="1" fillId="0" borderId="0"/>
  </cellStyleXfs>
  <cellXfs count="486">
    <xf numFmtId="0" fontId="0" fillId="0" borderId="0" xfId="0"/>
    <xf numFmtId="0" fontId="8" fillId="0" borderId="0" xfId="0" applyFont="1"/>
    <xf numFmtId="0" fontId="9" fillId="0" borderId="0" xfId="0" applyFont="1"/>
    <xf numFmtId="14" fontId="0" fillId="0" borderId="0" xfId="0" applyNumberFormat="1"/>
    <xf numFmtId="1" fontId="0" fillId="0" borderId="0" xfId="0" applyNumberFormat="1"/>
    <xf numFmtId="1" fontId="8" fillId="0" borderId="0" xfId="0" applyNumberFormat="1" applyFont="1"/>
    <xf numFmtId="1" fontId="0" fillId="0" borderId="12" xfId="0" applyNumberFormat="1" applyBorder="1"/>
    <xf numFmtId="1" fontId="8" fillId="0" borderId="12" xfId="0" applyNumberFormat="1" applyFont="1" applyBorder="1"/>
    <xf numFmtId="0" fontId="10" fillId="0" borderId="0" xfId="0" applyFont="1"/>
    <xf numFmtId="1" fontId="0" fillId="0" borderId="12" xfId="0" applyNumberFormat="1" applyBorder="1" applyAlignment="1">
      <alignment wrapText="1"/>
    </xf>
    <xf numFmtId="1" fontId="8" fillId="0" borderId="13" xfId="0" applyNumberFormat="1" applyFont="1" applyBorder="1"/>
    <xf numFmtId="1" fontId="8" fillId="0" borderId="14" xfId="0" applyNumberFormat="1" applyFont="1" applyBorder="1"/>
    <xf numFmtId="1" fontId="8" fillId="0" borderId="15" xfId="0" applyNumberFormat="1" applyFont="1" applyBorder="1"/>
    <xf numFmtId="1" fontId="8" fillId="0" borderId="16" xfId="0" applyNumberFormat="1" applyFont="1" applyBorder="1"/>
    <xf numFmtId="1" fontId="8" fillId="0" borderId="6" xfId="0" applyNumberFormat="1" applyFont="1" applyBorder="1"/>
    <xf numFmtId="1" fontId="0" fillId="0" borderId="17" xfId="0" applyNumberFormat="1" applyBorder="1"/>
    <xf numFmtId="0" fontId="11" fillId="0" borderId="0" xfId="28" applyFont="1"/>
    <xf numFmtId="2" fontId="0" fillId="0" borderId="0" xfId="0" applyNumberFormat="1"/>
    <xf numFmtId="1" fontId="0" fillId="0" borderId="13" xfId="0" applyNumberFormat="1" applyBorder="1"/>
    <xf numFmtId="1" fontId="0" fillId="4" borderId="0" xfId="0" applyNumberFormat="1" applyFill="1"/>
    <xf numFmtId="1" fontId="8" fillId="0" borderId="18" xfId="0" applyNumberFormat="1" applyFont="1" applyBorder="1"/>
    <xf numFmtId="1" fontId="0" fillId="0" borderId="6" xfId="0" applyNumberFormat="1" applyBorder="1"/>
    <xf numFmtId="1" fontId="0" fillId="0" borderId="18" xfId="0" applyNumberFormat="1" applyBorder="1"/>
    <xf numFmtId="1" fontId="12" fillId="0" borderId="0" xfId="30" applyNumberFormat="1" applyFont="1"/>
    <xf numFmtId="1" fontId="0" fillId="0" borderId="14" xfId="0" applyNumberFormat="1" applyBorder="1"/>
    <xf numFmtId="0" fontId="9" fillId="3" borderId="0" xfId="0" applyFont="1" applyFill="1"/>
    <xf numFmtId="0" fontId="0" fillId="3" borderId="0" xfId="0" applyFill="1"/>
    <xf numFmtId="1" fontId="0" fillId="3" borderId="0" xfId="0" applyNumberFormat="1" applyFill="1"/>
    <xf numFmtId="1" fontId="0" fillId="3" borderId="12" xfId="0" applyNumberFormat="1" applyFill="1" applyBorder="1"/>
    <xf numFmtId="0" fontId="8" fillId="3" borderId="0" xfId="0" applyFont="1" applyFill="1"/>
    <xf numFmtId="1" fontId="8" fillId="3" borderId="15" xfId="0" applyNumberFormat="1" applyFont="1" applyFill="1" applyBorder="1"/>
    <xf numFmtId="43" fontId="14" fillId="0" borderId="0" xfId="31" applyFont="1" applyFill="1" applyBorder="1"/>
    <xf numFmtId="171" fontId="14" fillId="0" borderId="0" xfId="31" applyNumberFormat="1" applyFont="1" applyFill="1" applyBorder="1"/>
    <xf numFmtId="0" fontId="14" fillId="0" borderId="0" xfId="0" applyFont="1"/>
    <xf numFmtId="0" fontId="13" fillId="0" borderId="0" xfId="0" applyFont="1" applyAlignment="1">
      <alignment wrapText="1"/>
    </xf>
    <xf numFmtId="0" fontId="13" fillId="0" borderId="0" xfId="0" applyFont="1"/>
    <xf numFmtId="43" fontId="13" fillId="0" borderId="0" xfId="31" applyFont="1" applyFill="1" applyBorder="1" applyAlignment="1"/>
    <xf numFmtId="164" fontId="13" fillId="0" borderId="0" xfId="1" applyFont="1" applyFill="1" applyBorder="1" applyAlignment="1"/>
    <xf numFmtId="171" fontId="13" fillId="0" borderId="0" xfId="31" applyNumberFormat="1" applyFont="1" applyFill="1" applyBorder="1" applyAlignment="1"/>
    <xf numFmtId="14" fontId="13" fillId="0" borderId="0" xfId="1" applyNumberFormat="1" applyFont="1" applyFill="1" applyBorder="1" applyAlignment="1"/>
    <xf numFmtId="171" fontId="2" fillId="0" borderId="0" xfId="31" applyNumberFormat="1" applyFont="1" applyFill="1"/>
    <xf numFmtId="171" fontId="14" fillId="0" borderId="0" xfId="31" applyNumberFormat="1" applyFont="1" applyFill="1"/>
    <xf numFmtId="0" fontId="14" fillId="0" borderId="0" xfId="0" applyFont="1" applyAlignment="1">
      <alignment vertical="top"/>
    </xf>
    <xf numFmtId="0" fontId="13" fillId="0" borderId="0" xfId="0" applyFont="1" applyAlignment="1">
      <alignment horizontal="left" wrapText="1"/>
    </xf>
    <xf numFmtId="0" fontId="13" fillId="0" borderId="0" xfId="0" applyFont="1" applyAlignment="1">
      <alignment horizontal="center" vertical="center" wrapText="1"/>
    </xf>
    <xf numFmtId="43" fontId="13" fillId="0" borderId="0" xfId="31" applyFont="1" applyFill="1" applyBorder="1" applyAlignment="1">
      <alignment horizontal="center" vertical="center" wrapText="1"/>
    </xf>
    <xf numFmtId="164" fontId="13" fillId="0" borderId="0" xfId="1" applyFont="1" applyFill="1" applyBorder="1" applyAlignment="1">
      <alignment horizontal="center" vertical="center" wrapText="1"/>
    </xf>
    <xf numFmtId="171" fontId="13" fillId="0" borderId="0" xfId="31" applyNumberFormat="1" applyFont="1" applyFill="1" applyBorder="1" applyAlignment="1">
      <alignment horizontal="center" vertical="center" wrapText="1"/>
    </xf>
    <xf numFmtId="171" fontId="15" fillId="0" borderId="0" xfId="31" applyNumberFormat="1" applyFont="1" applyFill="1" applyBorder="1" applyAlignment="1">
      <alignment horizontal="center" vertical="center" wrapText="1"/>
    </xf>
    <xf numFmtId="43" fontId="14" fillId="0" borderId="0" xfId="31" applyFont="1" applyFill="1" applyBorder="1" applyAlignment="1">
      <alignment wrapText="1"/>
    </xf>
    <xf numFmtId="171" fontId="14" fillId="0" borderId="0" xfId="31" applyNumberFormat="1" applyFont="1" applyFill="1" applyBorder="1" applyAlignment="1">
      <alignment wrapText="1"/>
    </xf>
    <xf numFmtId="0" fontId="14" fillId="0" borderId="0" xfId="0" applyFont="1" applyAlignment="1">
      <alignment wrapText="1"/>
    </xf>
    <xf numFmtId="0" fontId="2" fillId="0" borderId="1" xfId="28" applyBorder="1"/>
    <xf numFmtId="14" fontId="14" fillId="0" borderId="1" xfId="0" applyNumberFormat="1" applyFont="1" applyBorder="1" applyAlignment="1">
      <alignment horizontal="center" vertical="center"/>
    </xf>
    <xf numFmtId="171" fontId="2" fillId="0" borderId="1" xfId="31" applyNumberFormat="1" applyFont="1" applyFill="1" applyBorder="1"/>
    <xf numFmtId="171" fontId="14" fillId="0" borderId="1" xfId="1" applyNumberFormat="1" applyFont="1" applyFill="1" applyBorder="1" applyAlignment="1">
      <alignment horizontal="right" wrapText="1"/>
    </xf>
    <xf numFmtId="171" fontId="2" fillId="0" borderId="1" xfId="31" applyNumberFormat="1" applyFont="1" applyFill="1" applyBorder="1" applyAlignment="1">
      <alignment horizontal="center" vertical="center"/>
    </xf>
    <xf numFmtId="171" fontId="14" fillId="0" borderId="1" xfId="31" applyNumberFormat="1" applyFont="1" applyFill="1" applyBorder="1" applyAlignment="1">
      <alignment horizontal="center" vertical="center"/>
    </xf>
    <xf numFmtId="171" fontId="14" fillId="0" borderId="1" xfId="31" applyNumberFormat="1" applyFont="1" applyFill="1" applyBorder="1" applyAlignment="1">
      <alignment horizontal="right" wrapText="1"/>
    </xf>
    <xf numFmtId="43" fontId="16" fillId="0" borderId="0" xfId="31" applyFont="1" applyFill="1" applyBorder="1" applyAlignment="1" applyProtection="1"/>
    <xf numFmtId="171" fontId="14" fillId="0" borderId="1" xfId="31" applyNumberFormat="1" applyFont="1" applyFill="1" applyBorder="1" applyAlignment="1">
      <alignment horizontal="right"/>
    </xf>
    <xf numFmtId="0" fontId="13" fillId="0" borderId="1" xfId="0" applyFont="1" applyBorder="1" applyAlignment="1">
      <alignment vertical="center"/>
    </xf>
    <xf numFmtId="164" fontId="13" fillId="0" borderId="1" xfId="1" applyFont="1" applyFill="1" applyBorder="1" applyAlignment="1">
      <alignment horizontal="center" vertical="center"/>
    </xf>
    <xf numFmtId="171" fontId="13" fillId="0" borderId="1" xfId="31" applyNumberFormat="1" applyFont="1" applyFill="1" applyBorder="1" applyAlignment="1">
      <alignment horizontal="center" vertical="center" wrapText="1"/>
    </xf>
    <xf numFmtId="171" fontId="13" fillId="0" borderId="1" xfId="1" applyNumberFormat="1" applyFont="1" applyFill="1" applyBorder="1" applyAlignment="1">
      <alignment horizontal="right" vertical="center" wrapText="1"/>
    </xf>
    <xf numFmtId="171" fontId="13" fillId="0" borderId="1" xfId="31" applyNumberFormat="1" applyFont="1" applyFill="1" applyBorder="1" applyAlignment="1">
      <alignment horizontal="right" wrapText="1"/>
    </xf>
    <xf numFmtId="1" fontId="13" fillId="0" borderId="1" xfId="0" applyNumberFormat="1" applyFont="1" applyBorder="1" applyAlignment="1">
      <alignment horizontal="right"/>
    </xf>
    <xf numFmtId="171" fontId="13" fillId="0" borderId="1" xfId="31" applyNumberFormat="1" applyFont="1" applyFill="1" applyBorder="1" applyAlignment="1">
      <alignment horizontal="right"/>
    </xf>
    <xf numFmtId="171" fontId="13" fillId="0" borderId="0" xfId="31" applyNumberFormat="1" applyFont="1" applyFill="1" applyBorder="1"/>
    <xf numFmtId="0" fontId="14" fillId="0" borderId="0" xfId="0" applyFont="1" applyAlignment="1">
      <alignment vertical="center"/>
    </xf>
    <xf numFmtId="0" fontId="14" fillId="0" borderId="0" xfId="0" applyFont="1" applyAlignment="1">
      <alignment horizontal="center" vertical="center"/>
    </xf>
    <xf numFmtId="171" fontId="14" fillId="0" borderId="0" xfId="31" applyNumberFormat="1" applyFont="1" applyFill="1" applyBorder="1" applyAlignment="1">
      <alignment horizontal="center" vertical="center" wrapText="1"/>
    </xf>
    <xf numFmtId="171" fontId="14" fillId="0" borderId="0" xfId="0" applyNumberFormat="1" applyFont="1" applyAlignment="1">
      <alignment horizontal="right" vertical="center" wrapText="1"/>
    </xf>
    <xf numFmtId="171" fontId="2" fillId="0" borderId="0" xfId="31" applyNumberFormat="1" applyFont="1" applyFill="1" applyBorder="1" applyAlignment="1">
      <alignment horizontal="center" vertical="center" wrapText="1"/>
    </xf>
    <xf numFmtId="164" fontId="14" fillId="0" borderId="0" xfId="1" applyFont="1" applyFill="1" applyBorder="1" applyAlignment="1">
      <alignment horizontal="center" vertical="center"/>
    </xf>
    <xf numFmtId="171" fontId="14" fillId="0" borderId="0" xfId="31" applyNumberFormat="1" applyFont="1" applyFill="1" applyBorder="1" applyAlignment="1">
      <alignment horizontal="center" vertical="center"/>
    </xf>
    <xf numFmtId="0" fontId="2" fillId="0" borderId="7" xfId="28" applyBorder="1"/>
    <xf numFmtId="0" fontId="14" fillId="0" borderId="1" xfId="0" applyFont="1" applyBorder="1" applyAlignment="1">
      <alignment horizontal="center" vertical="center"/>
    </xf>
    <xf numFmtId="171" fontId="14" fillId="0" borderId="1" xfId="0" applyNumberFormat="1" applyFont="1" applyBorder="1" applyAlignment="1">
      <alignment horizontal="right" vertical="center" wrapText="1"/>
    </xf>
    <xf numFmtId="171" fontId="2" fillId="0" borderId="1" xfId="31" applyNumberFormat="1" applyFont="1" applyFill="1" applyBorder="1" applyAlignment="1">
      <alignment horizontal="center" vertical="center" wrapText="1"/>
    </xf>
    <xf numFmtId="171" fontId="14" fillId="0" borderId="1" xfId="31" applyNumberFormat="1" applyFont="1" applyFill="1" applyBorder="1" applyAlignment="1">
      <alignment horizontal="center" vertical="center" wrapText="1"/>
    </xf>
    <xf numFmtId="171" fontId="13" fillId="0" borderId="1" xfId="0" applyNumberFormat="1" applyFont="1" applyBorder="1" applyAlignment="1">
      <alignment horizontal="right" vertical="center" wrapText="1"/>
    </xf>
    <xf numFmtId="43" fontId="14" fillId="0" borderId="0" xfId="31" applyFont="1" applyFill="1" applyBorder="1" applyAlignment="1">
      <alignment horizontal="center" vertical="center" wrapText="1"/>
    </xf>
    <xf numFmtId="0" fontId="14" fillId="0" borderId="0" xfId="0" applyFont="1" applyAlignment="1">
      <alignment horizontal="right" vertical="center" wrapText="1"/>
    </xf>
    <xf numFmtId="43" fontId="2" fillId="0" borderId="0" xfId="31" applyFont="1" applyFill="1" applyBorder="1" applyAlignment="1">
      <alignment horizontal="center" vertical="center" wrapText="1"/>
    </xf>
    <xf numFmtId="165" fontId="14" fillId="0" borderId="1" xfId="1" applyNumberFormat="1" applyFont="1" applyFill="1" applyBorder="1" applyAlignment="1">
      <alignment horizontal="right" vertical="center" wrapText="1"/>
    </xf>
    <xf numFmtId="171" fontId="14" fillId="0" borderId="1" xfId="31" applyNumberFormat="1" applyFont="1" applyFill="1" applyBorder="1"/>
    <xf numFmtId="0" fontId="13" fillId="0" borderId="1" xfId="0" applyFont="1" applyBorder="1" applyAlignment="1">
      <alignment vertical="top"/>
    </xf>
    <xf numFmtId="165" fontId="13" fillId="0" borderId="1" xfId="1" applyNumberFormat="1" applyFont="1" applyFill="1" applyBorder="1" applyAlignment="1">
      <alignment horizontal="right" vertical="center" wrapText="1"/>
    </xf>
    <xf numFmtId="171" fontId="2" fillId="0" borderId="2" xfId="31" applyNumberFormat="1" applyFont="1" applyFill="1" applyBorder="1"/>
    <xf numFmtId="0" fontId="2" fillId="0" borderId="1" xfId="29" applyBorder="1"/>
    <xf numFmtId="171" fontId="14" fillId="0" borderId="4" xfId="31" applyNumberFormat="1" applyFont="1" applyFill="1" applyBorder="1" applyAlignment="1">
      <alignment horizontal="center" vertical="center" wrapText="1"/>
    </xf>
    <xf numFmtId="0" fontId="2" fillId="0" borderId="0" xfId="28"/>
    <xf numFmtId="171" fontId="14" fillId="0" borderId="8" xfId="31" applyNumberFormat="1" applyFont="1" applyFill="1" applyBorder="1"/>
    <xf numFmtId="171" fontId="2" fillId="0" borderId="9" xfId="31" applyNumberFormat="1" applyFont="1" applyFill="1" applyBorder="1"/>
    <xf numFmtId="171" fontId="2" fillId="0" borderId="8" xfId="31" applyNumberFormat="1" applyFont="1" applyFill="1" applyBorder="1"/>
    <xf numFmtId="0" fontId="14" fillId="0" borderId="0" xfId="0" applyFont="1" applyAlignment="1">
      <alignment horizontal="center" vertical="center" wrapText="1"/>
    </xf>
    <xf numFmtId="0" fontId="2" fillId="0" borderId="10" xfId="28" applyBorder="1"/>
    <xf numFmtId="14" fontId="14" fillId="0" borderId="1" xfId="1" applyNumberFormat="1" applyFont="1" applyFill="1" applyBorder="1" applyAlignment="1">
      <alignment horizontal="center" vertical="center"/>
    </xf>
    <xf numFmtId="171" fontId="2" fillId="0" borderId="10" xfId="31" applyNumberFormat="1" applyFont="1" applyFill="1" applyBorder="1"/>
    <xf numFmtId="14" fontId="14" fillId="0" borderId="1" xfId="1" applyNumberFormat="1" applyFont="1" applyFill="1" applyBorder="1" applyAlignment="1">
      <alignment horizontal="right" wrapText="1"/>
    </xf>
    <xf numFmtId="171" fontId="14" fillId="0" borderId="0" xfId="0" applyNumberFormat="1" applyFont="1"/>
    <xf numFmtId="171" fontId="2" fillId="0" borderId="0" xfId="31" applyNumberFormat="1" applyFont="1" applyFill="1" applyBorder="1"/>
    <xf numFmtId="171" fontId="13" fillId="0" borderId="1" xfId="31" applyNumberFormat="1" applyFont="1" applyFill="1" applyBorder="1" applyAlignment="1">
      <alignment vertical="center" wrapText="1"/>
    </xf>
    <xf numFmtId="0" fontId="13" fillId="0" borderId="6" xfId="0" applyFont="1" applyBorder="1" applyAlignment="1">
      <alignment wrapText="1"/>
    </xf>
    <xf numFmtId="43" fontId="2" fillId="0" borderId="0" xfId="31" applyFont="1" applyFill="1" applyBorder="1" applyAlignment="1">
      <alignment horizontal="center" vertical="center"/>
    </xf>
    <xf numFmtId="171" fontId="2" fillId="0" borderId="0" xfId="31" applyNumberFormat="1" applyFont="1" applyFill="1" applyBorder="1" applyAlignment="1">
      <alignment horizontal="center" vertical="center"/>
    </xf>
    <xf numFmtId="14" fontId="14" fillId="0" borderId="1" xfId="0" applyNumberFormat="1" applyFont="1" applyBorder="1" applyAlignment="1">
      <alignment horizontal="center"/>
    </xf>
    <xf numFmtId="171" fontId="14" fillId="0" borderId="1" xfId="0" applyNumberFormat="1" applyFont="1" applyBorder="1"/>
    <xf numFmtId="171" fontId="2" fillId="0" borderId="11" xfId="31" applyNumberFormat="1" applyFont="1" applyFill="1" applyBorder="1"/>
    <xf numFmtId="171" fontId="13" fillId="0" borderId="1" xfId="1" applyNumberFormat="1" applyFont="1" applyFill="1" applyBorder="1" applyAlignment="1">
      <alignment vertical="center" wrapText="1"/>
    </xf>
    <xf numFmtId="164" fontId="14" fillId="0" borderId="0" xfId="1" applyFont="1" applyFill="1" applyBorder="1" applyAlignment="1">
      <alignment horizontal="center" vertical="center" wrapText="1"/>
    </xf>
    <xf numFmtId="164" fontId="14" fillId="0" borderId="0" xfId="1" applyFont="1" applyFill="1" applyBorder="1" applyAlignment="1">
      <alignment vertical="center" wrapText="1"/>
    </xf>
    <xf numFmtId="43" fontId="14" fillId="0" borderId="0" xfId="31" applyFont="1" applyFill="1" applyBorder="1" applyAlignment="1">
      <alignment vertical="center" wrapText="1"/>
    </xf>
    <xf numFmtId="171" fontId="14" fillId="0" borderId="0" xfId="31" applyNumberFormat="1" applyFont="1" applyFill="1" applyBorder="1" applyAlignment="1">
      <alignment vertical="center" wrapText="1"/>
    </xf>
    <xf numFmtId="0" fontId="2" fillId="0" borderId="4" xfId="28" applyBorder="1"/>
    <xf numFmtId="171" fontId="2" fillId="0" borderId="4" xfId="31" applyNumberFormat="1" applyFont="1" applyFill="1" applyBorder="1"/>
    <xf numFmtId="171" fontId="14" fillId="0" borderId="1" xfId="1" applyNumberFormat="1" applyFont="1" applyFill="1" applyBorder="1" applyAlignment="1">
      <alignment vertical="center" wrapText="1"/>
    </xf>
    <xf numFmtId="171" fontId="2" fillId="0" borderId="7" xfId="31" applyNumberFormat="1" applyFont="1" applyFill="1" applyBorder="1"/>
    <xf numFmtId="171" fontId="14" fillId="0" borderId="1" xfId="31" applyNumberFormat="1" applyFont="1" applyFill="1" applyBorder="1" applyAlignment="1">
      <alignment vertical="center" wrapText="1"/>
    </xf>
    <xf numFmtId="14" fontId="14" fillId="0" borderId="0" xfId="0" applyNumberFormat="1" applyFont="1" applyAlignment="1">
      <alignment horizontal="center" vertical="center"/>
    </xf>
    <xf numFmtId="14" fontId="14" fillId="0" borderId="1" xfId="1" applyNumberFormat="1" applyFont="1" applyFill="1" applyBorder="1" applyAlignment="1">
      <alignment horizontal="center" vertical="center" wrapText="1"/>
    </xf>
    <xf numFmtId="171" fontId="14" fillId="0" borderId="3" xfId="0" applyNumberFormat="1" applyFont="1" applyBorder="1" applyAlignment="1">
      <alignment horizontal="right" vertical="center" wrapText="1"/>
    </xf>
    <xf numFmtId="164" fontId="13" fillId="0" borderId="1" xfId="1" applyFont="1" applyFill="1" applyBorder="1" applyAlignment="1">
      <alignment horizontal="center" vertical="center" wrapText="1"/>
    </xf>
    <xf numFmtId="171" fontId="15" fillId="0" borderId="1" xfId="31" applyNumberFormat="1" applyFont="1" applyFill="1" applyBorder="1" applyAlignment="1">
      <alignment horizontal="center" vertical="center"/>
    </xf>
    <xf numFmtId="164" fontId="15" fillId="0" borderId="1" xfId="1" applyFont="1" applyFill="1" applyBorder="1" applyAlignment="1">
      <alignment horizontal="center" vertical="center"/>
    </xf>
    <xf numFmtId="171" fontId="14" fillId="0" borderId="1" xfId="0" applyNumberFormat="1" applyFont="1" applyBorder="1" applyAlignment="1">
      <alignment horizontal="right"/>
    </xf>
    <xf numFmtId="0" fontId="13" fillId="0" borderId="0" xfId="0" applyFont="1" applyAlignment="1">
      <alignment vertical="center" wrapText="1"/>
    </xf>
    <xf numFmtId="0" fontId="13" fillId="0" borderId="0" xfId="0" applyFont="1" applyAlignment="1">
      <alignment vertical="center"/>
    </xf>
    <xf numFmtId="164" fontId="13" fillId="0" borderId="0" xfId="1" applyFont="1" applyFill="1" applyBorder="1" applyAlignment="1">
      <alignment horizontal="right" vertical="center" wrapText="1"/>
    </xf>
    <xf numFmtId="171" fontId="15" fillId="0" borderId="0" xfId="31" applyNumberFormat="1" applyFont="1" applyFill="1" applyBorder="1" applyAlignment="1">
      <alignment horizontal="center" vertical="center"/>
    </xf>
    <xf numFmtId="164" fontId="15" fillId="0" borderId="0" xfId="1" applyFont="1" applyFill="1" applyBorder="1" applyAlignment="1">
      <alignment horizontal="center" vertical="center"/>
    </xf>
    <xf numFmtId="0" fontId="2" fillId="0" borderId="2" xfId="28" applyBorder="1"/>
    <xf numFmtId="0" fontId="14" fillId="0" borderId="1" xfId="0" applyFont="1" applyBorder="1" applyAlignment="1">
      <alignment horizontal="center"/>
    </xf>
    <xf numFmtId="164" fontId="14" fillId="0" borderId="1" xfId="1" applyFont="1" applyFill="1" applyBorder="1"/>
    <xf numFmtId="171" fontId="13" fillId="0" borderId="0" xfId="31" applyNumberFormat="1" applyFont="1" applyFill="1" applyBorder="1" applyAlignment="1">
      <alignment wrapText="1"/>
    </xf>
    <xf numFmtId="171" fontId="14" fillId="0" borderId="0" xfId="31" applyNumberFormat="1" applyFont="1" applyFill="1" applyAlignment="1">
      <alignment horizontal="center"/>
    </xf>
    <xf numFmtId="0" fontId="14" fillId="0" borderId="0" xfId="0" applyFont="1" applyAlignment="1">
      <alignment horizontal="center"/>
    </xf>
    <xf numFmtId="43" fontId="14" fillId="0" borderId="0" xfId="31" applyFont="1" applyFill="1"/>
    <xf numFmtId="164" fontId="14" fillId="0" borderId="0" xfId="1" applyFont="1" applyFill="1"/>
    <xf numFmtId="43" fontId="17" fillId="0" borderId="0" xfId="32" applyNumberFormat="1" applyFill="1" applyBorder="1" applyAlignment="1" applyProtection="1"/>
    <xf numFmtId="43" fontId="0" fillId="0" borderId="0" xfId="31" applyFont="1"/>
    <xf numFmtId="0" fontId="8" fillId="0" borderId="17" xfId="0" applyFont="1" applyBorder="1"/>
    <xf numFmtId="43" fontId="8" fillId="0" borderId="17" xfId="31" applyFont="1" applyBorder="1"/>
    <xf numFmtId="0" fontId="0" fillId="0" borderId="0" xfId="0" applyAlignment="1">
      <alignment horizontal="center"/>
    </xf>
    <xf numFmtId="0" fontId="0" fillId="0" borderId="0" xfId="0" applyAlignment="1">
      <alignment horizontal="left"/>
    </xf>
    <xf numFmtId="4" fontId="0" fillId="0" borderId="0" xfId="0" applyNumberFormat="1" applyAlignment="1">
      <alignment horizontal="center"/>
    </xf>
    <xf numFmtId="4" fontId="0" fillId="0" borderId="0" xfId="0" applyNumberFormat="1" applyAlignment="1">
      <alignment horizontal="left"/>
    </xf>
    <xf numFmtId="43" fontId="0" fillId="0" borderId="0" xfId="31" applyFont="1" applyAlignment="1">
      <alignment horizontal="center"/>
    </xf>
    <xf numFmtId="43" fontId="0" fillId="0" borderId="0" xfId="31" applyFont="1" applyAlignment="1"/>
    <xf numFmtId="2" fontId="14" fillId="0" borderId="1" xfId="31" applyNumberFormat="1" applyFont="1" applyFill="1" applyBorder="1" applyAlignment="1">
      <alignment horizontal="right"/>
    </xf>
    <xf numFmtId="15" fontId="14" fillId="0" borderId="0" xfId="0" applyNumberFormat="1" applyFont="1"/>
    <xf numFmtId="4" fontId="14" fillId="0" borderId="0" xfId="0" applyNumberFormat="1" applyFont="1"/>
    <xf numFmtId="0" fontId="13" fillId="0" borderId="0" xfId="0" applyFont="1" applyAlignment="1">
      <alignment horizontal="center"/>
    </xf>
    <xf numFmtId="0" fontId="13" fillId="0" borderId="1" xfId="0" applyFont="1" applyBorder="1" applyAlignment="1">
      <alignment vertical="center" wrapText="1"/>
    </xf>
    <xf numFmtId="0" fontId="20" fillId="0" borderId="5" xfId="0" applyFont="1" applyBorder="1" applyAlignment="1">
      <alignment horizontal="left"/>
    </xf>
    <xf numFmtId="164" fontId="19" fillId="0" borderId="5" xfId="1" applyFont="1" applyFill="1" applyBorder="1" applyAlignment="1">
      <alignment horizontal="right"/>
    </xf>
    <xf numFmtId="0" fontId="20" fillId="0" borderId="5" xfId="0" applyFont="1" applyBorder="1"/>
    <xf numFmtId="43" fontId="0" fillId="0" borderId="12" xfId="31" applyFont="1" applyBorder="1"/>
    <xf numFmtId="43" fontId="0" fillId="0" borderId="0" xfId="31" applyFont="1" applyBorder="1"/>
    <xf numFmtId="43" fontId="8" fillId="0" borderId="12" xfId="31" applyFont="1" applyBorder="1"/>
    <xf numFmtId="43" fontId="8" fillId="0" borderId="6" xfId="31" applyFont="1" applyBorder="1"/>
    <xf numFmtId="43" fontId="8" fillId="0" borderId="0" xfId="31" applyFont="1" applyBorder="1"/>
    <xf numFmtId="0" fontId="22" fillId="0" borderId="0" xfId="0" applyFont="1"/>
    <xf numFmtId="49" fontId="24" fillId="0" borderId="0" xfId="35" applyNumberFormat="1" applyFont="1"/>
    <xf numFmtId="0" fontId="26" fillId="6" borderId="20" xfId="35" applyFont="1" applyFill="1" applyBorder="1"/>
    <xf numFmtId="0" fontId="0" fillId="0" borderId="1" xfId="0" applyBorder="1" applyAlignment="1">
      <alignment wrapText="1"/>
    </xf>
    <xf numFmtId="0" fontId="0" fillId="0" borderId="1" xfId="0" applyBorder="1"/>
    <xf numFmtId="0" fontId="0" fillId="0" borderId="0" xfId="0" applyAlignment="1">
      <alignment wrapText="1"/>
    </xf>
    <xf numFmtId="0" fontId="0" fillId="0" borderId="16" xfId="0" applyBorder="1"/>
    <xf numFmtId="0" fontId="0" fillId="0" borderId="26" xfId="0" applyBorder="1"/>
    <xf numFmtId="165" fontId="0" fillId="0" borderId="0" xfId="1" applyNumberFormat="1" applyFont="1" applyBorder="1"/>
    <xf numFmtId="0" fontId="0" fillId="0" borderId="21" xfId="0" applyBorder="1"/>
    <xf numFmtId="14" fontId="0" fillId="0" borderId="16" xfId="0" applyNumberFormat="1" applyBorder="1"/>
    <xf numFmtId="165" fontId="0" fillId="0" borderId="16" xfId="1" applyNumberFormat="1" applyFont="1" applyBorder="1"/>
    <xf numFmtId="165" fontId="0" fillId="0" borderId="0" xfId="0" applyNumberFormat="1"/>
    <xf numFmtId="165" fontId="0" fillId="0" borderId="27" xfId="1" applyNumberFormat="1" applyFont="1" applyBorder="1"/>
    <xf numFmtId="165" fontId="0" fillId="0" borderId="22" xfId="1" applyNumberFormat="1" applyFont="1" applyBorder="1"/>
    <xf numFmtId="0" fontId="0" fillId="0" borderId="0" xfId="0" applyAlignment="1">
      <alignment horizontal="center" vertical="center"/>
    </xf>
    <xf numFmtId="1" fontId="0" fillId="0" borderId="0" xfId="0" applyNumberFormat="1" applyAlignment="1">
      <alignment horizontal="center" vertical="center"/>
    </xf>
    <xf numFmtId="1" fontId="15" fillId="0" borderId="0" xfId="0" applyNumberFormat="1" applyFont="1" applyAlignment="1">
      <alignment horizontal="center" vertical="center"/>
    </xf>
    <xf numFmtId="9" fontId="0" fillId="0" borderId="0" xfId="34" applyFont="1" applyAlignment="1">
      <alignment horizontal="center" vertical="center"/>
    </xf>
    <xf numFmtId="9" fontId="15" fillId="0" borderId="0" xfId="34" applyFont="1"/>
    <xf numFmtId="0" fontId="30" fillId="0" borderId="0" xfId="0" applyFont="1"/>
    <xf numFmtId="1" fontId="15" fillId="0" borderId="0" xfId="0" applyNumberFormat="1" applyFont="1"/>
    <xf numFmtId="9" fontId="0" fillId="0" borderId="0" xfId="34" applyFont="1"/>
    <xf numFmtId="165" fontId="0" fillId="0" borderId="2" xfId="1" applyNumberFormat="1" applyFont="1" applyBorder="1"/>
    <xf numFmtId="165" fontId="0" fillId="0" borderId="5" xfId="1" applyNumberFormat="1" applyFont="1" applyBorder="1"/>
    <xf numFmtId="9" fontId="31" fillId="0" borderId="0" xfId="34" applyFont="1" applyBorder="1" applyAlignment="1">
      <alignment horizontal="center"/>
    </xf>
    <xf numFmtId="165" fontId="32" fillId="0" borderId="5" xfId="1" applyNumberFormat="1" applyFont="1" applyBorder="1"/>
    <xf numFmtId="165" fontId="0" fillId="0" borderId="9" xfId="1" applyNumberFormat="1" applyFont="1" applyBorder="1"/>
    <xf numFmtId="165" fontId="0" fillId="0" borderId="0" xfId="1" applyNumberFormat="1" applyFont="1"/>
    <xf numFmtId="165" fontId="2" fillId="0" borderId="0" xfId="1" applyNumberFormat="1" applyFont="1"/>
    <xf numFmtId="0" fontId="2" fillId="0" borderId="0" xfId="37" applyFont="1"/>
    <xf numFmtId="165" fontId="0" fillId="0" borderId="31" xfId="1" applyNumberFormat="1" applyFont="1" applyBorder="1"/>
    <xf numFmtId="165" fontId="33" fillId="0" borderId="28" xfId="1" applyNumberFormat="1" applyFont="1" applyBorder="1"/>
    <xf numFmtId="165" fontId="33" fillId="0" borderId="32" xfId="1" applyNumberFormat="1" applyFont="1" applyBorder="1"/>
    <xf numFmtId="165" fontId="34" fillId="0" borderId="0" xfId="1" applyNumberFormat="1" applyFont="1"/>
    <xf numFmtId="0" fontId="34" fillId="0" borderId="0" xfId="0" applyFont="1"/>
    <xf numFmtId="165" fontId="30" fillId="0" borderId="0" xfId="1" applyNumberFormat="1" applyFont="1" applyBorder="1"/>
    <xf numFmtId="9" fontId="30" fillId="0" borderId="0" xfId="34" applyFont="1" applyBorder="1"/>
    <xf numFmtId="1" fontId="30" fillId="0" borderId="0" xfId="0" applyNumberFormat="1" applyFont="1"/>
    <xf numFmtId="0" fontId="0" fillId="0" borderId="33" xfId="0" applyBorder="1"/>
    <xf numFmtId="1" fontId="0" fillId="0" borderId="19" xfId="0" applyNumberFormat="1" applyBorder="1"/>
    <xf numFmtId="1" fontId="0" fillId="0" borderId="39" xfId="0" applyNumberFormat="1" applyBorder="1"/>
    <xf numFmtId="1" fontId="0" fillId="0" borderId="25" xfId="0" applyNumberFormat="1" applyBorder="1"/>
    <xf numFmtId="1" fontId="0" fillId="0" borderId="9" xfId="0" applyNumberFormat="1" applyBorder="1"/>
    <xf numFmtId="9" fontId="0" fillId="0" borderId="0" xfId="34" applyFont="1" applyBorder="1"/>
    <xf numFmtId="9" fontId="0" fillId="0" borderId="5" xfId="34" applyFont="1" applyBorder="1"/>
    <xf numFmtId="1" fontId="0" fillId="0" borderId="33" xfId="0" applyNumberFormat="1" applyBorder="1"/>
    <xf numFmtId="165" fontId="0" fillId="0" borderId="41" xfId="1" applyNumberFormat="1" applyFont="1" applyBorder="1"/>
    <xf numFmtId="165" fontId="8" fillId="0" borderId="9" xfId="1" applyNumberFormat="1" applyFont="1" applyFill="1" applyBorder="1"/>
    <xf numFmtId="165" fontId="15" fillId="0" borderId="41" xfId="1" applyNumberFormat="1" applyFont="1" applyBorder="1"/>
    <xf numFmtId="165" fontId="15" fillId="0" borderId="0" xfId="1" applyNumberFormat="1" applyFont="1" applyFill="1" applyBorder="1"/>
    <xf numFmtId="165" fontId="0" fillId="0" borderId="5" xfId="1" applyNumberFormat="1" applyFont="1" applyFill="1" applyBorder="1"/>
    <xf numFmtId="165" fontId="0" fillId="0" borderId="9" xfId="1" applyNumberFormat="1" applyFont="1" applyFill="1" applyBorder="1"/>
    <xf numFmtId="9" fontId="0" fillId="0" borderId="5" xfId="34" applyFont="1" applyFill="1" applyBorder="1"/>
    <xf numFmtId="165" fontId="0" fillId="0" borderId="0" xfId="1" applyNumberFormat="1" applyFont="1" applyFill="1"/>
    <xf numFmtId="165" fontId="8" fillId="0" borderId="9" xfId="1" applyNumberFormat="1" applyFont="1" applyBorder="1"/>
    <xf numFmtId="165" fontId="2" fillId="0" borderId="35" xfId="1" applyNumberFormat="1" applyFont="1" applyBorder="1"/>
    <xf numFmtId="165" fontId="33" fillId="0" borderId="36" xfId="1" applyNumberFormat="1" applyFont="1" applyBorder="1" applyAlignment="1">
      <alignment horizontal="right"/>
    </xf>
    <xf numFmtId="165" fontId="33" fillId="0" borderId="38" xfId="1" applyNumberFormat="1" applyFont="1" applyBorder="1"/>
    <xf numFmtId="165" fontId="33" fillId="0" borderId="42" xfId="1" applyNumberFormat="1" applyFont="1" applyBorder="1"/>
    <xf numFmtId="165" fontId="33" fillId="0" borderId="36" xfId="1" applyNumberFormat="1" applyFont="1" applyBorder="1"/>
    <xf numFmtId="165" fontId="37" fillId="0" borderId="0" xfId="1" applyNumberFormat="1" applyFont="1"/>
    <xf numFmtId="165" fontId="29" fillId="0" borderId="0" xfId="1" applyNumberFormat="1" applyFont="1" applyBorder="1" applyAlignment="1">
      <alignment horizontal="right"/>
    </xf>
    <xf numFmtId="165" fontId="15" fillId="0" borderId="0" xfId="1" applyNumberFormat="1" applyFont="1" applyBorder="1"/>
    <xf numFmtId="165" fontId="38" fillId="0" borderId="0" xfId="1" applyNumberFormat="1" applyFont="1" applyBorder="1" applyAlignment="1">
      <alignment horizontal="right"/>
    </xf>
    <xf numFmtId="165" fontId="39" fillId="0" borderId="0" xfId="1" applyNumberFormat="1" applyFont="1" applyBorder="1"/>
    <xf numFmtId="165" fontId="40" fillId="0" borderId="0" xfId="1" applyNumberFormat="1" applyFont="1" applyBorder="1"/>
    <xf numFmtId="165" fontId="41" fillId="0" borderId="0" xfId="1" applyNumberFormat="1" applyFont="1"/>
    <xf numFmtId="0" fontId="29" fillId="0" borderId="0" xfId="0" applyFont="1" applyAlignment="1">
      <alignment horizontal="right"/>
    </xf>
    <xf numFmtId="164" fontId="30" fillId="0" borderId="0" xfId="1" applyFont="1" applyBorder="1"/>
    <xf numFmtId="164" fontId="0" fillId="0" borderId="0" xfId="1" applyFont="1"/>
    <xf numFmtId="0" fontId="27" fillId="6" borderId="40" xfId="35" applyFont="1" applyFill="1" applyBorder="1" applyAlignment="1">
      <alignment wrapText="1"/>
    </xf>
    <xf numFmtId="0" fontId="27" fillId="6" borderId="5" xfId="35" applyFont="1" applyFill="1" applyBorder="1"/>
    <xf numFmtId="0" fontId="27" fillId="6" borderId="8" xfId="35" applyFont="1" applyFill="1" applyBorder="1" applyAlignment="1">
      <alignment wrapText="1"/>
    </xf>
    <xf numFmtId="0" fontId="27" fillId="6" borderId="40" xfId="35" applyFont="1" applyFill="1" applyBorder="1" applyAlignment="1">
      <alignment horizontal="center" wrapText="1"/>
    </xf>
    <xf numFmtId="0" fontId="27" fillId="6" borderId="5" xfId="35" applyFont="1" applyFill="1" applyBorder="1" applyAlignment="1">
      <alignment horizontal="center" wrapText="1"/>
    </xf>
    <xf numFmtId="49" fontId="25" fillId="0" borderId="0" xfId="35" applyNumberFormat="1" applyFont="1"/>
    <xf numFmtId="0" fontId="27" fillId="6" borderId="5" xfId="35" applyFont="1" applyFill="1" applyBorder="1" applyAlignment="1">
      <alignment wrapText="1"/>
    </xf>
    <xf numFmtId="49" fontId="25" fillId="0" borderId="34" xfId="35" applyNumberFormat="1" applyFont="1" applyBorder="1"/>
    <xf numFmtId="49" fontId="25" fillId="0" borderId="38" xfId="35" applyNumberFormat="1" applyFont="1" applyBorder="1"/>
    <xf numFmtId="49" fontId="25" fillId="0" borderId="32" xfId="35" applyNumberFormat="1" applyFont="1" applyBorder="1"/>
    <xf numFmtId="0" fontId="8" fillId="0" borderId="1" xfId="0" applyFont="1" applyBorder="1"/>
    <xf numFmtId="0" fontId="20" fillId="0" borderId="8" xfId="0" applyFont="1" applyBorder="1" applyAlignment="1">
      <alignment horizontal="left"/>
    </xf>
    <xf numFmtId="0" fontId="0" fillId="0" borderId="6" xfId="0" applyBorder="1"/>
    <xf numFmtId="0" fontId="42" fillId="0" borderId="1" xfId="28" applyFont="1" applyBorder="1"/>
    <xf numFmtId="14" fontId="42" fillId="0" borderId="1" xfId="0" applyNumberFormat="1" applyFont="1" applyBorder="1" applyAlignment="1">
      <alignment horizontal="center" vertical="center"/>
    </xf>
    <xf numFmtId="171" fontId="42" fillId="0" borderId="1" xfId="31" applyNumberFormat="1" applyFont="1" applyFill="1" applyBorder="1"/>
    <xf numFmtId="171" fontId="42" fillId="0" borderId="1" xfId="1" applyNumberFormat="1" applyFont="1" applyFill="1" applyBorder="1" applyAlignment="1">
      <alignment vertical="center" wrapText="1"/>
    </xf>
    <xf numFmtId="171" fontId="42" fillId="0" borderId="1" xfId="31" applyNumberFormat="1" applyFont="1" applyFill="1" applyBorder="1" applyAlignment="1">
      <alignment vertical="center" wrapText="1"/>
    </xf>
    <xf numFmtId="171" fontId="42" fillId="0" borderId="1" xfId="31" applyNumberFormat="1" applyFont="1" applyFill="1" applyBorder="1" applyAlignment="1">
      <alignment horizontal="center" vertical="center"/>
    </xf>
    <xf numFmtId="171" fontId="42" fillId="0" borderId="1" xfId="31" applyNumberFormat="1" applyFont="1" applyFill="1" applyBorder="1" applyAlignment="1">
      <alignment horizontal="right" wrapText="1"/>
    </xf>
    <xf numFmtId="171" fontId="42" fillId="0" borderId="1" xfId="31" applyNumberFormat="1" applyFont="1" applyFill="1" applyBorder="1" applyAlignment="1">
      <alignment horizontal="right"/>
    </xf>
    <xf numFmtId="43" fontId="43" fillId="0" borderId="0" xfId="31" applyFont="1" applyFill="1" applyBorder="1" applyAlignment="1" applyProtection="1"/>
    <xf numFmtId="171" fontId="42" fillId="0" borderId="0" xfId="31" applyNumberFormat="1" applyFont="1" applyFill="1" applyBorder="1"/>
    <xf numFmtId="0" fontId="42" fillId="0" borderId="0" xfId="0" applyFont="1"/>
    <xf numFmtId="171" fontId="42" fillId="0" borderId="0" xfId="0" applyNumberFormat="1" applyFont="1"/>
    <xf numFmtId="0" fontId="0" fillId="0" borderId="0" xfId="0" applyAlignment="1">
      <alignment vertical="top"/>
    </xf>
    <xf numFmtId="14" fontId="0" fillId="0" borderId="0" xfId="0" applyNumberFormat="1" applyAlignment="1">
      <alignment vertical="top"/>
    </xf>
    <xf numFmtId="14" fontId="0" fillId="0" borderId="1" xfId="0" applyNumberFormat="1" applyBorder="1"/>
    <xf numFmtId="165" fontId="0" fillId="0" borderId="1" xfId="1" applyNumberFormat="1" applyFont="1" applyBorder="1"/>
    <xf numFmtId="14" fontId="14" fillId="5" borderId="1" xfId="0" applyNumberFormat="1" applyFont="1" applyFill="1" applyBorder="1" applyAlignment="1">
      <alignment horizontal="center" vertical="center"/>
    </xf>
    <xf numFmtId="1" fontId="0" fillId="0" borderId="24" xfId="0" applyNumberFormat="1" applyBorder="1"/>
    <xf numFmtId="0" fontId="44" fillId="0" borderId="41" xfId="0" applyFont="1" applyBorder="1" applyAlignment="1">
      <alignment horizontal="left"/>
    </xf>
    <xf numFmtId="165" fontId="15" fillId="0" borderId="35" xfId="1" applyNumberFormat="1" applyFont="1" applyBorder="1"/>
    <xf numFmtId="165" fontId="0" fillId="0" borderId="41" xfId="1" applyNumberFormat="1" applyFont="1" applyFill="1" applyBorder="1"/>
    <xf numFmtId="171" fontId="13" fillId="7" borderId="2" xfId="31" applyNumberFormat="1" applyFont="1" applyFill="1" applyBorder="1" applyAlignment="1">
      <alignment horizontal="center" vertical="center" wrapText="1"/>
    </xf>
    <xf numFmtId="171" fontId="13" fillId="7" borderId="5" xfId="31" applyNumberFormat="1" applyFont="1" applyFill="1" applyBorder="1" applyAlignment="1">
      <alignment horizontal="center" vertical="center" wrapText="1"/>
    </xf>
    <xf numFmtId="171" fontId="13" fillId="7" borderId="3" xfId="31" applyNumberFormat="1" applyFont="1" applyFill="1" applyBorder="1" applyAlignment="1">
      <alignment horizontal="center" vertical="center" wrapText="1"/>
    </xf>
    <xf numFmtId="0" fontId="30" fillId="7" borderId="33" xfId="0" applyFont="1" applyFill="1" applyBorder="1"/>
    <xf numFmtId="0" fontId="15" fillId="7" borderId="35" xfId="0" applyFont="1" applyFill="1" applyBorder="1" applyAlignment="1">
      <alignment horizontal="center" vertical="center" wrapText="1"/>
    </xf>
    <xf numFmtId="1" fontId="15" fillId="7" borderId="36" xfId="0" applyNumberFormat="1" applyFont="1" applyFill="1" applyBorder="1" applyAlignment="1">
      <alignment horizontal="center" vertical="center" wrapText="1"/>
    </xf>
    <xf numFmtId="1" fontId="15" fillId="7" borderId="37" xfId="0" applyNumberFormat="1" applyFont="1" applyFill="1" applyBorder="1" applyAlignment="1">
      <alignment horizontal="center" vertical="center" wrapText="1"/>
    </xf>
    <xf numFmtId="1" fontId="35" fillId="7" borderId="37" xfId="0" applyNumberFormat="1" applyFont="1" applyFill="1" applyBorder="1" applyAlignment="1">
      <alignment horizontal="center" vertical="center" wrapText="1"/>
    </xf>
    <xf numFmtId="1" fontId="15" fillId="7" borderId="32" xfId="0" applyNumberFormat="1" applyFont="1" applyFill="1" applyBorder="1" applyAlignment="1">
      <alignment horizontal="center" vertical="center" wrapText="1"/>
    </xf>
    <xf numFmtId="1" fontId="15" fillId="7" borderId="28" xfId="0" applyNumberFormat="1" applyFont="1" applyFill="1" applyBorder="1" applyAlignment="1">
      <alignment horizontal="center" vertical="center" wrapText="1"/>
    </xf>
    <xf numFmtId="1" fontId="15" fillId="7" borderId="38" xfId="0" applyNumberFormat="1" applyFont="1" applyFill="1" applyBorder="1" applyAlignment="1">
      <alignment horizontal="center" vertical="center" wrapText="1"/>
    </xf>
    <xf numFmtId="9" fontId="35" fillId="7" borderId="36" xfId="34" applyFont="1" applyFill="1" applyBorder="1" applyAlignment="1">
      <alignment horizontal="center" vertical="center" wrapText="1"/>
    </xf>
    <xf numFmtId="9" fontId="31" fillId="5" borderId="1" xfId="34" applyFont="1" applyFill="1" applyBorder="1" applyAlignment="1">
      <alignment horizontal="center" vertical="center" wrapText="1"/>
    </xf>
    <xf numFmtId="0" fontId="8" fillId="5" borderId="2" xfId="0" applyFont="1" applyFill="1" applyBorder="1" applyAlignment="1">
      <alignment horizontal="center" vertical="center" wrapText="1"/>
    </xf>
    <xf numFmtId="1" fontId="46" fillId="5" borderId="2" xfId="0" applyNumberFormat="1" applyFont="1" applyFill="1" applyBorder="1" applyAlignment="1">
      <alignment horizontal="center" vertical="center" wrapText="1"/>
    </xf>
    <xf numFmtId="1" fontId="8" fillId="5" borderId="1" xfId="0" applyNumberFormat="1" applyFont="1" applyFill="1" applyBorder="1" applyAlignment="1">
      <alignment horizontal="center" vertical="center" wrapText="1"/>
    </xf>
    <xf numFmtId="1" fontId="35" fillId="5" borderId="1" xfId="0" applyNumberFormat="1" applyFont="1" applyFill="1" applyBorder="1" applyAlignment="1">
      <alignment horizontal="center" vertical="center" wrapText="1"/>
    </xf>
    <xf numFmtId="1" fontId="46" fillId="5" borderId="1" xfId="0" applyNumberFormat="1" applyFont="1" applyFill="1" applyBorder="1" applyAlignment="1">
      <alignment horizontal="center" vertical="center" wrapText="1"/>
    </xf>
    <xf numFmtId="171" fontId="19" fillId="0" borderId="5" xfId="31" applyNumberFormat="1" applyFont="1" applyFill="1" applyBorder="1" applyAlignment="1">
      <alignment horizontal="right"/>
    </xf>
    <xf numFmtId="171" fontId="0" fillId="0" borderId="5" xfId="31" applyNumberFormat="1" applyFont="1" applyBorder="1"/>
    <xf numFmtId="171" fontId="0" fillId="0" borderId="5" xfId="31" applyNumberFormat="1" applyFont="1" applyBorder="1" applyAlignment="1">
      <alignment horizontal="center"/>
    </xf>
    <xf numFmtId="171" fontId="31" fillId="0" borderId="0" xfId="31" applyNumberFormat="1" applyFont="1" applyBorder="1" applyAlignment="1">
      <alignment horizontal="center"/>
    </xf>
    <xf numFmtId="171" fontId="0" fillId="0" borderId="9" xfId="31" applyNumberFormat="1" applyFont="1" applyBorder="1"/>
    <xf numFmtId="171" fontId="47" fillId="0" borderId="5" xfId="31" applyNumberFormat="1" applyFont="1" applyBorder="1" applyAlignment="1">
      <alignment horizontal="center"/>
    </xf>
    <xf numFmtId="171" fontId="32" fillId="0" borderId="5" xfId="31" applyNumberFormat="1" applyFont="1" applyBorder="1"/>
    <xf numFmtId="171" fontId="2" fillId="0" borderId="5" xfId="31" applyNumberFormat="1" applyFont="1" applyBorder="1"/>
    <xf numFmtId="171" fontId="2" fillId="0" borderId="5" xfId="31" applyNumberFormat="1" applyFont="1" applyFill="1" applyBorder="1"/>
    <xf numFmtId="171" fontId="2" fillId="0" borderId="0" xfId="31" applyNumberFormat="1" applyFont="1"/>
    <xf numFmtId="171" fontId="2" fillId="0" borderId="5" xfId="31" applyNumberFormat="1" applyFont="1" applyBorder="1" applyAlignment="1">
      <alignment horizontal="center"/>
    </xf>
    <xf numFmtId="171" fontId="15" fillId="0" borderId="0" xfId="31" applyNumberFormat="1" applyFont="1" applyBorder="1" applyAlignment="1">
      <alignment horizontal="center"/>
    </xf>
    <xf numFmtId="171" fontId="2" fillId="0" borderId="9" xfId="31" applyNumberFormat="1" applyFont="1" applyBorder="1"/>
    <xf numFmtId="171" fontId="31" fillId="0" borderId="0" xfId="31" applyNumberFormat="1" applyFont="1" applyAlignment="1">
      <alignment horizontal="center"/>
    </xf>
    <xf numFmtId="171" fontId="31" fillId="0" borderId="9" xfId="31" applyNumberFormat="1" applyFont="1" applyBorder="1" applyAlignment="1">
      <alignment horizontal="center"/>
    </xf>
    <xf numFmtId="171" fontId="0" fillId="0" borderId="9" xfId="31" applyNumberFormat="1" applyFont="1" applyBorder="1" applyAlignment="1">
      <alignment horizontal="center"/>
    </xf>
    <xf numFmtId="171" fontId="18" fillId="0" borderId="36" xfId="31" applyNumberFormat="1" applyFont="1" applyFill="1" applyBorder="1" applyAlignment="1">
      <alignment horizontal="right"/>
    </xf>
    <xf numFmtId="9" fontId="47" fillId="0" borderId="5" xfId="31" applyNumberFormat="1" applyFont="1" applyBorder="1" applyAlignment="1">
      <alignment horizontal="center"/>
    </xf>
    <xf numFmtId="9" fontId="31" fillId="0" borderId="5" xfId="31" applyNumberFormat="1" applyFont="1" applyBorder="1" applyAlignment="1">
      <alignment horizontal="center"/>
    </xf>
    <xf numFmtId="9" fontId="0" fillId="0" borderId="31" xfId="31" applyNumberFormat="1" applyFont="1" applyBorder="1" applyAlignment="1">
      <alignment horizontal="center"/>
    </xf>
    <xf numFmtId="171" fontId="48" fillId="0" borderId="0" xfId="31" applyNumberFormat="1" applyFont="1" applyBorder="1"/>
    <xf numFmtId="0" fontId="15" fillId="0" borderId="3" xfId="28" applyFont="1" applyBorder="1"/>
    <xf numFmtId="165" fontId="8" fillId="0" borderId="3" xfId="1" applyNumberFormat="1" applyFont="1" applyBorder="1"/>
    <xf numFmtId="0" fontId="8" fillId="0" borderId="0" xfId="0" applyFont="1" applyAlignment="1">
      <alignment vertical="top"/>
    </xf>
    <xf numFmtId="172" fontId="8" fillId="7" borderId="28" xfId="0" applyNumberFormat="1" applyFont="1" applyFill="1" applyBorder="1" applyAlignment="1">
      <alignment vertical="center"/>
    </xf>
    <xf numFmtId="172" fontId="8" fillId="7" borderId="29" xfId="0" applyNumberFormat="1" applyFont="1" applyFill="1" applyBorder="1" applyAlignment="1">
      <alignment vertical="center"/>
    </xf>
    <xf numFmtId="172" fontId="8" fillId="7" borderId="29" xfId="0" applyNumberFormat="1" applyFont="1" applyFill="1" applyBorder="1" applyAlignment="1">
      <alignment vertical="center" wrapText="1"/>
    </xf>
    <xf numFmtId="172" fontId="8" fillId="7" borderId="42" xfId="0" applyNumberFormat="1" applyFont="1" applyFill="1" applyBorder="1" applyAlignment="1">
      <alignment vertical="center" wrapText="1"/>
    </xf>
    <xf numFmtId="172" fontId="8" fillId="7" borderId="30" xfId="0" applyNumberFormat="1" applyFont="1" applyFill="1" applyBorder="1" applyAlignment="1">
      <alignment vertical="center" wrapText="1"/>
    </xf>
    <xf numFmtId="0" fontId="8" fillId="0" borderId="0" xfId="0" applyFont="1" applyAlignment="1">
      <alignment vertical="center"/>
    </xf>
    <xf numFmtId="165" fontId="49" fillId="0" borderId="41" xfId="1" applyNumberFormat="1" applyFont="1" applyFill="1" applyBorder="1"/>
    <xf numFmtId="172" fontId="50" fillId="7" borderId="42" xfId="0" applyNumberFormat="1" applyFont="1" applyFill="1" applyBorder="1" applyAlignment="1">
      <alignment horizontal="center" vertical="center" wrapText="1"/>
    </xf>
    <xf numFmtId="0" fontId="45" fillId="0" borderId="0" xfId="0" applyFont="1" applyAlignment="1">
      <alignment horizontal="center"/>
    </xf>
    <xf numFmtId="43" fontId="0" fillId="0" borderId="0" xfId="0" applyNumberFormat="1" applyAlignment="1">
      <alignment vertical="top"/>
    </xf>
    <xf numFmtId="0" fontId="2" fillId="0" borderId="41" xfId="28" applyBorder="1"/>
    <xf numFmtId="0" fontId="2" fillId="0" borderId="35" xfId="28" applyBorder="1"/>
    <xf numFmtId="0" fontId="15" fillId="0" borderId="36" xfId="28" applyFont="1" applyBorder="1" applyAlignment="1">
      <alignment vertical="center"/>
    </xf>
    <xf numFmtId="9" fontId="14" fillId="0" borderId="1" xfId="34" applyFont="1" applyFill="1" applyBorder="1" applyAlignment="1">
      <alignment horizontal="right" wrapText="1"/>
    </xf>
    <xf numFmtId="14" fontId="13" fillId="0" borderId="0" xfId="31" applyNumberFormat="1" applyFont="1" applyFill="1" applyBorder="1" applyAlignment="1"/>
    <xf numFmtId="171" fontId="2" fillId="5" borderId="1" xfId="31" applyNumberFormat="1" applyFont="1" applyFill="1" applyBorder="1"/>
    <xf numFmtId="171" fontId="14" fillId="5" borderId="1" xfId="0" applyNumberFormat="1" applyFont="1" applyFill="1" applyBorder="1" applyAlignment="1">
      <alignment horizontal="right" vertical="center" wrapText="1"/>
    </xf>
    <xf numFmtId="171" fontId="14" fillId="5" borderId="1" xfId="31" applyNumberFormat="1" applyFont="1" applyFill="1" applyBorder="1" applyAlignment="1">
      <alignment horizontal="center" vertical="center"/>
    </xf>
    <xf numFmtId="171" fontId="14" fillId="5" borderId="1" xfId="31" applyNumberFormat="1" applyFont="1" applyFill="1" applyBorder="1" applyAlignment="1">
      <alignment horizontal="right" wrapText="1"/>
    </xf>
    <xf numFmtId="171" fontId="14" fillId="5" borderId="1" xfId="31" applyNumberFormat="1" applyFont="1" applyFill="1" applyBorder="1" applyAlignment="1">
      <alignment horizontal="right"/>
    </xf>
    <xf numFmtId="171" fontId="14" fillId="5" borderId="1" xfId="31" applyNumberFormat="1" applyFont="1" applyFill="1" applyBorder="1" applyAlignment="1">
      <alignment horizontal="center" vertical="center" wrapText="1"/>
    </xf>
    <xf numFmtId="43" fontId="16" fillId="5" borderId="0" xfId="31" applyFont="1" applyFill="1" applyBorder="1" applyAlignment="1" applyProtection="1"/>
    <xf numFmtId="171" fontId="14" fillId="5" borderId="0" xfId="31" applyNumberFormat="1" applyFont="1" applyFill="1" applyBorder="1"/>
    <xf numFmtId="0" fontId="14" fillId="5" borderId="0" xfId="0" applyFont="1" applyFill="1"/>
    <xf numFmtId="171" fontId="14" fillId="5" borderId="0" xfId="0" applyNumberFormat="1" applyFont="1" applyFill="1"/>
    <xf numFmtId="14" fontId="14" fillId="5" borderId="1" xfId="1" applyNumberFormat="1" applyFont="1" applyFill="1" applyBorder="1" applyAlignment="1">
      <alignment horizontal="center" vertical="center" wrapText="1"/>
    </xf>
    <xf numFmtId="165" fontId="0" fillId="5" borderId="0" xfId="1" applyNumberFormat="1" applyFont="1" applyFill="1" applyBorder="1"/>
    <xf numFmtId="171" fontId="14" fillId="5" borderId="3" xfId="0" applyNumberFormat="1" applyFont="1" applyFill="1" applyBorder="1" applyAlignment="1">
      <alignment horizontal="right" vertical="center" wrapText="1"/>
    </xf>
    <xf numFmtId="171" fontId="2" fillId="5" borderId="9" xfId="31" applyNumberFormat="1" applyFont="1" applyFill="1" applyBorder="1"/>
    <xf numFmtId="171" fontId="2" fillId="5" borderId="1" xfId="31" applyNumberFormat="1" applyFont="1" applyFill="1" applyBorder="1" applyAlignment="1">
      <alignment horizontal="center" vertical="center"/>
    </xf>
    <xf numFmtId="4" fontId="14" fillId="5" borderId="0" xfId="0" applyNumberFormat="1" applyFont="1" applyFill="1"/>
    <xf numFmtId="0" fontId="2" fillId="5" borderId="1" xfId="28" applyFill="1" applyBorder="1"/>
    <xf numFmtId="0" fontId="51" fillId="0" borderId="0" xfId="0" applyFont="1"/>
    <xf numFmtId="171" fontId="13" fillId="0" borderId="0" xfId="0" applyNumberFormat="1" applyFont="1"/>
    <xf numFmtId="171" fontId="13" fillId="8" borderId="1" xfId="31" applyNumberFormat="1" applyFont="1" applyFill="1" applyBorder="1" applyAlignment="1">
      <alignment horizontal="center" vertical="center" wrapText="1"/>
    </xf>
    <xf numFmtId="171" fontId="19" fillId="5" borderId="5" xfId="31" applyNumberFormat="1" applyFont="1" applyFill="1" applyBorder="1" applyAlignment="1">
      <alignment horizontal="right"/>
    </xf>
    <xf numFmtId="0" fontId="13" fillId="9" borderId="0" xfId="0" applyFont="1" applyFill="1"/>
    <xf numFmtId="14" fontId="13" fillId="9" borderId="0" xfId="31" applyNumberFormat="1" applyFont="1" applyFill="1" applyBorder="1" applyAlignment="1"/>
    <xf numFmtId="171" fontId="13" fillId="9" borderId="0" xfId="31" applyNumberFormat="1" applyFont="1" applyFill="1" applyBorder="1" applyAlignment="1">
      <alignment horizontal="center" vertical="center" wrapText="1"/>
    </xf>
    <xf numFmtId="171" fontId="14" fillId="9" borderId="1" xfId="31" applyNumberFormat="1" applyFont="1" applyFill="1" applyBorder="1" applyAlignment="1">
      <alignment horizontal="right" wrapText="1"/>
    </xf>
    <xf numFmtId="171" fontId="13" fillId="9" borderId="1" xfId="31" applyNumberFormat="1" applyFont="1" applyFill="1" applyBorder="1" applyAlignment="1">
      <alignment horizontal="center" vertical="center" wrapText="1"/>
    </xf>
    <xf numFmtId="171" fontId="14" fillId="9" borderId="0" xfId="31" applyNumberFormat="1" applyFont="1" applyFill="1" applyBorder="1" applyAlignment="1">
      <alignment horizontal="center" vertical="center" wrapText="1"/>
    </xf>
    <xf numFmtId="171" fontId="14" fillId="9" borderId="1" xfId="31" applyNumberFormat="1" applyFont="1" applyFill="1" applyBorder="1" applyAlignment="1">
      <alignment horizontal="center" vertical="center"/>
    </xf>
    <xf numFmtId="171" fontId="14" fillId="9" borderId="1" xfId="31" applyNumberFormat="1" applyFont="1" applyFill="1" applyBorder="1" applyAlignment="1">
      <alignment horizontal="center" vertical="center" wrapText="1"/>
    </xf>
    <xf numFmtId="171" fontId="13" fillId="9" borderId="1" xfId="31" applyNumberFormat="1" applyFont="1" applyFill="1" applyBorder="1" applyAlignment="1">
      <alignment vertical="center" wrapText="1"/>
    </xf>
    <xf numFmtId="171" fontId="14" fillId="9" borderId="1" xfId="31" applyNumberFormat="1" applyFont="1" applyFill="1" applyBorder="1"/>
    <xf numFmtId="171" fontId="42" fillId="9" borderId="1" xfId="31" applyNumberFormat="1" applyFont="1" applyFill="1" applyBorder="1" applyAlignment="1">
      <alignment horizontal="center" vertical="center"/>
    </xf>
    <xf numFmtId="171" fontId="15" fillId="9" borderId="1" xfId="31" applyNumberFormat="1" applyFont="1" applyFill="1" applyBorder="1" applyAlignment="1">
      <alignment horizontal="center" vertical="center"/>
    </xf>
    <xf numFmtId="171" fontId="14" fillId="9" borderId="0" xfId="31" applyNumberFormat="1" applyFont="1" applyFill="1"/>
    <xf numFmtId="171" fontId="2" fillId="9" borderId="0" xfId="31" applyNumberFormat="1" applyFont="1" applyFill="1"/>
    <xf numFmtId="0" fontId="14" fillId="0" borderId="1" xfId="34" applyNumberFormat="1" applyFont="1" applyFill="1" applyBorder="1" applyAlignment="1">
      <alignment horizontal="right" wrapText="1"/>
    </xf>
    <xf numFmtId="0" fontId="2" fillId="5" borderId="0" xfId="28" applyFill="1"/>
    <xf numFmtId="43" fontId="17" fillId="5" borderId="0" xfId="32" applyNumberFormat="1" applyFill="1" applyBorder="1" applyAlignment="1" applyProtection="1"/>
    <xf numFmtId="14" fontId="14" fillId="5" borderId="1" xfId="1" applyNumberFormat="1" applyFont="1" applyFill="1" applyBorder="1" applyAlignment="1">
      <alignment horizontal="center" vertical="center"/>
    </xf>
    <xf numFmtId="171" fontId="2" fillId="5" borderId="0" xfId="31" applyNumberFormat="1" applyFont="1" applyFill="1" applyBorder="1"/>
    <xf numFmtId="171" fontId="2" fillId="5" borderId="2" xfId="31" applyNumberFormat="1" applyFont="1" applyFill="1" applyBorder="1"/>
    <xf numFmtId="14" fontId="14" fillId="5" borderId="1" xfId="1" applyNumberFormat="1" applyFont="1" applyFill="1" applyBorder="1" applyAlignment="1">
      <alignment horizontal="right" wrapText="1"/>
    </xf>
    <xf numFmtId="171" fontId="14" fillId="5" borderId="1" xfId="1" applyNumberFormat="1" applyFont="1" applyFill="1" applyBorder="1" applyAlignment="1">
      <alignment vertical="center" wrapText="1"/>
    </xf>
    <xf numFmtId="171" fontId="14" fillId="5" borderId="1" xfId="31" applyNumberFormat="1" applyFont="1" applyFill="1" applyBorder="1" applyAlignment="1">
      <alignment vertical="center" wrapText="1"/>
    </xf>
    <xf numFmtId="0" fontId="2" fillId="5" borderId="0" xfId="28" applyFill="1" applyAlignment="1">
      <alignment wrapText="1"/>
    </xf>
    <xf numFmtId="0" fontId="2" fillId="0" borderId="41" xfId="28" applyBorder="1" applyAlignment="1">
      <alignment wrapText="1"/>
    </xf>
    <xf numFmtId="165" fontId="0" fillId="0" borderId="0" xfId="1" applyNumberFormat="1" applyFont="1" applyFill="1" applyBorder="1"/>
    <xf numFmtId="43" fontId="14" fillId="0" borderId="1" xfId="31" applyFont="1" applyFill="1" applyBorder="1" applyAlignment="1">
      <alignment horizontal="right" wrapText="1"/>
    </xf>
    <xf numFmtId="0" fontId="0" fillId="0" borderId="1" xfId="0" applyBorder="1" applyAlignment="1">
      <alignment horizontal="left" wrapText="1"/>
    </xf>
    <xf numFmtId="171" fontId="0" fillId="0" borderId="1" xfId="31" applyNumberFormat="1" applyFont="1" applyBorder="1"/>
    <xf numFmtId="171" fontId="0" fillId="0" borderId="2" xfId="31" applyNumberFormat="1" applyFont="1" applyBorder="1"/>
    <xf numFmtId="171" fontId="8" fillId="0" borderId="1" xfId="31" applyNumberFormat="1" applyFont="1" applyBorder="1"/>
    <xf numFmtId="171" fontId="0" fillId="0" borderId="1" xfId="31" applyNumberFormat="1" applyFont="1" applyFill="1" applyBorder="1"/>
    <xf numFmtId="165" fontId="0" fillId="5" borderId="0" xfId="1" applyNumberFormat="1" applyFont="1" applyFill="1"/>
    <xf numFmtId="165" fontId="0" fillId="0" borderId="27" xfId="1" applyNumberFormat="1" applyFont="1" applyFill="1" applyBorder="1"/>
    <xf numFmtId="9" fontId="0" fillId="0" borderId="0" xfId="34" applyFont="1" applyFill="1" applyBorder="1"/>
    <xf numFmtId="165" fontId="15" fillId="0" borderId="41" xfId="1" applyNumberFormat="1" applyFont="1" applyFill="1" applyBorder="1"/>
    <xf numFmtId="3" fontId="4" fillId="0" borderId="8" xfId="0" applyNumberFormat="1" applyFont="1" applyBorder="1" applyAlignment="1">
      <alignment horizontal="center" vertical="top"/>
    </xf>
    <xf numFmtId="3" fontId="4" fillId="0" borderId="5" xfId="0" applyNumberFormat="1" applyFont="1" applyBorder="1" applyAlignment="1">
      <alignment horizontal="center" vertical="top"/>
    </xf>
    <xf numFmtId="3" fontId="4" fillId="0" borderId="8" xfId="0" applyNumberFormat="1" applyFont="1" applyBorder="1" applyAlignment="1">
      <alignment horizontal="center"/>
    </xf>
    <xf numFmtId="165" fontId="0" fillId="0" borderId="8" xfId="1" applyNumberFormat="1" applyFont="1" applyBorder="1" applyAlignment="1">
      <alignment horizontal="center"/>
    </xf>
    <xf numFmtId="171" fontId="19" fillId="0" borderId="9" xfId="31" applyNumberFormat="1" applyFont="1" applyFill="1" applyBorder="1" applyAlignment="1">
      <alignment horizontal="right"/>
    </xf>
    <xf numFmtId="0" fontId="20" fillId="5" borderId="5" xfId="0" applyFont="1" applyFill="1" applyBorder="1" applyAlignment="1">
      <alignment horizontal="left"/>
    </xf>
    <xf numFmtId="171" fontId="2" fillId="5" borderId="5" xfId="31" applyNumberFormat="1" applyFont="1" applyFill="1" applyBorder="1"/>
    <xf numFmtId="171" fontId="0" fillId="5" borderId="5" xfId="31" applyNumberFormat="1" applyFont="1" applyFill="1" applyBorder="1"/>
    <xf numFmtId="171" fontId="0" fillId="5" borderId="5" xfId="31" applyNumberFormat="1" applyFont="1" applyFill="1" applyBorder="1" applyAlignment="1">
      <alignment horizontal="center"/>
    </xf>
    <xf numFmtId="9" fontId="47" fillId="5" borderId="5" xfId="31" applyNumberFormat="1" applyFont="1" applyFill="1" applyBorder="1" applyAlignment="1">
      <alignment horizontal="center"/>
    </xf>
    <xf numFmtId="171" fontId="31" fillId="5" borderId="0" xfId="31" applyNumberFormat="1" applyFont="1" applyFill="1" applyBorder="1" applyAlignment="1">
      <alignment horizontal="center"/>
    </xf>
    <xf numFmtId="171" fontId="0" fillId="5" borderId="9" xfId="31" applyNumberFormat="1" applyFont="1" applyFill="1" applyBorder="1"/>
    <xf numFmtId="0" fontId="0" fillId="5" borderId="0" xfId="0" applyFill="1"/>
    <xf numFmtId="165" fontId="2" fillId="0" borderId="41" xfId="1" applyNumberFormat="1" applyFont="1" applyFill="1" applyBorder="1"/>
    <xf numFmtId="14" fontId="14" fillId="0" borderId="0" xfId="31" applyNumberFormat="1" applyFont="1" applyFill="1"/>
    <xf numFmtId="43" fontId="14" fillId="0" borderId="0" xfId="0" applyNumberFormat="1" applyFont="1"/>
    <xf numFmtId="0" fontId="2" fillId="0" borderId="0" xfId="28" applyAlignment="1">
      <alignment wrapText="1"/>
    </xf>
    <xf numFmtId="0" fontId="2" fillId="0" borderId="0" xfId="28" applyAlignment="1">
      <alignment horizontal="left"/>
    </xf>
    <xf numFmtId="171" fontId="14" fillId="5" borderId="1" xfId="1" applyNumberFormat="1" applyFont="1" applyFill="1" applyBorder="1" applyAlignment="1">
      <alignment horizontal="right" wrapText="1"/>
    </xf>
    <xf numFmtId="171" fontId="14" fillId="5" borderId="0" xfId="31" applyNumberFormat="1" applyFont="1" applyFill="1"/>
    <xf numFmtId="43" fontId="14" fillId="0" borderId="0" xfId="31" applyFont="1" applyFill="1" applyBorder="1" applyAlignment="1">
      <alignment horizontal="center" vertical="center"/>
    </xf>
    <xf numFmtId="14" fontId="14" fillId="5" borderId="1" xfId="0" applyNumberFormat="1" applyFont="1" applyFill="1" applyBorder="1" applyAlignment="1">
      <alignment horizontal="center"/>
    </xf>
    <xf numFmtId="43" fontId="52" fillId="5" borderId="43" xfId="31" applyFont="1" applyFill="1" applyBorder="1" applyAlignment="1" applyProtection="1">
      <alignment horizontal="right" vertical="top"/>
    </xf>
    <xf numFmtId="171" fontId="14" fillId="5" borderId="1" xfId="0" applyNumberFormat="1" applyFont="1" applyFill="1" applyBorder="1"/>
    <xf numFmtId="171" fontId="14" fillId="5" borderId="1" xfId="31" applyNumberFormat="1" applyFont="1" applyFill="1" applyBorder="1"/>
    <xf numFmtId="43" fontId="52" fillId="5" borderId="44" xfId="31" applyFont="1" applyFill="1" applyBorder="1" applyAlignment="1" applyProtection="1">
      <alignment horizontal="right" vertical="top"/>
    </xf>
    <xf numFmtId="0" fontId="13" fillId="0" borderId="8" xfId="0" applyFont="1" applyBorder="1" applyAlignment="1">
      <alignment horizontal="left" vertical="center"/>
    </xf>
    <xf numFmtId="0" fontId="2" fillId="0" borderId="11" xfId="28" applyBorder="1"/>
    <xf numFmtId="165" fontId="8" fillId="5" borderId="9" xfId="1" applyNumberFormat="1" applyFont="1" applyFill="1" applyBorder="1"/>
    <xf numFmtId="171" fontId="14" fillId="0" borderId="0" xfId="0" applyNumberFormat="1" applyFont="1" applyAlignment="1">
      <alignment horizontal="center" vertical="center" wrapText="1"/>
    </xf>
    <xf numFmtId="43" fontId="30" fillId="0" borderId="0" xfId="31" applyFont="1"/>
    <xf numFmtId="171" fontId="49" fillId="5" borderId="1" xfId="31" applyNumberFormat="1" applyFont="1" applyFill="1" applyBorder="1" applyAlignment="1">
      <alignment horizontal="center" vertical="center"/>
    </xf>
    <xf numFmtId="171" fontId="49" fillId="5" borderId="3" xfId="0" applyNumberFormat="1" applyFont="1" applyFill="1" applyBorder="1" applyAlignment="1">
      <alignment horizontal="right" vertical="center" wrapText="1"/>
    </xf>
    <xf numFmtId="165" fontId="45" fillId="5" borderId="0" xfId="1" applyNumberFormat="1" applyFont="1" applyFill="1" applyBorder="1"/>
    <xf numFmtId="0" fontId="0" fillId="0" borderId="7" xfId="0" applyBorder="1"/>
    <xf numFmtId="171" fontId="49" fillId="0" borderId="1" xfId="31" applyNumberFormat="1" applyFont="1" applyFill="1" applyBorder="1"/>
    <xf numFmtId="0" fontId="2" fillId="5" borderId="0" xfId="28" applyFill="1" applyAlignment="1">
      <alignment horizontal="left" vertical="top" wrapText="1"/>
    </xf>
    <xf numFmtId="171" fontId="49" fillId="5" borderId="1" xfId="31" applyNumberFormat="1" applyFont="1" applyFill="1" applyBorder="1"/>
    <xf numFmtId="165" fontId="0" fillId="5" borderId="5" xfId="1" applyNumberFormat="1" applyFont="1" applyFill="1" applyBorder="1"/>
    <xf numFmtId="43" fontId="13" fillId="0" borderId="0" xfId="31" applyFont="1"/>
    <xf numFmtId="171" fontId="49" fillId="5" borderId="1" xfId="1" applyNumberFormat="1" applyFont="1" applyFill="1" applyBorder="1" applyAlignment="1">
      <alignment vertical="center" wrapText="1"/>
    </xf>
    <xf numFmtId="0" fontId="49" fillId="5" borderId="0" xfId="28" applyFont="1" applyFill="1" applyAlignment="1">
      <alignment horizontal="left" vertical="top" wrapText="1"/>
    </xf>
    <xf numFmtId="0" fontId="49" fillId="5" borderId="0" xfId="28" applyFont="1" applyFill="1" applyAlignment="1">
      <alignment wrapText="1"/>
    </xf>
    <xf numFmtId="0" fontId="49" fillId="5" borderId="0" xfId="0" applyFont="1" applyFill="1"/>
    <xf numFmtId="0" fontId="49" fillId="5" borderId="0" xfId="28" applyFont="1" applyFill="1"/>
    <xf numFmtId="173" fontId="53" fillId="0" borderId="0" xfId="0" applyNumberFormat="1" applyFont="1" applyAlignment="1">
      <alignment horizontal="right" vertical="top"/>
    </xf>
    <xf numFmtId="43" fontId="2" fillId="0" borderId="0" xfId="31" applyFont="1"/>
    <xf numFmtId="43" fontId="0" fillId="5" borderId="0" xfId="31" applyFont="1" applyFill="1"/>
    <xf numFmtId="43" fontId="34" fillId="0" borderId="0" xfId="31" applyFont="1"/>
    <xf numFmtId="43" fontId="15" fillId="0" borderId="0" xfId="31" applyFont="1" applyAlignment="1">
      <alignment horizontal="center" vertical="center" wrapText="1"/>
    </xf>
    <xf numFmtId="43" fontId="15" fillId="7" borderId="0" xfId="31" applyFont="1" applyFill="1" applyAlignment="1">
      <alignment horizontal="center" vertical="center" wrapText="1"/>
    </xf>
    <xf numFmtId="43" fontId="0" fillId="0" borderId="0" xfId="31" applyFont="1" applyFill="1"/>
    <xf numFmtId="43" fontId="2" fillId="0" borderId="0" xfId="31" applyFont="1" applyFill="1"/>
    <xf numFmtId="43" fontId="36" fillId="0" borderId="0" xfId="31" applyFont="1" applyFill="1"/>
    <xf numFmtId="43" fontId="37" fillId="0" borderId="0" xfId="31" applyFont="1"/>
    <xf numFmtId="43" fontId="41" fillId="0" borderId="0" xfId="31" applyFont="1"/>
    <xf numFmtId="43" fontId="14" fillId="5" borderId="1" xfId="31" applyFont="1" applyFill="1" applyBorder="1" applyAlignment="1">
      <alignment horizontal="right" vertical="center" wrapText="1"/>
    </xf>
    <xf numFmtId="43" fontId="14" fillId="5" borderId="0" xfId="31" applyFont="1" applyFill="1"/>
    <xf numFmtId="0" fontId="29" fillId="0" borderId="0" xfId="0" applyFont="1" applyAlignment="1">
      <alignment horizontal="center" vertical="center"/>
    </xf>
    <xf numFmtId="0" fontId="30" fillId="0" borderId="0" xfId="0" applyFont="1" applyAlignment="1">
      <alignment horizontal="center" vertical="center"/>
    </xf>
    <xf numFmtId="1" fontId="29" fillId="7" borderId="28" xfId="0" applyNumberFormat="1" applyFont="1" applyFill="1" applyBorder="1" applyAlignment="1">
      <alignment horizontal="center" vertical="center"/>
    </xf>
    <xf numFmtId="1" fontId="29" fillId="7" borderId="29" xfId="0" applyNumberFormat="1" applyFont="1" applyFill="1" applyBorder="1" applyAlignment="1">
      <alignment horizontal="center" vertical="center"/>
    </xf>
    <xf numFmtId="1" fontId="29" fillId="7" borderId="30" xfId="0" applyNumberFormat="1" applyFont="1" applyFill="1" applyBorder="1" applyAlignment="1">
      <alignment horizontal="center" vertical="center"/>
    </xf>
    <xf numFmtId="1" fontId="29" fillId="7" borderId="23" xfId="0" applyNumberFormat="1" applyFont="1" applyFill="1" applyBorder="1" applyAlignment="1">
      <alignment horizontal="center" vertical="center"/>
    </xf>
    <xf numFmtId="1" fontId="29" fillId="7" borderId="24" xfId="0" applyNumberFormat="1" applyFont="1" applyFill="1" applyBorder="1" applyAlignment="1">
      <alignment horizontal="center" vertical="center"/>
    </xf>
    <xf numFmtId="1" fontId="29" fillId="7" borderId="34" xfId="0" applyNumberFormat="1" applyFont="1" applyFill="1" applyBorder="1" applyAlignment="1">
      <alignment horizontal="center" vertical="center" wrapText="1"/>
    </xf>
    <xf numFmtId="1" fontId="0" fillId="7" borderId="32" xfId="0" applyNumberFormat="1" applyFill="1" applyBorder="1" applyAlignment="1">
      <alignment horizontal="center" vertical="center" wrapText="1"/>
    </xf>
    <xf numFmtId="171" fontId="13" fillId="7" borderId="2" xfId="31" applyNumberFormat="1" applyFont="1" applyFill="1" applyBorder="1" applyAlignment="1">
      <alignment horizontal="center" vertical="center" wrapText="1"/>
    </xf>
    <xf numFmtId="171" fontId="13" fillId="7" borderId="5" xfId="31" applyNumberFormat="1" applyFont="1" applyFill="1" applyBorder="1" applyAlignment="1">
      <alignment horizontal="center" vertical="center" wrapText="1"/>
    </xf>
    <xf numFmtId="171" fontId="13" fillId="7" borderId="3" xfId="31" applyNumberFormat="1" applyFont="1" applyFill="1" applyBorder="1" applyAlignment="1">
      <alignment horizontal="center" vertical="center" wrapText="1"/>
    </xf>
    <xf numFmtId="43" fontId="13" fillId="7" borderId="2" xfId="31" applyFont="1" applyFill="1" applyBorder="1" applyAlignment="1">
      <alignment horizontal="center" vertical="center" wrapText="1"/>
    </xf>
    <xf numFmtId="43" fontId="13" fillId="7" borderId="5" xfId="31" applyFont="1" applyFill="1" applyBorder="1" applyAlignment="1">
      <alignment horizontal="center" vertical="center" wrapText="1"/>
    </xf>
    <xf numFmtId="43" fontId="13" fillId="7" borderId="3" xfId="31" applyFont="1" applyFill="1" applyBorder="1" applyAlignment="1">
      <alignment horizontal="center" vertical="center" wrapText="1"/>
    </xf>
    <xf numFmtId="43" fontId="15" fillId="7" borderId="2" xfId="31" applyFont="1" applyFill="1" applyBorder="1" applyAlignment="1">
      <alignment horizontal="center" vertical="center" wrapText="1"/>
    </xf>
    <xf numFmtId="43" fontId="15" fillId="7" borderId="5" xfId="31" applyFont="1" applyFill="1" applyBorder="1" applyAlignment="1">
      <alignment horizontal="center" vertical="center" wrapText="1"/>
    </xf>
    <xf numFmtId="43" fontId="15" fillId="7" borderId="3" xfId="31" applyFont="1" applyFill="1" applyBorder="1" applyAlignment="1">
      <alignment horizontal="center" vertical="center" wrapText="1"/>
    </xf>
    <xf numFmtId="171" fontId="15" fillId="7" borderId="2" xfId="31" applyNumberFormat="1" applyFont="1" applyFill="1" applyBorder="1" applyAlignment="1">
      <alignment horizontal="center" vertical="center" wrapText="1"/>
    </xf>
    <xf numFmtId="171" fontId="15" fillId="7" borderId="5" xfId="31" applyNumberFormat="1" applyFont="1" applyFill="1" applyBorder="1" applyAlignment="1">
      <alignment horizontal="center" vertical="center" wrapText="1"/>
    </xf>
    <xf numFmtId="171" fontId="15" fillId="7" borderId="3" xfId="31" applyNumberFormat="1"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3" fillId="7" borderId="3" xfId="0" applyFont="1" applyFill="1" applyBorder="1" applyAlignment="1">
      <alignment horizontal="center" vertical="center" wrapText="1"/>
    </xf>
    <xf numFmtId="164" fontId="13" fillId="7" borderId="1" xfId="1" applyFont="1" applyFill="1" applyBorder="1" applyAlignment="1">
      <alignment horizontal="center" vertical="center" wrapText="1"/>
    </xf>
    <xf numFmtId="171" fontId="13" fillId="9" borderId="2" xfId="31" applyNumberFormat="1" applyFont="1" applyFill="1" applyBorder="1" applyAlignment="1">
      <alignment horizontal="center" vertical="center" wrapText="1"/>
    </xf>
    <xf numFmtId="171" fontId="13" fillId="9" borderId="5" xfId="31" applyNumberFormat="1" applyFont="1" applyFill="1" applyBorder="1" applyAlignment="1">
      <alignment horizontal="center" vertical="center" wrapText="1"/>
    </xf>
    <xf numFmtId="171" fontId="13" fillId="9" borderId="3" xfId="31" applyNumberFormat="1" applyFont="1" applyFill="1" applyBorder="1" applyAlignment="1">
      <alignment horizontal="center" vertical="center" wrapText="1"/>
    </xf>
    <xf numFmtId="0" fontId="13" fillId="0" borderId="1" xfId="0" applyFont="1" applyBorder="1" applyAlignment="1">
      <alignment vertical="center" wrapText="1"/>
    </xf>
    <xf numFmtId="0" fontId="13" fillId="0" borderId="4" xfId="0" applyFont="1" applyBorder="1" applyAlignment="1">
      <alignment horizontal="center"/>
    </xf>
    <xf numFmtId="0" fontId="13" fillId="0" borderId="7" xfId="0" applyFont="1" applyBorder="1" applyAlignment="1">
      <alignment horizontal="center"/>
    </xf>
    <xf numFmtId="0" fontId="13" fillId="0" borderId="2" xfId="0" applyFont="1" applyBorder="1" applyAlignment="1">
      <alignment vertical="center" wrapText="1"/>
    </xf>
    <xf numFmtId="0" fontId="13" fillId="0" borderId="5" xfId="0" applyFont="1" applyBorder="1" applyAlignment="1">
      <alignment vertical="center" wrapText="1"/>
    </xf>
    <xf numFmtId="0" fontId="13" fillId="0" borderId="3" xfId="0" applyFont="1" applyBorder="1" applyAlignment="1">
      <alignment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xf>
    <xf numFmtId="0" fontId="13" fillId="0" borderId="7" xfId="0" applyFont="1" applyBorder="1" applyAlignment="1">
      <alignment horizontal="center" vertical="center"/>
    </xf>
    <xf numFmtId="0" fontId="13" fillId="0" borderId="2" xfId="0" applyFont="1" applyBorder="1" applyAlignment="1">
      <alignment horizontal="left" vertical="center"/>
    </xf>
    <xf numFmtId="0" fontId="13" fillId="0" borderId="5" xfId="0" applyFont="1" applyBorder="1" applyAlignment="1">
      <alignment horizontal="left" vertical="center"/>
    </xf>
    <xf numFmtId="0" fontId="13" fillId="0" borderId="4" xfId="0" applyFont="1" applyBorder="1" applyAlignment="1">
      <alignment horizontal="center" vertical="center" wrapText="1"/>
    </xf>
    <xf numFmtId="0" fontId="13" fillId="0" borderId="7" xfId="0" applyFont="1" applyBorder="1" applyAlignment="1">
      <alignment horizontal="center" vertical="center" wrapText="1"/>
    </xf>
    <xf numFmtId="49" fontId="25" fillId="0" borderId="34" xfId="35" applyNumberFormat="1" applyFont="1" applyBorder="1" applyAlignment="1">
      <alignment horizontal="center"/>
    </xf>
    <xf numFmtId="49" fontId="25" fillId="0" borderId="38" xfId="35" applyNumberFormat="1" applyFont="1" applyBorder="1" applyAlignment="1">
      <alignment horizontal="center"/>
    </xf>
    <xf numFmtId="49" fontId="25" fillId="0" borderId="32" xfId="35" applyNumberFormat="1" applyFont="1" applyBorder="1" applyAlignment="1">
      <alignment horizontal="center"/>
    </xf>
  </cellXfs>
  <cellStyles count="38">
    <cellStyle name="Comma" xfId="31" builtinId="3"/>
    <cellStyle name="Comma 10" xfId="33" xr:uid="{00000000-0005-0000-0000-000001000000}"/>
    <cellStyle name="Comma 2" xfId="1" xr:uid="{00000000-0005-0000-0000-000002000000}"/>
    <cellStyle name="Comma 2 2" xfId="2" xr:uid="{00000000-0005-0000-0000-000003000000}"/>
    <cellStyle name="Comma 3" xfId="3" xr:uid="{00000000-0005-0000-0000-000004000000}"/>
    <cellStyle name="Comma 3 2" xfId="4" xr:uid="{00000000-0005-0000-0000-000005000000}"/>
    <cellStyle name="Comma 3_Satyam Combines 2012" xfId="5" xr:uid="{00000000-0005-0000-0000-000006000000}"/>
    <cellStyle name="Comma 4" xfId="6" xr:uid="{00000000-0005-0000-0000-000007000000}"/>
    <cellStyle name="Comma 5" xfId="7" xr:uid="{00000000-0005-0000-0000-000008000000}"/>
    <cellStyle name="Comma 6" xfId="8" xr:uid="{00000000-0005-0000-0000-000009000000}"/>
    <cellStyle name="Comma 7" xfId="9" xr:uid="{00000000-0005-0000-0000-00000A000000}"/>
    <cellStyle name="Comma 8" xfId="10" xr:uid="{00000000-0005-0000-0000-00000B000000}"/>
    <cellStyle name="Comma 9" xfId="11" xr:uid="{00000000-0005-0000-0000-00000C000000}"/>
    <cellStyle name="Comma 9 2" xfId="12" xr:uid="{00000000-0005-0000-0000-00000D000000}"/>
    <cellStyle name="Comma_NIPL_Dep_2010 - 2011 2" xfId="30" xr:uid="{00000000-0005-0000-0000-00000E000000}"/>
    <cellStyle name="Euro" xfId="13" xr:uid="{00000000-0005-0000-0000-00000F000000}"/>
    <cellStyle name="Hyperlink" xfId="32" builtinId="8"/>
    <cellStyle name="Hyperlink 2" xfId="36" xr:uid="{00000000-0005-0000-0000-000011000000}"/>
    <cellStyle name="Normal" xfId="0" builtinId="0"/>
    <cellStyle name="Normal 2" xfId="14" xr:uid="{00000000-0005-0000-0000-000013000000}"/>
    <cellStyle name="Normal 2 2" xfId="15" xr:uid="{00000000-0005-0000-0000-000014000000}"/>
    <cellStyle name="Normal 2 3" xfId="37" xr:uid="{00000000-0005-0000-0000-000015000000}"/>
    <cellStyle name="Normal 2_Satyam Combines 2012" xfId="16" xr:uid="{00000000-0005-0000-0000-000016000000}"/>
    <cellStyle name="Normal 3" xfId="17" xr:uid="{00000000-0005-0000-0000-000017000000}"/>
    <cellStyle name="Normal 4" xfId="18" xr:uid="{00000000-0005-0000-0000-000018000000}"/>
    <cellStyle name="Normal 4 2" xfId="19" xr:uid="{00000000-0005-0000-0000-000019000000}"/>
    <cellStyle name="Normal 4_Comm Complex Monthly Report Dec 08 Estd rate" xfId="20" xr:uid="{00000000-0005-0000-0000-00001A000000}"/>
    <cellStyle name="Normal 5" xfId="21" xr:uid="{00000000-0005-0000-0000-00001B000000}"/>
    <cellStyle name="Normal 5 2" xfId="35" xr:uid="{00000000-0005-0000-0000-00001C000000}"/>
    <cellStyle name="Normal 6" xfId="22" xr:uid="{00000000-0005-0000-0000-00001D000000}"/>
    <cellStyle name="Normal 7" xfId="23" xr:uid="{00000000-0005-0000-0000-00001E000000}"/>
    <cellStyle name="Normal_NIPL_Dep_2010 - 2011 2" xfId="29" xr:uid="{00000000-0005-0000-0000-00001F000000}"/>
    <cellStyle name="Normal_Sheet1 2" xfId="28" xr:uid="{00000000-0005-0000-0000-000020000000}"/>
    <cellStyle name="Percent" xfId="34" builtinId="5"/>
    <cellStyle name="Percent 2" xfId="24" xr:uid="{00000000-0005-0000-0000-000022000000}"/>
    <cellStyle name="Percent 2 2" xfId="25" xr:uid="{00000000-0005-0000-0000-000023000000}"/>
    <cellStyle name="Percent 3" xfId="26" xr:uid="{00000000-0005-0000-0000-000024000000}"/>
    <cellStyle name="Yellow" xfId="27"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server\c\Balance%20sheets\wlel\WLEL%20Balance%20Sheet%2031.03.2001%2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ootserver\accounts\2008-09\Documents%20and%20Settings\WELCOME\My%20Documents\Bajaj\balance%20sheets\Bajaj%20Steels\2005-06\Balance%20Sheet%2005-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ome-2a9fa9ca3d\c\Documents%20and%20Settings\Ajit\Desktop\NEW%20FORMAT%20for%203%20y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rver\e\ACCOUNT%20TAX%20AUDIT,%20DIRECTOR'S%20REPORT%20AUDITOR'S%20REPORT\Accounts\Account%202009-10\GEGA%20ENTERPRISES%20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ootserver\accounts\Quarterly\September%2009\AHL\AHL%20Grouping\Final%20Grouping%20Apr%2009%20-%20Sep%2009%20(Tagging%20File)%20AHL%20(R).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rver\e\ASHIANA%20HOUSING%20LTD%20fin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ome-2a9fa9ca3d\c\Documents%20and%20Settings\Admin\My%20Documents\NEW%20FORMAT.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e\Users\vinit\AppData\Local\Microsoft\Windows\Temporary%20Internet%20Files\Content.Outlook\5LCI5AF3\AHL%20Balance%20Sheet%202012%20fin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er\d\MASTER%20DATA%20(B.CHHAWCHHARIA%20&amp;%20CO)\ACCOUNT%20TAX%20AUDIT,%20DIRECTOR'S%20REPORT%20AUDITOR'S%20REPORT\Accounts\MANNAKRISHNA\Accounts\Account%202007-08\MANNAKRISHNA%202007%20-%20200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er\e\ACCOUNT%20TAX%20AUDIT,%20DIRECTOR'S%20REPORT%20AUDITOR'S%20REPORT\Accounts\Account%202009-10\Final%20Printed%20Balance%20Sheet%202010\Chandigarh\Satyam%20Combines%20Pvt.Ltd.%20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sheetName val="pl"/>
      <sheetName val="capresloan"/>
      <sheetName val="fa"/>
      <sheetName val="Invest"/>
      <sheetName val="Cla"/>
      <sheetName val="ClpInc"/>
      <sheetName val="OeIntTxPpa"/>
      <sheetName val="Note-1"/>
      <sheetName val="Note-2"/>
      <sheetName val="BsAbs"/>
      <sheetName val="Cflow"/>
      <sheetName val="Tcomp"/>
      <sheetName val="Revex Gr"/>
      <sheetName val="Bs Gr."/>
      <sheetName val="SSI"/>
      <sheetName val="Cal Off"/>
      <sheetName val="DebtorsGr"/>
      <sheetName val="80HHC "/>
      <sheetName val="Tdep"/>
      <sheetName val="Tdep(old)"/>
      <sheetName val="Itintt"/>
      <sheetName val="Notes G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P&amp;L"/>
      <sheetName val="schedule"/>
      <sheetName val="Fixed Assets"/>
      <sheetName val="segment"/>
      <sheetName val="profile"/>
      <sheetName val="Cashflow"/>
      <sheetName val="Group"/>
      <sheetName val="stock"/>
      <sheetName val="deferred"/>
      <sheetName val="Comm"/>
      <sheetName val="Tax comp"/>
      <sheetName val="wealth"/>
      <sheetName val="C gain"/>
      <sheetName val="Dep it"/>
    </sheetNames>
    <sheetDataSet>
      <sheetData sheetId="0" refreshError="1"/>
      <sheetData sheetId="1" refreshError="1"/>
      <sheetData sheetId="2" refreshError="1"/>
      <sheetData sheetId="3" refreshError="1"/>
      <sheetData sheetId="4" refreshError="1"/>
      <sheetData sheetId="5" refreshError="1"/>
      <sheetData sheetId="6" refreshError="1">
        <row r="86">
          <cell r="A86" t="str">
            <v>EXPENDITURE</v>
          </cell>
        </row>
        <row r="87">
          <cell r="A87" t="str">
            <v>Cost of Material</v>
          </cell>
          <cell r="E87" t="str">
            <v xml:space="preserve"> </v>
          </cell>
        </row>
        <row r="88">
          <cell r="A88" t="str">
            <v>Raw Material Consumed (As per schedule)</v>
          </cell>
          <cell r="B88">
            <v>260985470.61000001</v>
          </cell>
          <cell r="C88">
            <v>20671596.540000003</v>
          </cell>
          <cell r="D88">
            <v>0</v>
          </cell>
          <cell r="E88">
            <v>242046399.91</v>
          </cell>
          <cell r="F88">
            <v>105465976.65000001</v>
          </cell>
          <cell r="G88">
            <v>452370667.08000004</v>
          </cell>
          <cell r="H88">
            <v>1081540110.79</v>
          </cell>
        </row>
        <row r="89">
          <cell r="A89" t="str">
            <v>Consumption of stores (As per schedule)</v>
          </cell>
          <cell r="B89">
            <v>28649044.329999998</v>
          </cell>
          <cell r="C89">
            <v>5053634.93</v>
          </cell>
          <cell r="D89">
            <v>0</v>
          </cell>
          <cell r="E89">
            <v>11823921.5</v>
          </cell>
          <cell r="F89">
            <v>1975212.6799999997</v>
          </cell>
          <cell r="G89">
            <v>933233.29</v>
          </cell>
          <cell r="H89">
            <v>48435046.729999997</v>
          </cell>
        </row>
        <row r="90">
          <cell r="B90">
            <v>289634514.94</v>
          </cell>
          <cell r="C90">
            <v>25725231.470000003</v>
          </cell>
          <cell r="D90">
            <v>0</v>
          </cell>
          <cell r="E90">
            <v>253870321.41</v>
          </cell>
          <cell r="F90">
            <v>107441189.33000001</v>
          </cell>
          <cell r="G90">
            <v>453303900.37000006</v>
          </cell>
          <cell r="H90">
            <v>1129975157.52</v>
          </cell>
        </row>
        <row r="92">
          <cell r="A92" t="str">
            <v>Purchases</v>
          </cell>
        </row>
        <row r="93">
          <cell r="A93" t="str">
            <v>Purchases of Liliput Gin</v>
          </cell>
          <cell r="B93">
            <v>114876.89</v>
          </cell>
          <cell r="C93">
            <v>0</v>
          </cell>
          <cell r="D93">
            <v>0</v>
          </cell>
          <cell r="E93">
            <v>0</v>
          </cell>
          <cell r="F93">
            <v>0</v>
          </cell>
          <cell r="G93">
            <v>0</v>
          </cell>
          <cell r="H93">
            <v>114876.89</v>
          </cell>
        </row>
        <row r="94">
          <cell r="A94" t="str">
            <v>Purchases of Jumbo Bags</v>
          </cell>
          <cell r="B94">
            <v>0</v>
          </cell>
          <cell r="C94">
            <v>0</v>
          </cell>
          <cell r="D94">
            <v>0</v>
          </cell>
          <cell r="E94">
            <v>0</v>
          </cell>
          <cell r="F94">
            <v>20391197</v>
          </cell>
          <cell r="G94">
            <v>0</v>
          </cell>
          <cell r="H94">
            <v>20391197</v>
          </cell>
        </row>
        <row r="95">
          <cell r="B95">
            <v>114876.89</v>
          </cell>
          <cell r="C95">
            <v>0</v>
          </cell>
          <cell r="D95">
            <v>0</v>
          </cell>
          <cell r="E95">
            <v>0</v>
          </cell>
          <cell r="F95">
            <v>20391197</v>
          </cell>
          <cell r="G95">
            <v>0</v>
          </cell>
          <cell r="H95">
            <v>20506073.890000001</v>
          </cell>
        </row>
        <row r="97">
          <cell r="A97" t="str">
            <v>SALARIES WAGES, BONUS AND ALLOWANCES:</v>
          </cell>
        </row>
        <row r="98">
          <cell r="A98" t="str">
            <v>Office staff salary</v>
          </cell>
          <cell r="B98">
            <v>1989633.8599999999</v>
          </cell>
          <cell r="C98">
            <v>1418900.79</v>
          </cell>
          <cell r="D98">
            <v>0</v>
          </cell>
          <cell r="E98">
            <v>1758269.82</v>
          </cell>
          <cell r="F98">
            <v>0</v>
          </cell>
          <cell r="G98">
            <v>2678295.65</v>
          </cell>
          <cell r="H98">
            <v>7845100.1199999992</v>
          </cell>
        </row>
        <row r="99">
          <cell r="A99" t="str">
            <v>Factory Staff Salary</v>
          </cell>
          <cell r="B99">
            <v>0</v>
          </cell>
          <cell r="C99">
            <v>0</v>
          </cell>
          <cell r="D99">
            <v>0</v>
          </cell>
          <cell r="E99">
            <v>3106783.34</v>
          </cell>
          <cell r="F99">
            <v>0</v>
          </cell>
          <cell r="G99">
            <v>0</v>
          </cell>
          <cell r="H99">
            <v>3106783.34</v>
          </cell>
        </row>
        <row r="100">
          <cell r="A100" t="str">
            <v>Supervisory staff salary</v>
          </cell>
          <cell r="B100">
            <v>4186180.83</v>
          </cell>
          <cell r="C100">
            <v>0</v>
          </cell>
          <cell r="D100">
            <v>0</v>
          </cell>
          <cell r="E100">
            <v>0</v>
          </cell>
          <cell r="F100">
            <v>0</v>
          </cell>
          <cell r="G100">
            <v>0</v>
          </cell>
          <cell r="H100">
            <v>4186180.83</v>
          </cell>
        </row>
        <row r="101">
          <cell r="A101" t="str">
            <v>Wages</v>
          </cell>
          <cell r="B101">
            <v>2470168.37</v>
          </cell>
          <cell r="C101">
            <v>329159.96999999997</v>
          </cell>
          <cell r="D101">
            <v>0</v>
          </cell>
          <cell r="E101">
            <v>11294151.539999999</v>
          </cell>
          <cell r="F101">
            <v>1684352.69</v>
          </cell>
          <cell r="G101">
            <v>0</v>
          </cell>
          <cell r="H101">
            <v>15777832.569999998</v>
          </cell>
        </row>
        <row r="102">
          <cell r="A102" t="str">
            <v>Overtime Wages</v>
          </cell>
          <cell r="B102">
            <v>396455.4</v>
          </cell>
          <cell r="C102">
            <v>0</v>
          </cell>
          <cell r="D102">
            <v>0</v>
          </cell>
          <cell r="E102">
            <v>1956455.16</v>
          </cell>
          <cell r="F102">
            <v>28302.97</v>
          </cell>
          <cell r="G102">
            <v>0</v>
          </cell>
          <cell r="H102">
            <v>2381213.5300000003</v>
          </cell>
        </row>
        <row r="103">
          <cell r="A103" t="str">
            <v>Leave Encashment paid</v>
          </cell>
          <cell r="B103">
            <v>78164.420000000013</v>
          </cell>
          <cell r="C103">
            <v>22703</v>
          </cell>
          <cell r="D103">
            <v>0</v>
          </cell>
          <cell r="E103">
            <v>325971</v>
          </cell>
          <cell r="F103">
            <v>0</v>
          </cell>
          <cell r="G103">
            <v>0</v>
          </cell>
          <cell r="H103">
            <v>426838.42000000004</v>
          </cell>
        </row>
        <row r="104">
          <cell r="A104" t="str">
            <v>Provision for Leave Encashment</v>
          </cell>
          <cell r="B104">
            <v>80166</v>
          </cell>
          <cell r="C104">
            <v>9040</v>
          </cell>
          <cell r="D104">
            <v>0</v>
          </cell>
          <cell r="E104">
            <v>183917</v>
          </cell>
          <cell r="F104">
            <v>0</v>
          </cell>
          <cell r="G104">
            <v>0</v>
          </cell>
          <cell r="H104">
            <v>273123</v>
          </cell>
        </row>
        <row r="105">
          <cell r="A105" t="str">
            <v>Gratuity Paid</v>
          </cell>
          <cell r="B105">
            <v>206586</v>
          </cell>
          <cell r="C105">
            <v>0</v>
          </cell>
          <cell r="D105">
            <v>0</v>
          </cell>
          <cell r="E105">
            <v>731593</v>
          </cell>
          <cell r="F105">
            <v>0</v>
          </cell>
          <cell r="G105">
            <v>0</v>
          </cell>
          <cell r="H105">
            <v>938179</v>
          </cell>
        </row>
        <row r="106">
          <cell r="A106" t="str">
            <v>Provision for Gratuity</v>
          </cell>
          <cell r="B106">
            <v>829285</v>
          </cell>
          <cell r="C106">
            <v>35585</v>
          </cell>
          <cell r="D106">
            <v>0</v>
          </cell>
          <cell r="E106">
            <v>698069</v>
          </cell>
          <cell r="F106">
            <v>0</v>
          </cell>
          <cell r="G106">
            <v>0</v>
          </cell>
          <cell r="H106">
            <v>1562939</v>
          </cell>
        </row>
        <row r="107">
          <cell r="A107" t="str">
            <v>House rent allowance</v>
          </cell>
          <cell r="B107">
            <v>255201.09</v>
          </cell>
          <cell r="C107">
            <v>64458.12</v>
          </cell>
          <cell r="D107">
            <v>0</v>
          </cell>
          <cell r="E107">
            <v>89637</v>
          </cell>
          <cell r="F107">
            <v>0</v>
          </cell>
          <cell r="G107">
            <v>39094.17</v>
          </cell>
          <cell r="H107">
            <v>448390.38</v>
          </cell>
        </row>
        <row r="108">
          <cell r="A108" t="str">
            <v>Conveyance Allowance</v>
          </cell>
          <cell r="B108">
            <v>3387.1</v>
          </cell>
          <cell r="C108">
            <v>3200</v>
          </cell>
          <cell r="D108">
            <v>0</v>
          </cell>
          <cell r="E108">
            <v>0</v>
          </cell>
          <cell r="F108">
            <v>0</v>
          </cell>
          <cell r="G108">
            <v>0</v>
          </cell>
          <cell r="H108">
            <v>6587.1</v>
          </cell>
        </row>
        <row r="109">
          <cell r="A109" t="str">
            <v>Telephone Allowance</v>
          </cell>
          <cell r="B109">
            <v>3380.65</v>
          </cell>
          <cell r="C109">
            <v>4000</v>
          </cell>
          <cell r="D109">
            <v>0</v>
          </cell>
          <cell r="E109">
            <v>0</v>
          </cell>
          <cell r="F109">
            <v>0</v>
          </cell>
          <cell r="G109">
            <v>0</v>
          </cell>
          <cell r="H109">
            <v>7380.65</v>
          </cell>
        </row>
        <row r="110">
          <cell r="A110" t="str">
            <v>Medical Allowance</v>
          </cell>
          <cell r="B110">
            <v>3580.65</v>
          </cell>
          <cell r="C110">
            <v>2400</v>
          </cell>
          <cell r="D110">
            <v>0</v>
          </cell>
          <cell r="E110">
            <v>0</v>
          </cell>
          <cell r="F110">
            <v>0</v>
          </cell>
          <cell r="G110">
            <v>0</v>
          </cell>
          <cell r="H110">
            <v>5980.65</v>
          </cell>
        </row>
        <row r="111">
          <cell r="A111" t="str">
            <v>Bonus</v>
          </cell>
          <cell r="B111">
            <v>1728498</v>
          </cell>
          <cell r="C111">
            <v>348194</v>
          </cell>
          <cell r="D111">
            <v>0</v>
          </cell>
          <cell r="E111">
            <v>1480364</v>
          </cell>
          <cell r="F111">
            <v>129259.97</v>
          </cell>
          <cell r="G111">
            <v>75096</v>
          </cell>
          <cell r="H111">
            <v>3761411.97</v>
          </cell>
        </row>
        <row r="112">
          <cell r="A112" t="str">
            <v>Washing allowance</v>
          </cell>
          <cell r="B112">
            <v>0</v>
          </cell>
          <cell r="C112">
            <v>2400</v>
          </cell>
          <cell r="D112">
            <v>0</v>
          </cell>
          <cell r="E112">
            <v>121648.98</v>
          </cell>
          <cell r="F112">
            <v>0</v>
          </cell>
          <cell r="G112">
            <v>0</v>
          </cell>
          <cell r="H112">
            <v>124048.98</v>
          </cell>
        </row>
        <row r="113">
          <cell r="A113" t="str">
            <v>Attendance Allowance</v>
          </cell>
          <cell r="B113">
            <v>106525</v>
          </cell>
          <cell r="C113">
            <v>0</v>
          </cell>
          <cell r="D113">
            <v>0</v>
          </cell>
          <cell r="E113">
            <v>161801.16</v>
          </cell>
          <cell r="F113">
            <v>0</v>
          </cell>
          <cell r="G113">
            <v>0</v>
          </cell>
          <cell r="H113">
            <v>268326.16000000003</v>
          </cell>
        </row>
        <row r="114">
          <cell r="A114" t="str">
            <v>Ex-Gratia</v>
          </cell>
          <cell r="B114">
            <v>26100</v>
          </cell>
          <cell r="C114">
            <v>0</v>
          </cell>
          <cell r="D114">
            <v>0</v>
          </cell>
          <cell r="E114">
            <v>679612</v>
          </cell>
          <cell r="F114">
            <v>0</v>
          </cell>
          <cell r="G114">
            <v>19998</v>
          </cell>
          <cell r="H114">
            <v>725710</v>
          </cell>
        </row>
        <row r="115">
          <cell r="A115" t="str">
            <v>Production Incentive</v>
          </cell>
          <cell r="B115">
            <v>0</v>
          </cell>
          <cell r="C115">
            <v>0</v>
          </cell>
          <cell r="D115">
            <v>0</v>
          </cell>
          <cell r="E115">
            <v>767213.78</v>
          </cell>
          <cell r="F115">
            <v>0</v>
          </cell>
          <cell r="G115">
            <v>0</v>
          </cell>
          <cell r="H115">
            <v>767213.78</v>
          </cell>
        </row>
        <row r="116">
          <cell r="A116" t="str">
            <v>Other Allowances/Earnings</v>
          </cell>
          <cell r="B116">
            <v>54693.61</v>
          </cell>
          <cell r="C116">
            <v>0</v>
          </cell>
          <cell r="D116">
            <v>0</v>
          </cell>
          <cell r="E116">
            <v>67656.210000000006</v>
          </cell>
          <cell r="F116">
            <v>0</v>
          </cell>
          <cell r="G116">
            <v>7550</v>
          </cell>
          <cell r="H116">
            <v>129899.82</v>
          </cell>
        </row>
        <row r="117">
          <cell r="A117" t="str">
            <v>Stipend</v>
          </cell>
          <cell r="B117">
            <v>80352</v>
          </cell>
          <cell r="C117">
            <v>0</v>
          </cell>
          <cell r="D117">
            <v>0</v>
          </cell>
          <cell r="E117">
            <v>3940</v>
          </cell>
          <cell r="F117">
            <v>0</v>
          </cell>
          <cell r="G117">
            <v>0</v>
          </cell>
          <cell r="H117">
            <v>84292</v>
          </cell>
        </row>
        <row r="118">
          <cell r="B118">
            <v>12498357.979999999</v>
          </cell>
          <cell r="C118">
            <v>2240040.88</v>
          </cell>
          <cell r="D118">
            <v>0</v>
          </cell>
          <cell r="E118">
            <v>23427082.990000002</v>
          </cell>
          <cell r="F118">
            <v>1841915.63</v>
          </cell>
          <cell r="G118">
            <v>2820033.82</v>
          </cell>
          <cell r="H118">
            <v>42827431.299999997</v>
          </cell>
        </row>
        <row r="119">
          <cell r="A119" t="str">
            <v>Jobwork Charges</v>
          </cell>
        </row>
        <row r="120">
          <cell r="A120" t="str">
            <v>Job work charges</v>
          </cell>
          <cell r="B120">
            <v>19944709.949999999</v>
          </cell>
          <cell r="C120">
            <v>2328818.4500000002</v>
          </cell>
          <cell r="D120">
            <v>0</v>
          </cell>
          <cell r="E120">
            <v>1668805</v>
          </cell>
          <cell r="F120">
            <v>0</v>
          </cell>
          <cell r="G120">
            <v>46702</v>
          </cell>
          <cell r="H120">
            <v>23989035.399999999</v>
          </cell>
        </row>
        <row r="121">
          <cell r="A121" t="str">
            <v>Job work charges (Bale Press)</v>
          </cell>
          <cell r="B121">
            <v>6920265</v>
          </cell>
          <cell r="C121">
            <v>0</v>
          </cell>
          <cell r="D121">
            <v>0</v>
          </cell>
          <cell r="E121">
            <v>0</v>
          </cell>
          <cell r="F121">
            <v>0</v>
          </cell>
          <cell r="G121">
            <v>0</v>
          </cell>
          <cell r="H121">
            <v>6920265</v>
          </cell>
        </row>
        <row r="122">
          <cell r="B122">
            <v>26864974.949999999</v>
          </cell>
          <cell r="C122">
            <v>2328818.4500000002</v>
          </cell>
          <cell r="D122">
            <v>0</v>
          </cell>
          <cell r="E122">
            <v>1668805</v>
          </cell>
          <cell r="F122">
            <v>0</v>
          </cell>
          <cell r="G122">
            <v>46702</v>
          </cell>
          <cell r="H122">
            <v>30909300.399999999</v>
          </cell>
        </row>
        <row r="124">
          <cell r="A124" t="str">
            <v>Staff/Labour welfare expenses</v>
          </cell>
        </row>
        <row r="125">
          <cell r="A125" t="str">
            <v>Welfare expenses</v>
          </cell>
          <cell r="B125">
            <v>1129972</v>
          </cell>
          <cell r="C125">
            <v>35137</v>
          </cell>
          <cell r="D125">
            <v>0</v>
          </cell>
          <cell r="E125">
            <v>1542271.65</v>
          </cell>
          <cell r="F125">
            <v>0</v>
          </cell>
          <cell r="G125">
            <v>0</v>
          </cell>
          <cell r="H125">
            <v>2707380.65</v>
          </cell>
        </row>
        <row r="126">
          <cell r="A126" t="str">
            <v>Dashera/Diwali Expenses</v>
          </cell>
          <cell r="B126">
            <v>117725</v>
          </cell>
          <cell r="C126">
            <v>18200</v>
          </cell>
          <cell r="D126">
            <v>0</v>
          </cell>
          <cell r="E126">
            <v>0</v>
          </cell>
          <cell r="F126">
            <v>0</v>
          </cell>
          <cell r="G126">
            <v>0</v>
          </cell>
          <cell r="H126">
            <v>135925</v>
          </cell>
        </row>
        <row r="127">
          <cell r="A127" t="str">
            <v>Employees Perquisites</v>
          </cell>
          <cell r="B127">
            <v>74489</v>
          </cell>
          <cell r="C127">
            <v>0</v>
          </cell>
          <cell r="D127">
            <v>0</v>
          </cell>
          <cell r="E127">
            <v>0</v>
          </cell>
          <cell r="F127">
            <v>0</v>
          </cell>
          <cell r="G127">
            <v>0</v>
          </cell>
          <cell r="H127">
            <v>74489</v>
          </cell>
        </row>
        <row r="128">
          <cell r="A128" t="str">
            <v>Director's Perquisites</v>
          </cell>
          <cell r="B128">
            <v>15907.71</v>
          </cell>
          <cell r="C128">
            <v>0</v>
          </cell>
          <cell r="D128">
            <v>0</v>
          </cell>
          <cell r="E128">
            <v>2200</v>
          </cell>
          <cell r="F128">
            <v>0</v>
          </cell>
          <cell r="G128">
            <v>630</v>
          </cell>
          <cell r="H128">
            <v>18737.71</v>
          </cell>
        </row>
        <row r="129">
          <cell r="A129" t="str">
            <v>Medical Expenses</v>
          </cell>
          <cell r="B129">
            <v>0</v>
          </cell>
          <cell r="C129">
            <v>0</v>
          </cell>
          <cell r="D129">
            <v>0</v>
          </cell>
          <cell r="E129">
            <v>37961</v>
          </cell>
          <cell r="F129">
            <v>1404</v>
          </cell>
          <cell r="G129">
            <v>0</v>
          </cell>
          <cell r="H129">
            <v>39365</v>
          </cell>
        </row>
        <row r="130">
          <cell r="B130">
            <v>1338093.71</v>
          </cell>
          <cell r="C130">
            <v>53337</v>
          </cell>
          <cell r="D130">
            <v>0</v>
          </cell>
          <cell r="E130">
            <v>1582432.65</v>
          </cell>
          <cell r="F130">
            <v>1404</v>
          </cell>
          <cell r="G130">
            <v>630</v>
          </cell>
          <cell r="H130">
            <v>2975897.36</v>
          </cell>
        </row>
        <row r="132">
          <cell r="A132" t="str">
            <v>Directors' Remuneration</v>
          </cell>
        </row>
        <row r="133">
          <cell r="A133" t="str">
            <v>Directors' Remuneration</v>
          </cell>
          <cell r="B133">
            <v>1494000</v>
          </cell>
          <cell r="C133">
            <v>0</v>
          </cell>
          <cell r="D133">
            <v>0</v>
          </cell>
          <cell r="E133">
            <v>381000</v>
          </cell>
          <cell r="F133">
            <v>0</v>
          </cell>
          <cell r="G133">
            <v>381000</v>
          </cell>
          <cell r="H133">
            <v>2256000</v>
          </cell>
        </row>
        <row r="134">
          <cell r="A134" t="str">
            <v>Commission</v>
          </cell>
          <cell r="B134">
            <v>498644</v>
          </cell>
          <cell r="C134">
            <v>0</v>
          </cell>
          <cell r="D134">
            <v>0</v>
          </cell>
          <cell r="E134">
            <v>0</v>
          </cell>
          <cell r="F134">
            <v>0</v>
          </cell>
          <cell r="G134">
            <v>0</v>
          </cell>
          <cell r="H134">
            <v>498644</v>
          </cell>
        </row>
        <row r="135">
          <cell r="B135">
            <v>1992644</v>
          </cell>
          <cell r="C135">
            <v>0</v>
          </cell>
          <cell r="D135">
            <v>0</v>
          </cell>
          <cell r="E135">
            <v>381000</v>
          </cell>
          <cell r="F135">
            <v>0</v>
          </cell>
          <cell r="G135">
            <v>381000</v>
          </cell>
          <cell r="H135">
            <v>2754644</v>
          </cell>
        </row>
        <row r="137">
          <cell r="A137" t="str">
            <v>Contribution to Provident and other Funds</v>
          </cell>
        </row>
        <row r="138">
          <cell r="A138" t="str">
            <v>Contribution to Provident fund</v>
          </cell>
          <cell r="B138">
            <v>683951</v>
          </cell>
          <cell r="C138">
            <v>103946</v>
          </cell>
          <cell r="D138">
            <v>0</v>
          </cell>
          <cell r="E138">
            <v>989482</v>
          </cell>
          <cell r="F138">
            <v>0</v>
          </cell>
          <cell r="G138">
            <v>0</v>
          </cell>
          <cell r="H138">
            <v>1777379</v>
          </cell>
        </row>
        <row r="139">
          <cell r="A139" t="str">
            <v>Contribution to Pension Fund</v>
          </cell>
          <cell r="B139">
            <v>564581</v>
          </cell>
          <cell r="C139">
            <v>85804</v>
          </cell>
          <cell r="D139">
            <v>0</v>
          </cell>
          <cell r="E139">
            <v>1533408</v>
          </cell>
          <cell r="F139">
            <v>0</v>
          </cell>
          <cell r="G139">
            <v>0</v>
          </cell>
          <cell r="H139">
            <v>2183793</v>
          </cell>
        </row>
        <row r="140">
          <cell r="A140" t="str">
            <v>Contribution to ESIC</v>
          </cell>
          <cell r="B140">
            <v>304024</v>
          </cell>
          <cell r="C140">
            <v>43164</v>
          </cell>
          <cell r="D140">
            <v>0</v>
          </cell>
          <cell r="E140">
            <v>0</v>
          </cell>
          <cell r="F140">
            <v>109281</v>
          </cell>
          <cell r="G140">
            <v>0</v>
          </cell>
          <cell r="H140">
            <v>456469</v>
          </cell>
        </row>
        <row r="141">
          <cell r="A141" t="str">
            <v>P.F.Administration charges</v>
          </cell>
          <cell r="B141">
            <v>116412</v>
          </cell>
          <cell r="C141">
            <v>17692</v>
          </cell>
          <cell r="D141">
            <v>0</v>
          </cell>
          <cell r="E141">
            <v>231254</v>
          </cell>
          <cell r="F141">
            <v>0</v>
          </cell>
          <cell r="G141">
            <v>0</v>
          </cell>
          <cell r="H141">
            <v>365358</v>
          </cell>
        </row>
        <row r="142">
          <cell r="A142" t="str">
            <v>P.F. insurance Administration charges</v>
          </cell>
          <cell r="B142">
            <v>34526</v>
          </cell>
          <cell r="C142">
            <v>5247</v>
          </cell>
          <cell r="D142">
            <v>0</v>
          </cell>
          <cell r="E142">
            <v>1840</v>
          </cell>
          <cell r="F142">
            <v>0</v>
          </cell>
          <cell r="G142">
            <v>0</v>
          </cell>
          <cell r="H142">
            <v>41613</v>
          </cell>
        </row>
        <row r="143">
          <cell r="A143" t="str">
            <v>Contribution to Link Insurance fund</v>
          </cell>
          <cell r="B143">
            <v>690</v>
          </cell>
          <cell r="C143">
            <v>105</v>
          </cell>
          <cell r="D143">
            <v>0</v>
          </cell>
          <cell r="E143">
            <v>92041</v>
          </cell>
          <cell r="F143">
            <v>0</v>
          </cell>
          <cell r="G143">
            <v>0</v>
          </cell>
          <cell r="H143">
            <v>92836</v>
          </cell>
        </row>
        <row r="144">
          <cell r="A144" t="str">
            <v>Contribution to labour welfare fund</v>
          </cell>
          <cell r="B144">
            <v>7506</v>
          </cell>
          <cell r="C144">
            <v>1440</v>
          </cell>
          <cell r="D144">
            <v>0</v>
          </cell>
          <cell r="E144">
            <v>3091</v>
          </cell>
          <cell r="F144">
            <v>0</v>
          </cell>
          <cell r="G144">
            <v>0</v>
          </cell>
          <cell r="H144">
            <v>12037</v>
          </cell>
        </row>
        <row r="145">
          <cell r="B145">
            <v>1711690</v>
          </cell>
          <cell r="C145">
            <v>257398</v>
          </cell>
          <cell r="D145">
            <v>0</v>
          </cell>
          <cell r="E145">
            <v>2851116</v>
          </cell>
          <cell r="F145">
            <v>109281</v>
          </cell>
          <cell r="G145">
            <v>0</v>
          </cell>
          <cell r="H145">
            <v>4929485</v>
          </cell>
        </row>
        <row r="147">
          <cell r="A147" t="str">
            <v>Total Personnel Expenses</v>
          </cell>
          <cell r="B147">
            <v>44405760.640000001</v>
          </cell>
          <cell r="C147">
            <v>4879594.33</v>
          </cell>
          <cell r="D147">
            <v>0</v>
          </cell>
          <cell r="E147">
            <v>29910436.640000001</v>
          </cell>
          <cell r="F147">
            <v>1952600.63</v>
          </cell>
          <cell r="G147">
            <v>3248365.82</v>
          </cell>
          <cell r="H147">
            <v>84396758.060000002</v>
          </cell>
        </row>
        <row r="149">
          <cell r="A149" t="str">
            <v>EXCISE DUTY</v>
          </cell>
          <cell r="B149">
            <v>47105859</v>
          </cell>
          <cell r="C149">
            <v>537090.5</v>
          </cell>
          <cell r="D149">
            <v>0</v>
          </cell>
          <cell r="E149">
            <v>50650411</v>
          </cell>
          <cell r="F149">
            <v>19131261</v>
          </cell>
          <cell r="G149">
            <v>82724490</v>
          </cell>
          <cell r="H149">
            <v>200149111.5</v>
          </cell>
        </row>
        <row r="151">
          <cell r="A151" t="str">
            <v>MANUFACTURING AND PROCESSING CHARGES :</v>
          </cell>
        </row>
        <row r="152">
          <cell r="A152" t="str">
            <v>Service Charges</v>
          </cell>
          <cell r="B152">
            <v>2659030</v>
          </cell>
          <cell r="C152">
            <v>0</v>
          </cell>
          <cell r="D152">
            <v>0</v>
          </cell>
          <cell r="E152">
            <v>0</v>
          </cell>
          <cell r="F152">
            <v>0</v>
          </cell>
          <cell r="G152">
            <v>0</v>
          </cell>
          <cell r="H152">
            <v>2659030</v>
          </cell>
        </row>
        <row r="153">
          <cell r="A153" t="str">
            <v>Erecting and Commissioning Charges</v>
          </cell>
          <cell r="B153">
            <v>475448</v>
          </cell>
          <cell r="C153">
            <v>0</v>
          </cell>
          <cell r="D153">
            <v>0</v>
          </cell>
          <cell r="E153">
            <v>0</v>
          </cell>
          <cell r="F153">
            <v>0</v>
          </cell>
          <cell r="G153">
            <v>0</v>
          </cell>
          <cell r="H153">
            <v>475448</v>
          </cell>
        </row>
        <row r="154">
          <cell r="A154" t="str">
            <v>Processing charges (Payal)</v>
          </cell>
          <cell r="B154">
            <v>0</v>
          </cell>
          <cell r="C154">
            <v>0</v>
          </cell>
          <cell r="D154">
            <v>0</v>
          </cell>
          <cell r="E154">
            <v>1946724</v>
          </cell>
          <cell r="F154">
            <v>0</v>
          </cell>
          <cell r="G154">
            <v>0</v>
          </cell>
          <cell r="H154">
            <v>1946724</v>
          </cell>
        </row>
        <row r="155">
          <cell r="A155" t="str">
            <v>Processing charges (Bajaj Plastics)</v>
          </cell>
          <cell r="B155">
            <v>0</v>
          </cell>
          <cell r="C155">
            <v>0</v>
          </cell>
          <cell r="D155">
            <v>0</v>
          </cell>
          <cell r="E155">
            <v>3258643</v>
          </cell>
          <cell r="F155">
            <v>261962</v>
          </cell>
          <cell r="G155">
            <v>0</v>
          </cell>
          <cell r="H155">
            <v>3520605</v>
          </cell>
        </row>
        <row r="156">
          <cell r="A156" t="str">
            <v>Processing charges (Shrinika)</v>
          </cell>
          <cell r="B156">
            <v>0</v>
          </cell>
          <cell r="C156">
            <v>0</v>
          </cell>
          <cell r="D156">
            <v>0</v>
          </cell>
          <cell r="E156">
            <v>0</v>
          </cell>
          <cell r="F156">
            <v>31481</v>
          </cell>
          <cell r="G156">
            <v>0</v>
          </cell>
          <cell r="H156">
            <v>31481</v>
          </cell>
        </row>
        <row r="157">
          <cell r="A157" t="str">
            <v>Processing charges (Rukmini)</v>
          </cell>
          <cell r="B157">
            <v>0</v>
          </cell>
          <cell r="C157">
            <v>0</v>
          </cell>
          <cell r="D157">
            <v>0</v>
          </cell>
          <cell r="E157">
            <v>1511602</v>
          </cell>
          <cell r="F157">
            <v>0</v>
          </cell>
          <cell r="G157">
            <v>0</v>
          </cell>
          <cell r="H157">
            <v>1511602</v>
          </cell>
        </row>
        <row r="158">
          <cell r="A158" t="str">
            <v>Processing charges (Shree Balaji)</v>
          </cell>
          <cell r="B158">
            <v>0</v>
          </cell>
          <cell r="C158">
            <v>0</v>
          </cell>
          <cell r="D158">
            <v>0</v>
          </cell>
          <cell r="E158">
            <v>908259</v>
          </cell>
          <cell r="F158">
            <v>0</v>
          </cell>
          <cell r="G158">
            <v>0</v>
          </cell>
          <cell r="H158">
            <v>908259</v>
          </cell>
        </row>
        <row r="159">
          <cell r="A159" t="str">
            <v>Processing charges (Bajaj Export)</v>
          </cell>
          <cell r="B159">
            <v>0</v>
          </cell>
          <cell r="C159">
            <v>0</v>
          </cell>
          <cell r="D159">
            <v>0</v>
          </cell>
          <cell r="E159">
            <v>0</v>
          </cell>
          <cell r="F159">
            <v>698888</v>
          </cell>
          <cell r="G159">
            <v>0</v>
          </cell>
          <cell r="H159">
            <v>698888</v>
          </cell>
        </row>
        <row r="160">
          <cell r="A160" t="str">
            <v>Processing charges (Banwari Lal Panwar)</v>
          </cell>
          <cell r="B160">
            <v>0</v>
          </cell>
          <cell r="C160">
            <v>0</v>
          </cell>
          <cell r="D160">
            <v>0</v>
          </cell>
          <cell r="E160">
            <v>0</v>
          </cell>
          <cell r="F160">
            <v>18065</v>
          </cell>
          <cell r="G160">
            <v>0</v>
          </cell>
          <cell r="H160">
            <v>18065</v>
          </cell>
        </row>
        <row r="161">
          <cell r="A161" t="str">
            <v>Processing charges (Rohit Polytex)</v>
          </cell>
          <cell r="B161">
            <v>0</v>
          </cell>
          <cell r="C161">
            <v>0</v>
          </cell>
          <cell r="D161">
            <v>0</v>
          </cell>
          <cell r="E161">
            <v>0</v>
          </cell>
          <cell r="F161">
            <v>25220</v>
          </cell>
          <cell r="G161">
            <v>0</v>
          </cell>
          <cell r="H161">
            <v>25220</v>
          </cell>
        </row>
        <row r="162">
          <cell r="A162" t="str">
            <v>Processing charges (Herikesh)</v>
          </cell>
          <cell r="B162">
            <v>0</v>
          </cell>
          <cell r="C162">
            <v>0</v>
          </cell>
          <cell r="D162">
            <v>0</v>
          </cell>
          <cell r="E162">
            <v>0</v>
          </cell>
          <cell r="F162">
            <v>447789</v>
          </cell>
          <cell r="G162">
            <v>0</v>
          </cell>
          <cell r="H162">
            <v>447789</v>
          </cell>
        </row>
        <row r="163">
          <cell r="A163" t="str">
            <v>Processing charges (Durga Packaging)</v>
          </cell>
          <cell r="B163">
            <v>0</v>
          </cell>
          <cell r="C163">
            <v>0</v>
          </cell>
          <cell r="D163">
            <v>0</v>
          </cell>
          <cell r="E163">
            <v>1423967</v>
          </cell>
          <cell r="F163">
            <v>0</v>
          </cell>
          <cell r="G163">
            <v>0</v>
          </cell>
          <cell r="H163">
            <v>1423967</v>
          </cell>
        </row>
        <row r="164">
          <cell r="A164" t="str">
            <v>Processing charges (ABC)</v>
          </cell>
          <cell r="B164">
            <v>0</v>
          </cell>
          <cell r="C164">
            <v>0</v>
          </cell>
          <cell r="D164">
            <v>0</v>
          </cell>
          <cell r="E164">
            <v>0</v>
          </cell>
          <cell r="F164">
            <v>0</v>
          </cell>
          <cell r="G164">
            <v>72428525</v>
          </cell>
          <cell r="H164">
            <v>72428525</v>
          </cell>
        </row>
        <row r="165">
          <cell r="A165" t="str">
            <v>Processing charges (LUK)</v>
          </cell>
          <cell r="B165">
            <v>0</v>
          </cell>
          <cell r="C165">
            <v>0</v>
          </cell>
          <cell r="D165">
            <v>0</v>
          </cell>
          <cell r="E165">
            <v>0</v>
          </cell>
          <cell r="F165">
            <v>0</v>
          </cell>
          <cell r="G165">
            <v>9566902</v>
          </cell>
          <cell r="H165">
            <v>9566902</v>
          </cell>
        </row>
        <row r="166">
          <cell r="A166" t="str">
            <v>Processing charges (others)</v>
          </cell>
          <cell r="B166">
            <v>0</v>
          </cell>
          <cell r="C166">
            <v>0</v>
          </cell>
          <cell r="D166">
            <v>0</v>
          </cell>
          <cell r="E166">
            <v>999329</v>
          </cell>
          <cell r="F166">
            <v>0</v>
          </cell>
          <cell r="G166">
            <v>97200</v>
          </cell>
          <cell r="H166">
            <v>1096529</v>
          </cell>
        </row>
        <row r="167">
          <cell r="A167" t="str">
            <v>Processing charges (Chetan)</v>
          </cell>
          <cell r="B167">
            <v>0</v>
          </cell>
          <cell r="C167">
            <v>0</v>
          </cell>
          <cell r="D167">
            <v>0</v>
          </cell>
          <cell r="E167">
            <v>0</v>
          </cell>
          <cell r="F167">
            <v>1763140</v>
          </cell>
          <cell r="G167">
            <v>0</v>
          </cell>
          <cell r="H167">
            <v>1763140</v>
          </cell>
        </row>
        <row r="168">
          <cell r="A168" t="str">
            <v>Bags Cleaning Charges</v>
          </cell>
          <cell r="B168">
            <v>0</v>
          </cell>
          <cell r="C168">
            <v>0</v>
          </cell>
          <cell r="D168">
            <v>0</v>
          </cell>
          <cell r="E168">
            <v>42072</v>
          </cell>
          <cell r="F168">
            <v>0</v>
          </cell>
          <cell r="G168">
            <v>0</v>
          </cell>
          <cell r="H168">
            <v>42072</v>
          </cell>
        </row>
        <row r="169">
          <cell r="A169" t="str">
            <v>Processing charges (Shree Sai Pack)</v>
          </cell>
          <cell r="B169">
            <v>0</v>
          </cell>
          <cell r="C169">
            <v>0</v>
          </cell>
          <cell r="D169">
            <v>0</v>
          </cell>
          <cell r="E169">
            <v>1169096</v>
          </cell>
          <cell r="F169">
            <v>0</v>
          </cell>
          <cell r="G169">
            <v>0</v>
          </cell>
          <cell r="H169">
            <v>1169096</v>
          </cell>
        </row>
        <row r="170">
          <cell r="A170" t="str">
            <v>Cutting / lamination charges</v>
          </cell>
          <cell r="B170">
            <v>0</v>
          </cell>
          <cell r="C170">
            <v>0</v>
          </cell>
          <cell r="D170">
            <v>0</v>
          </cell>
          <cell r="E170">
            <v>574712</v>
          </cell>
          <cell r="F170">
            <v>0</v>
          </cell>
          <cell r="G170">
            <v>0</v>
          </cell>
          <cell r="H170">
            <v>574712</v>
          </cell>
        </row>
        <row r="171">
          <cell r="A171" t="str">
            <v>Stitching / inversion charges</v>
          </cell>
          <cell r="B171">
            <v>0</v>
          </cell>
          <cell r="C171">
            <v>0</v>
          </cell>
          <cell r="D171">
            <v>0</v>
          </cell>
          <cell r="E171">
            <v>4532969</v>
          </cell>
          <cell r="F171">
            <v>0</v>
          </cell>
          <cell r="G171">
            <v>0</v>
          </cell>
          <cell r="H171">
            <v>4532969</v>
          </cell>
        </row>
        <row r="172">
          <cell r="A172" t="str">
            <v>Printing / Packing charges</v>
          </cell>
          <cell r="B172">
            <v>0</v>
          </cell>
          <cell r="C172">
            <v>0</v>
          </cell>
          <cell r="D172">
            <v>0</v>
          </cell>
          <cell r="E172">
            <v>4486161</v>
          </cell>
          <cell r="F172">
            <v>0</v>
          </cell>
          <cell r="G172">
            <v>0</v>
          </cell>
          <cell r="H172">
            <v>4486161</v>
          </cell>
        </row>
        <row r="173">
          <cell r="B173">
            <v>3134478</v>
          </cell>
          <cell r="C173">
            <v>0</v>
          </cell>
          <cell r="D173">
            <v>0</v>
          </cell>
          <cell r="E173">
            <v>20853534</v>
          </cell>
          <cell r="F173">
            <v>3246545</v>
          </cell>
          <cell r="G173">
            <v>82092627</v>
          </cell>
          <cell r="H173">
            <v>109327184</v>
          </cell>
        </row>
        <row r="175">
          <cell r="A175" t="str">
            <v>Cost of Borrowings</v>
          </cell>
        </row>
        <row r="176">
          <cell r="A176" t="str">
            <v>On Term Loans</v>
          </cell>
          <cell r="B176">
            <v>56535.92</v>
          </cell>
          <cell r="C176">
            <v>0</v>
          </cell>
          <cell r="D176">
            <v>0</v>
          </cell>
          <cell r="E176">
            <v>2364386.2560000001</v>
          </cell>
          <cell r="F176">
            <v>0</v>
          </cell>
          <cell r="G176">
            <v>2889805.4240000001</v>
          </cell>
          <cell r="H176">
            <v>5310727.5999999996</v>
          </cell>
        </row>
        <row r="177">
          <cell r="A177" t="str">
            <v>On Fixed Deposits</v>
          </cell>
          <cell r="B177">
            <v>0</v>
          </cell>
          <cell r="C177">
            <v>0</v>
          </cell>
          <cell r="D177">
            <v>0</v>
          </cell>
          <cell r="E177">
            <v>1690440.6509999998</v>
          </cell>
          <cell r="F177">
            <v>0</v>
          </cell>
          <cell r="G177">
            <v>2066094.1289999997</v>
          </cell>
          <cell r="H177">
            <v>3756534.7799999993</v>
          </cell>
        </row>
        <row r="178">
          <cell r="A178" t="str">
            <v>On CC/ OD limits</v>
          </cell>
          <cell r="B178">
            <v>59296</v>
          </cell>
          <cell r="C178">
            <v>0</v>
          </cell>
          <cell r="D178">
            <v>0</v>
          </cell>
          <cell r="E178">
            <v>2951904.1184999999</v>
          </cell>
          <cell r="F178">
            <v>0</v>
          </cell>
          <cell r="G178">
            <v>3607882.8115000003</v>
          </cell>
          <cell r="H178">
            <v>6619082.9299999997</v>
          </cell>
        </row>
        <row r="179">
          <cell r="A179" t="str">
            <v>On Statutory dues</v>
          </cell>
          <cell r="B179">
            <v>77</v>
          </cell>
          <cell r="C179">
            <v>5</v>
          </cell>
          <cell r="D179">
            <v>0</v>
          </cell>
          <cell r="E179">
            <v>1629</v>
          </cell>
          <cell r="F179">
            <v>0</v>
          </cell>
          <cell r="G179">
            <v>0</v>
          </cell>
          <cell r="H179">
            <v>1711</v>
          </cell>
        </row>
        <row r="180">
          <cell r="A180" t="str">
            <v>On Others</v>
          </cell>
          <cell r="B180">
            <v>0</v>
          </cell>
          <cell r="C180">
            <v>0</v>
          </cell>
          <cell r="D180">
            <v>0</v>
          </cell>
          <cell r="E180">
            <v>9139524.034500001</v>
          </cell>
          <cell r="F180">
            <v>0</v>
          </cell>
          <cell r="G180">
            <v>11170529.375500001</v>
          </cell>
          <cell r="H180">
            <v>20310053.410000004</v>
          </cell>
        </row>
        <row r="181">
          <cell r="A181" t="str">
            <v>On LC</v>
          </cell>
          <cell r="B181">
            <v>0</v>
          </cell>
          <cell r="C181">
            <v>0</v>
          </cell>
          <cell r="D181">
            <v>0</v>
          </cell>
          <cell r="E181">
            <v>1246582.3500000001</v>
          </cell>
          <cell r="F181">
            <v>0</v>
          </cell>
          <cell r="G181">
            <v>1523600.6500000001</v>
          </cell>
          <cell r="H181">
            <v>2770183</v>
          </cell>
        </row>
        <row r="182">
          <cell r="A182" t="str">
            <v>On Trade Deposits</v>
          </cell>
          <cell r="B182">
            <v>17450</v>
          </cell>
          <cell r="C182">
            <v>0</v>
          </cell>
          <cell r="D182">
            <v>0</v>
          </cell>
          <cell r="E182">
            <v>0</v>
          </cell>
          <cell r="F182">
            <v>0</v>
          </cell>
          <cell r="G182">
            <v>817448</v>
          </cell>
          <cell r="H182">
            <v>834898</v>
          </cell>
        </row>
        <row r="183">
          <cell r="A183" t="str">
            <v>Difference in exchange relating to Foreign Currency Loans</v>
          </cell>
          <cell r="B183">
            <v>0</v>
          </cell>
          <cell r="C183">
            <v>0</v>
          </cell>
          <cell r="D183">
            <v>0</v>
          </cell>
          <cell r="E183">
            <v>350490.60000000003</v>
          </cell>
          <cell r="F183">
            <v>0</v>
          </cell>
          <cell r="G183">
            <v>428377.40000000008</v>
          </cell>
          <cell r="H183">
            <v>778868.00000000012</v>
          </cell>
        </row>
        <row r="184">
          <cell r="B184">
            <v>133358.91999999998</v>
          </cell>
          <cell r="C184">
            <v>5</v>
          </cell>
          <cell r="D184">
            <v>0</v>
          </cell>
          <cell r="E184">
            <v>17744957.010000002</v>
          </cell>
          <cell r="F184">
            <v>0</v>
          </cell>
          <cell r="G184">
            <v>22503737.789999999</v>
          </cell>
          <cell r="H184">
            <v>40382058.719999999</v>
          </cell>
        </row>
        <row r="186">
          <cell r="A186" t="str">
            <v>Power and fuel :</v>
          </cell>
          <cell r="E186" t="str">
            <v xml:space="preserve"> </v>
          </cell>
          <cell r="H186" t="str">
            <v xml:space="preserve"> </v>
          </cell>
        </row>
        <row r="187">
          <cell r="A187" t="str">
            <v>Electricity charges</v>
          </cell>
          <cell r="B187">
            <v>1979768.93</v>
          </cell>
          <cell r="C187">
            <v>400000</v>
          </cell>
          <cell r="D187">
            <v>0</v>
          </cell>
          <cell r="E187">
            <v>33682622.600000001</v>
          </cell>
          <cell r="F187">
            <v>0</v>
          </cell>
          <cell r="G187">
            <v>0</v>
          </cell>
          <cell r="H187">
            <v>36062391.530000001</v>
          </cell>
        </row>
        <row r="188">
          <cell r="A188" t="str">
            <v>Fuel Consumption</v>
          </cell>
          <cell r="B188">
            <v>611153</v>
          </cell>
          <cell r="C188">
            <v>0</v>
          </cell>
          <cell r="D188">
            <v>0</v>
          </cell>
          <cell r="E188">
            <v>945348</v>
          </cell>
          <cell r="F188">
            <v>0</v>
          </cell>
          <cell r="G188">
            <v>0</v>
          </cell>
          <cell r="H188">
            <v>1556501</v>
          </cell>
        </row>
        <row r="189">
          <cell r="B189">
            <v>2590921.9299999997</v>
          </cell>
          <cell r="C189">
            <v>400000</v>
          </cell>
          <cell r="D189">
            <v>0</v>
          </cell>
          <cell r="E189">
            <v>34627970.600000001</v>
          </cell>
          <cell r="F189">
            <v>0</v>
          </cell>
          <cell r="G189">
            <v>0</v>
          </cell>
          <cell r="H189">
            <v>37618892.530000001</v>
          </cell>
        </row>
        <row r="191">
          <cell r="A191" t="str">
            <v>OTHER EXPENSES :</v>
          </cell>
        </row>
        <row r="192">
          <cell r="A192" t="str">
            <v>Rent</v>
          </cell>
        </row>
        <row r="193">
          <cell r="A193" t="str">
            <v>Rent (Imambada property)</v>
          </cell>
          <cell r="B193">
            <v>252000</v>
          </cell>
          <cell r="C193">
            <v>0</v>
          </cell>
          <cell r="D193">
            <v>0</v>
          </cell>
          <cell r="E193">
            <v>0</v>
          </cell>
          <cell r="F193">
            <v>0</v>
          </cell>
          <cell r="G193">
            <v>0</v>
          </cell>
          <cell r="H193">
            <v>252000</v>
          </cell>
        </row>
        <row r="194">
          <cell r="A194" t="str">
            <v>Rent (Bajaj Exports)</v>
          </cell>
          <cell r="B194">
            <v>0</v>
          </cell>
          <cell r="C194">
            <v>0</v>
          </cell>
          <cell r="D194">
            <v>0</v>
          </cell>
          <cell r="E194">
            <v>100000</v>
          </cell>
          <cell r="F194">
            <v>0</v>
          </cell>
          <cell r="G194">
            <v>0</v>
          </cell>
          <cell r="H194">
            <v>100000</v>
          </cell>
        </row>
        <row r="195">
          <cell r="A195" t="str">
            <v>Rent (Rohit Polytex)</v>
          </cell>
          <cell r="B195">
            <v>0</v>
          </cell>
          <cell r="C195">
            <v>220000</v>
          </cell>
          <cell r="D195">
            <v>0</v>
          </cell>
          <cell r="E195">
            <v>500000</v>
          </cell>
          <cell r="F195">
            <v>0</v>
          </cell>
          <cell r="G195">
            <v>0</v>
          </cell>
          <cell r="H195">
            <v>720000</v>
          </cell>
        </row>
        <row r="196">
          <cell r="A196" t="str">
            <v>Rent Machine (Tashi)</v>
          </cell>
          <cell r="B196">
            <v>0</v>
          </cell>
          <cell r="C196">
            <v>0</v>
          </cell>
          <cell r="D196">
            <v>0</v>
          </cell>
          <cell r="E196">
            <v>720000</v>
          </cell>
          <cell r="F196">
            <v>0</v>
          </cell>
          <cell r="G196">
            <v>0</v>
          </cell>
          <cell r="H196">
            <v>720000</v>
          </cell>
        </row>
        <row r="197">
          <cell r="A197" t="str">
            <v>Rent (Ampee)</v>
          </cell>
          <cell r="B197">
            <v>0</v>
          </cell>
          <cell r="C197">
            <v>0</v>
          </cell>
          <cell r="D197">
            <v>0</v>
          </cell>
          <cell r="E197">
            <v>210000</v>
          </cell>
          <cell r="F197">
            <v>0</v>
          </cell>
          <cell r="G197">
            <v>210000</v>
          </cell>
          <cell r="H197">
            <v>420000</v>
          </cell>
        </row>
        <row r="198">
          <cell r="A198" t="str">
            <v>Other Rent</v>
          </cell>
          <cell r="B198">
            <v>192000</v>
          </cell>
          <cell r="C198">
            <v>0</v>
          </cell>
          <cell r="D198">
            <v>0</v>
          </cell>
          <cell r="E198">
            <v>60000</v>
          </cell>
          <cell r="F198">
            <v>0</v>
          </cell>
          <cell r="G198">
            <v>54300</v>
          </cell>
          <cell r="H198">
            <v>306300</v>
          </cell>
        </row>
        <row r="199">
          <cell r="B199">
            <v>444000</v>
          </cell>
          <cell r="C199">
            <v>220000</v>
          </cell>
          <cell r="D199">
            <v>0</v>
          </cell>
          <cell r="E199">
            <v>1590000</v>
          </cell>
          <cell r="F199">
            <v>0</v>
          </cell>
          <cell r="G199">
            <v>264300</v>
          </cell>
          <cell r="H199">
            <v>2518300</v>
          </cell>
        </row>
        <row r="201">
          <cell r="A201" t="str">
            <v>Rates and Taxes</v>
          </cell>
        </row>
        <row r="202">
          <cell r="A202" t="str">
            <v>Licenses Fees</v>
          </cell>
          <cell r="B202">
            <v>10667</v>
          </cell>
          <cell r="C202">
            <v>5167</v>
          </cell>
          <cell r="D202">
            <v>0</v>
          </cell>
          <cell r="E202">
            <v>52295.5</v>
          </cell>
          <cell r="F202">
            <v>0</v>
          </cell>
          <cell r="G202">
            <v>0</v>
          </cell>
          <cell r="H202">
            <v>68129.5</v>
          </cell>
        </row>
        <row r="203">
          <cell r="A203" t="str">
            <v>Renewal Fees</v>
          </cell>
          <cell r="B203">
            <v>0</v>
          </cell>
          <cell r="C203">
            <v>0</v>
          </cell>
          <cell r="D203">
            <v>0</v>
          </cell>
          <cell r="E203">
            <v>1750</v>
          </cell>
          <cell r="F203">
            <v>0</v>
          </cell>
          <cell r="G203">
            <v>9200</v>
          </cell>
          <cell r="H203">
            <v>10950</v>
          </cell>
        </row>
        <row r="204">
          <cell r="A204" t="str">
            <v>Water Charges</v>
          </cell>
          <cell r="B204">
            <v>39621</v>
          </cell>
          <cell r="C204">
            <v>0</v>
          </cell>
          <cell r="D204">
            <v>0</v>
          </cell>
          <cell r="E204">
            <v>45240</v>
          </cell>
          <cell r="F204">
            <v>0</v>
          </cell>
          <cell r="G204">
            <v>0</v>
          </cell>
          <cell r="H204">
            <v>84861</v>
          </cell>
        </row>
        <row r="205">
          <cell r="A205" t="str">
            <v>Professional tax</v>
          </cell>
          <cell r="B205">
            <v>4500</v>
          </cell>
          <cell r="C205">
            <v>0</v>
          </cell>
          <cell r="D205">
            <v>0</v>
          </cell>
          <cell r="E205">
            <v>2500</v>
          </cell>
          <cell r="F205">
            <v>0</v>
          </cell>
          <cell r="G205">
            <v>0</v>
          </cell>
          <cell r="H205">
            <v>7000</v>
          </cell>
        </row>
        <row r="206">
          <cell r="A206" t="str">
            <v>Municipal tax</v>
          </cell>
          <cell r="B206">
            <v>519852</v>
          </cell>
          <cell r="C206">
            <v>0</v>
          </cell>
          <cell r="D206">
            <v>0</v>
          </cell>
          <cell r="E206">
            <v>13812</v>
          </cell>
          <cell r="F206">
            <v>0</v>
          </cell>
          <cell r="G206">
            <v>0</v>
          </cell>
          <cell r="H206">
            <v>533664</v>
          </cell>
        </row>
        <row r="207">
          <cell r="B207">
            <v>574640</v>
          </cell>
          <cell r="C207">
            <v>5167</v>
          </cell>
          <cell r="D207">
            <v>0</v>
          </cell>
          <cell r="E207">
            <v>115597.5</v>
          </cell>
          <cell r="F207">
            <v>0</v>
          </cell>
          <cell r="G207">
            <v>9200</v>
          </cell>
          <cell r="H207">
            <v>704604.5</v>
          </cell>
        </row>
        <row r="208">
          <cell r="A208" t="str">
            <v>Insurance</v>
          </cell>
        </row>
        <row r="209">
          <cell r="A209" t="str">
            <v>Insurance premium</v>
          </cell>
          <cell r="B209">
            <v>144376.5</v>
          </cell>
          <cell r="C209">
            <v>0</v>
          </cell>
          <cell r="D209">
            <v>0</v>
          </cell>
          <cell r="E209">
            <v>846031</v>
          </cell>
          <cell r="F209">
            <v>0</v>
          </cell>
          <cell r="G209">
            <v>597034</v>
          </cell>
          <cell r="H209">
            <v>1587441.5</v>
          </cell>
        </row>
        <row r="210">
          <cell r="A210" t="str">
            <v>Transit Insurance on Export</v>
          </cell>
          <cell r="B210">
            <v>177557</v>
          </cell>
          <cell r="C210">
            <v>0</v>
          </cell>
          <cell r="D210">
            <v>0</v>
          </cell>
          <cell r="E210">
            <v>30257</v>
          </cell>
          <cell r="F210">
            <v>0</v>
          </cell>
          <cell r="G210">
            <v>0</v>
          </cell>
          <cell r="H210">
            <v>207814</v>
          </cell>
        </row>
        <row r="211">
          <cell r="B211">
            <v>321933.5</v>
          </cell>
          <cell r="C211">
            <v>0</v>
          </cell>
          <cell r="D211">
            <v>0</v>
          </cell>
          <cell r="E211">
            <v>876288</v>
          </cell>
          <cell r="F211">
            <v>0</v>
          </cell>
          <cell r="G211">
            <v>597034</v>
          </cell>
          <cell r="H211">
            <v>1795255.5</v>
          </cell>
        </row>
        <row r="213">
          <cell r="A213" t="str">
            <v>Sales Discount</v>
          </cell>
        </row>
        <row r="214">
          <cell r="A214" t="str">
            <v>Sales Discount</v>
          </cell>
          <cell r="B214">
            <v>722147.9</v>
          </cell>
          <cell r="C214">
            <v>473</v>
          </cell>
          <cell r="D214">
            <v>0</v>
          </cell>
          <cell r="E214">
            <v>3892253.1399999997</v>
          </cell>
          <cell r="F214">
            <v>375064.34</v>
          </cell>
          <cell r="G214">
            <v>8560706.75</v>
          </cell>
          <cell r="H214">
            <v>13550645.129999999</v>
          </cell>
        </row>
        <row r="215">
          <cell r="A215" t="str">
            <v>Price Protection Discount</v>
          </cell>
          <cell r="B215">
            <v>0</v>
          </cell>
          <cell r="C215">
            <v>0</v>
          </cell>
          <cell r="D215">
            <v>0</v>
          </cell>
          <cell r="E215">
            <v>0</v>
          </cell>
          <cell r="F215">
            <v>0</v>
          </cell>
          <cell r="G215">
            <v>1576208.75</v>
          </cell>
          <cell r="H215">
            <v>1576208.75</v>
          </cell>
        </row>
        <row r="216">
          <cell r="A216" t="str">
            <v xml:space="preserve">Cash Discount </v>
          </cell>
          <cell r="B216">
            <v>0</v>
          </cell>
          <cell r="C216">
            <v>0</v>
          </cell>
          <cell r="D216">
            <v>0</v>
          </cell>
          <cell r="E216">
            <v>0</v>
          </cell>
          <cell r="F216">
            <v>0</v>
          </cell>
          <cell r="G216">
            <v>176625</v>
          </cell>
          <cell r="H216">
            <v>176625</v>
          </cell>
        </row>
        <row r="217">
          <cell r="B217">
            <v>722147.9</v>
          </cell>
          <cell r="C217">
            <v>473</v>
          </cell>
          <cell r="D217">
            <v>0</v>
          </cell>
          <cell r="E217">
            <v>3892253.1399999997</v>
          </cell>
          <cell r="F217">
            <v>375064.34</v>
          </cell>
          <cell r="G217">
            <v>10313540.5</v>
          </cell>
          <cell r="H217">
            <v>15303478.879999999</v>
          </cell>
        </row>
        <row r="219">
          <cell r="A219" t="str">
            <v>Freight and other Expenses</v>
          </cell>
        </row>
        <row r="220">
          <cell r="A220" t="str">
            <v>Freight octroi &amp; cartage outward</v>
          </cell>
          <cell r="B220">
            <v>775595.2</v>
          </cell>
          <cell r="C220">
            <v>576310</v>
          </cell>
          <cell r="D220">
            <v>0</v>
          </cell>
          <cell r="E220">
            <v>6846480</v>
          </cell>
          <cell r="F220">
            <v>894296</v>
          </cell>
          <cell r="G220">
            <v>4537124.5</v>
          </cell>
          <cell r="H220">
            <v>13629805.699999999</v>
          </cell>
        </row>
        <row r="221">
          <cell r="A221" t="str">
            <v>Freight outward (Bailing Press)</v>
          </cell>
          <cell r="B221">
            <v>34375</v>
          </cell>
          <cell r="C221">
            <v>0</v>
          </cell>
          <cell r="D221">
            <v>0</v>
          </cell>
          <cell r="E221">
            <v>0</v>
          </cell>
          <cell r="F221">
            <v>0</v>
          </cell>
          <cell r="G221">
            <v>0</v>
          </cell>
          <cell r="H221">
            <v>34375</v>
          </cell>
        </row>
        <row r="222">
          <cell r="A222" t="str">
            <v>Packing &amp; forwarding</v>
          </cell>
          <cell r="B222">
            <v>332666</v>
          </cell>
          <cell r="C222">
            <v>118354</v>
          </cell>
          <cell r="D222">
            <v>0</v>
          </cell>
          <cell r="E222">
            <v>0</v>
          </cell>
          <cell r="F222">
            <v>0</v>
          </cell>
          <cell r="G222">
            <v>0</v>
          </cell>
          <cell r="H222">
            <v>451020</v>
          </cell>
        </row>
        <row r="223">
          <cell r="A223" t="str">
            <v>Freight &amp; other Charges Outward (Export)</v>
          </cell>
          <cell r="B223">
            <v>7126773.2000000002</v>
          </cell>
          <cell r="C223">
            <v>0</v>
          </cell>
          <cell r="D223">
            <v>0</v>
          </cell>
          <cell r="E223">
            <v>3257342</v>
          </cell>
          <cell r="F223">
            <v>662726</v>
          </cell>
          <cell r="G223">
            <v>400636</v>
          </cell>
          <cell r="H223">
            <v>11447477.199999999</v>
          </cell>
        </row>
        <row r="224">
          <cell r="A224" t="str">
            <v>Service tax</v>
          </cell>
          <cell r="B224">
            <v>0</v>
          </cell>
          <cell r="C224">
            <v>22289</v>
          </cell>
          <cell r="D224">
            <v>0</v>
          </cell>
          <cell r="E224">
            <v>0</v>
          </cell>
          <cell r="F224">
            <v>0</v>
          </cell>
          <cell r="G224">
            <v>0</v>
          </cell>
          <cell r="H224">
            <v>22289</v>
          </cell>
        </row>
        <row r="225">
          <cell r="A225" t="str">
            <v>Clearing Expenses Exports</v>
          </cell>
          <cell r="B225">
            <v>0</v>
          </cell>
          <cell r="C225">
            <v>0</v>
          </cell>
          <cell r="D225">
            <v>0</v>
          </cell>
          <cell r="E225">
            <v>23038</v>
          </cell>
          <cell r="F225">
            <v>1000</v>
          </cell>
          <cell r="G225">
            <v>0</v>
          </cell>
          <cell r="H225">
            <v>24038</v>
          </cell>
        </row>
        <row r="226">
          <cell r="B226">
            <v>8269409.4000000004</v>
          </cell>
          <cell r="C226">
            <v>716953</v>
          </cell>
          <cell r="D226">
            <v>0</v>
          </cell>
          <cell r="E226">
            <v>10126860</v>
          </cell>
          <cell r="F226">
            <v>1558022</v>
          </cell>
          <cell r="G226">
            <v>4937760.5</v>
          </cell>
          <cell r="H226">
            <v>25609004.899999999</v>
          </cell>
        </row>
        <row r="227">
          <cell r="A227" t="str">
            <v>Packing &amp; Forwarding (Recovered in Invoices)</v>
          </cell>
          <cell r="B227">
            <v>491688</v>
          </cell>
          <cell r="C227">
            <v>0</v>
          </cell>
          <cell r="D227">
            <v>0</v>
          </cell>
          <cell r="E227">
            <v>0</v>
          </cell>
          <cell r="F227">
            <v>0</v>
          </cell>
          <cell r="G227">
            <v>0</v>
          </cell>
          <cell r="H227">
            <v>491688</v>
          </cell>
        </row>
        <row r="228">
          <cell r="B228">
            <v>7777721.4000000004</v>
          </cell>
          <cell r="C228">
            <v>716953</v>
          </cell>
          <cell r="D228">
            <v>0</v>
          </cell>
          <cell r="E228">
            <v>10126860</v>
          </cell>
          <cell r="F228">
            <v>1558022</v>
          </cell>
          <cell r="G228">
            <v>4937760.5</v>
          </cell>
          <cell r="H228">
            <v>25117316.899999999</v>
          </cell>
        </row>
        <row r="229">
          <cell r="A229" t="str">
            <v>Travelling and conveyance :</v>
          </cell>
          <cell r="H229" t="str">
            <v xml:space="preserve"> </v>
          </cell>
        </row>
        <row r="230">
          <cell r="A230" t="str">
            <v>Foreign Tour Expenses</v>
          </cell>
          <cell r="B230">
            <v>1708049</v>
          </cell>
          <cell r="C230">
            <v>0</v>
          </cell>
          <cell r="D230">
            <v>0</v>
          </cell>
          <cell r="E230">
            <v>352889</v>
          </cell>
          <cell r="F230">
            <v>0</v>
          </cell>
          <cell r="G230">
            <v>197221</v>
          </cell>
          <cell r="H230">
            <v>2258159</v>
          </cell>
        </row>
        <row r="231">
          <cell r="A231" t="str">
            <v>Travelling expenses - Directors</v>
          </cell>
          <cell r="B231">
            <v>215427</v>
          </cell>
          <cell r="C231">
            <v>0</v>
          </cell>
          <cell r="D231">
            <v>0</v>
          </cell>
          <cell r="E231">
            <v>338689</v>
          </cell>
          <cell r="F231">
            <v>0</v>
          </cell>
          <cell r="G231">
            <v>17515</v>
          </cell>
          <cell r="H231">
            <v>571631</v>
          </cell>
        </row>
        <row r="232">
          <cell r="A232" t="str">
            <v>Travelling expenses - Others</v>
          </cell>
          <cell r="B232">
            <v>4458612</v>
          </cell>
          <cell r="C232">
            <v>129737</v>
          </cell>
          <cell r="D232">
            <v>0</v>
          </cell>
          <cell r="E232">
            <v>442249.5</v>
          </cell>
          <cell r="F232">
            <v>0</v>
          </cell>
          <cell r="G232">
            <v>779483</v>
          </cell>
          <cell r="H232">
            <v>5810081.5</v>
          </cell>
        </row>
      </sheetData>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ve"/>
      <sheetName val="Gratuity"/>
      <sheetName val="Gratuity (funded)"/>
      <sheetName val="Sheet4"/>
      <sheetName val="Scrituny Copy for gv"/>
      <sheetName val="Sheet2"/>
      <sheetName val="Sheet3"/>
      <sheetName val="Sheet1"/>
      <sheetName val="Grouping"/>
      <sheetName val="E"/>
      <sheetName val="F"/>
      <sheetName val="G"/>
    </sheetNames>
    <sheetDataSet>
      <sheetData sheetId="0"/>
      <sheetData sheetId="1"/>
      <sheetData sheetId="2"/>
      <sheetData sheetId="3" refreshError="1">
        <row r="7">
          <cell r="B7" t="str">
            <v>Under the PUC method a "projected accrued benefit" is calculated at the beginning of the year and again at the end of the year for each benefit that will accrue for all active members of the Plan. The "projected accrued benefit" is based on the Plan's acc</v>
          </cell>
        </row>
        <row r="9">
          <cell r="B9" t="str">
            <v xml:space="preserve">Under the PUC method a "projected accrued benefit" is calculated at the end of the period for each benefit that will accrue for all active members of the Plan.  The "projected accrued benefit" is based on the Plan's accrual formula and upon service as of </v>
          </cell>
        </row>
        <row r="11">
          <cell r="B11" t="str">
            <v>The company has not funded the liability and the liability is not supported by any assets. As such no fair value of assets is there. The company has made no contributions during the period. Furthermore the company has informed that it has paid no benefits</v>
          </cell>
        </row>
        <row r="13">
          <cell r="B13" t="str">
            <v>The company has not funded the liability and the liability is not supported by any assets. As such no fair value of assets is there. The company has made no contributions during the period. Furthermore the company has informed that it has paid benefits of</v>
          </cell>
        </row>
        <row r="15">
          <cell r="B15" t="str">
            <v>We have made full actuarial valuations as at the start and end of the accounting period, based on member data and plan information provided to us at these dates.</v>
          </cell>
        </row>
        <row r="17">
          <cell r="B17" t="str">
            <v>We have made full actuarial valuation as at the end of the accounting period, based on member data and plan information provided to us at this date. We have utilized the value of the liability at the start of the accounting period as provided to us by the</v>
          </cell>
        </row>
        <row r="23">
          <cell r="B23" t="str">
            <v>Under the PUC method a "projected accrued benefit" is calculated at the end of the period for each benefit that will accrue for all active members of the Plan.  The "projected accrued benefit" is based on the Plan's accrual formula and upon number of leav</v>
          </cell>
        </row>
        <row r="25">
          <cell r="B25" t="str">
            <v>The results set out in this Report and its annexure are based on requirements of AS 15 (revised 2005) and its application to the Plan. They have been prepared for the specific requirements of AS 15 (revised 2005) and should not be used for any other purpo</v>
          </cell>
        </row>
        <row r="27">
          <cell r="B27" t="str">
            <v>This Report is provided solely for the Company's use and for the specific purposes indicated above. Except where we expressly agree in writing, it should not be disclosed or provided to any third party, other than as provided below. In the absence of such</v>
          </cell>
        </row>
        <row r="31">
          <cell r="B31" t="str">
            <v>The discount rate should be based upon the market yields available on Government bonds at the accounting date with a term that matches that of the liabilities and the salary increase should take account inflation, seniority, promotion and other relevant f</v>
          </cell>
        </row>
        <row r="33">
          <cell r="B33" t="str">
            <v>The results are particularly sensitive to some assumptions, such as the discount rate, level of salary inflation, level of assumed price inflation and mortality.  A decrease in the discount rate assumed or an increase in salary inflation will lead to an i</v>
          </cell>
        </row>
        <row r="37">
          <cell r="B37" t="str">
            <v>We have not completed any detailed validation checks on the information provided. We have, however, carried out broad consistency checks.</v>
          </cell>
        </row>
        <row r="39">
          <cell r="B39" t="str">
            <v>In preparing this Report we have relied on the completeness and accuracy of the information provided to us orally (including information received through e-mails) and in writing by you or your officials and advisors of your company. This information inter</v>
          </cell>
        </row>
        <row r="48">
          <cell r="B48">
            <v>500</v>
          </cell>
          <cell r="C48" t="str">
            <v>Five Hundred</v>
          </cell>
        </row>
        <row r="49">
          <cell r="B49">
            <v>750</v>
          </cell>
          <cell r="C49" t="str">
            <v>Seven Hundred Fifty</v>
          </cell>
        </row>
        <row r="50">
          <cell r="B50">
            <v>1000</v>
          </cell>
          <cell r="C50" t="str">
            <v xml:space="preserve">One Thousand </v>
          </cell>
        </row>
        <row r="51">
          <cell r="B51">
            <v>1250</v>
          </cell>
          <cell r="C51" t="str">
            <v xml:space="preserve">One Thousand Two Hundred Fifty </v>
          </cell>
        </row>
        <row r="52">
          <cell r="B52">
            <v>1500</v>
          </cell>
          <cell r="C52" t="str">
            <v xml:space="preserve">One Thousand Five Hundred </v>
          </cell>
        </row>
        <row r="53">
          <cell r="B53">
            <v>1750</v>
          </cell>
          <cell r="C53" t="str">
            <v>One Thousand Seven Hundred Fifty</v>
          </cell>
        </row>
        <row r="54">
          <cell r="B54">
            <v>2000</v>
          </cell>
          <cell r="C54" t="str">
            <v xml:space="preserve">Two Thousands </v>
          </cell>
        </row>
        <row r="55">
          <cell r="B55">
            <v>2250</v>
          </cell>
          <cell r="C55" t="str">
            <v>Two Thousands Two Hundred Fifty</v>
          </cell>
        </row>
        <row r="56">
          <cell r="B56">
            <v>2500</v>
          </cell>
          <cell r="C56" t="str">
            <v>Two Thousands Five Hundred</v>
          </cell>
        </row>
        <row r="57">
          <cell r="B57">
            <v>2750</v>
          </cell>
          <cell r="C57" t="str">
            <v xml:space="preserve">Two Thousands Seven Hundred Fifty </v>
          </cell>
        </row>
        <row r="58">
          <cell r="B58">
            <v>3000</v>
          </cell>
          <cell r="C58" t="str">
            <v xml:space="preserve">Three Thousands </v>
          </cell>
        </row>
        <row r="59">
          <cell r="B59">
            <v>3250</v>
          </cell>
          <cell r="C59" t="str">
            <v>Three Thousands Two Hundred Fifty</v>
          </cell>
        </row>
        <row r="60">
          <cell r="B60">
            <v>3500</v>
          </cell>
          <cell r="C60" t="str">
            <v xml:space="preserve">Three Thousands Five Hundred </v>
          </cell>
        </row>
        <row r="61">
          <cell r="B61">
            <v>3750</v>
          </cell>
          <cell r="C61" t="str">
            <v>Three Thousands Seven Hundred Fifty</v>
          </cell>
        </row>
        <row r="62">
          <cell r="B62">
            <v>4000</v>
          </cell>
          <cell r="C62" t="str">
            <v>Four Thousands</v>
          </cell>
        </row>
        <row r="63">
          <cell r="B63">
            <v>4250</v>
          </cell>
          <cell r="C63" t="str">
            <v>Four Thousands Two Hundred Fifty</v>
          </cell>
        </row>
        <row r="64">
          <cell r="B64">
            <v>4500</v>
          </cell>
          <cell r="C64" t="str">
            <v>Four Thousands Five Hundred</v>
          </cell>
        </row>
        <row r="65">
          <cell r="B65">
            <v>4750</v>
          </cell>
          <cell r="C65" t="str">
            <v>Four Thousands Seven Hundred Fifty</v>
          </cell>
        </row>
        <row r="66">
          <cell r="B66">
            <v>5000</v>
          </cell>
          <cell r="C66" t="str">
            <v>Five Thousands</v>
          </cell>
        </row>
        <row r="67">
          <cell r="B67">
            <v>5250</v>
          </cell>
          <cell r="C67" t="str">
            <v>Five Thousands Two Hundred Fifty</v>
          </cell>
        </row>
        <row r="68">
          <cell r="B68">
            <v>5500</v>
          </cell>
          <cell r="C68" t="str">
            <v xml:space="preserve">Five Thousands Five Hundred </v>
          </cell>
        </row>
        <row r="69">
          <cell r="B69">
            <v>5750</v>
          </cell>
          <cell r="C69" t="str">
            <v>Five Thousands Seven Hundred Fifty</v>
          </cell>
        </row>
        <row r="70">
          <cell r="B70">
            <v>6000</v>
          </cell>
          <cell r="C70" t="str">
            <v>Six Thousands</v>
          </cell>
        </row>
        <row r="71">
          <cell r="B71">
            <v>6250</v>
          </cell>
          <cell r="C71" t="str">
            <v>Six Thousands Two Hundred Fifty</v>
          </cell>
        </row>
        <row r="72">
          <cell r="B72">
            <v>6500</v>
          </cell>
          <cell r="C72" t="str">
            <v>Six Thousands Five Hundred</v>
          </cell>
        </row>
        <row r="73">
          <cell r="B73">
            <v>6750</v>
          </cell>
          <cell r="C73" t="str">
            <v>Six Thousands Seven Hundred Fifty</v>
          </cell>
        </row>
        <row r="74">
          <cell r="B74">
            <v>7000</v>
          </cell>
          <cell r="C74" t="str">
            <v>Seven Thousands</v>
          </cell>
        </row>
        <row r="75">
          <cell r="B75">
            <v>7250</v>
          </cell>
          <cell r="C75" t="str">
            <v>Seven Thousands Two Hundred Fifty</v>
          </cell>
        </row>
        <row r="76">
          <cell r="B76">
            <v>7500</v>
          </cell>
          <cell r="C76" t="str">
            <v>Seven Thousands Five Hundred</v>
          </cell>
        </row>
        <row r="77">
          <cell r="B77">
            <v>7750</v>
          </cell>
          <cell r="C77" t="str">
            <v>Seven Thousands Seven Hundred Fifty</v>
          </cell>
        </row>
        <row r="78">
          <cell r="B78">
            <v>8000</v>
          </cell>
          <cell r="C78" t="str">
            <v xml:space="preserve">Eight Thousands </v>
          </cell>
        </row>
        <row r="79">
          <cell r="B79">
            <v>8250</v>
          </cell>
          <cell r="C79" t="str">
            <v>Eight Thousands Two Hundred Fifty</v>
          </cell>
        </row>
        <row r="80">
          <cell r="B80">
            <v>8500</v>
          </cell>
          <cell r="C80" t="str">
            <v>Eight Thousands Five Hundred</v>
          </cell>
        </row>
        <row r="81">
          <cell r="B81">
            <v>8750</v>
          </cell>
          <cell r="C81" t="str">
            <v>Eight Thousands Seven Hundred Fifty</v>
          </cell>
        </row>
        <row r="82">
          <cell r="B82">
            <v>9000</v>
          </cell>
          <cell r="C82" t="str">
            <v xml:space="preserve">Nine Thousands </v>
          </cell>
        </row>
        <row r="83">
          <cell r="B83">
            <v>9250</v>
          </cell>
          <cell r="C83" t="str">
            <v>Nine Thousands Two Hundred Fifty</v>
          </cell>
        </row>
        <row r="84">
          <cell r="B84">
            <v>9500</v>
          </cell>
          <cell r="C84" t="str">
            <v>Nine Thousands Five Hundred</v>
          </cell>
        </row>
        <row r="85">
          <cell r="B85">
            <v>9750</v>
          </cell>
          <cell r="C85" t="str">
            <v>Nine Thousands Seven Hundred Fifty</v>
          </cell>
        </row>
        <row r="86">
          <cell r="B86">
            <v>10000</v>
          </cell>
          <cell r="C86" t="str">
            <v xml:space="preserve">Ten Thousands </v>
          </cell>
        </row>
        <row r="87">
          <cell r="B87">
            <v>10250</v>
          </cell>
          <cell r="C87" t="str">
            <v>Ten Thousands Two Hundred Fifty</v>
          </cell>
        </row>
        <row r="88">
          <cell r="B88">
            <v>10500</v>
          </cell>
          <cell r="C88" t="str">
            <v>Ten Thousands Five Hundred</v>
          </cell>
        </row>
        <row r="89">
          <cell r="B89">
            <v>10750</v>
          </cell>
          <cell r="C89" t="str">
            <v>Ten Thousands Seven Hundred Fifty</v>
          </cell>
        </row>
        <row r="90">
          <cell r="B90">
            <v>11000</v>
          </cell>
          <cell r="C90" t="str">
            <v xml:space="preserve">Eleven Thousands </v>
          </cell>
        </row>
        <row r="91">
          <cell r="B91">
            <v>11250</v>
          </cell>
          <cell r="C91" t="str">
            <v>Eleven Thousands Two Hundred Fifty</v>
          </cell>
        </row>
        <row r="92">
          <cell r="B92">
            <v>11500</v>
          </cell>
          <cell r="C92" t="str">
            <v>Eleven Thousands Five Hundred</v>
          </cell>
        </row>
        <row r="93">
          <cell r="B93">
            <v>11750</v>
          </cell>
          <cell r="C93" t="str">
            <v>Eleven Thousands Seven Hundred Fifty</v>
          </cell>
        </row>
        <row r="94">
          <cell r="B94">
            <v>12000</v>
          </cell>
          <cell r="C94" t="str">
            <v xml:space="preserve">Twelve Thousands </v>
          </cell>
        </row>
        <row r="95">
          <cell r="B95">
            <v>12250</v>
          </cell>
          <cell r="C95" t="str">
            <v>Twelve Thousands Two Hundred Fifty</v>
          </cell>
        </row>
        <row r="96">
          <cell r="B96">
            <v>12500</v>
          </cell>
          <cell r="C96" t="str">
            <v>Twelve Thousands Five Hundred</v>
          </cell>
        </row>
        <row r="97">
          <cell r="B97">
            <v>12750</v>
          </cell>
          <cell r="C97" t="str">
            <v>Twelve Thousands Seven Hundred Fifty</v>
          </cell>
        </row>
        <row r="98">
          <cell r="B98">
            <v>13000</v>
          </cell>
          <cell r="C98" t="str">
            <v>Thirteen Thousands</v>
          </cell>
        </row>
        <row r="99">
          <cell r="B99">
            <v>13250</v>
          </cell>
          <cell r="C99" t="str">
            <v>Thirteen Thousands Two Hundred Fifty</v>
          </cell>
        </row>
        <row r="100">
          <cell r="B100">
            <v>13500</v>
          </cell>
          <cell r="C100" t="str">
            <v xml:space="preserve">Thirteen Thousands Five Hundred </v>
          </cell>
        </row>
        <row r="101">
          <cell r="B101">
            <v>13750</v>
          </cell>
          <cell r="C101" t="str">
            <v>Thirteen Thousands Seven Hundred Fifty</v>
          </cell>
        </row>
        <row r="102">
          <cell r="B102">
            <v>14000</v>
          </cell>
          <cell r="C102" t="str">
            <v xml:space="preserve">Fourteen Thousands </v>
          </cell>
        </row>
        <row r="103">
          <cell r="B103">
            <v>14250</v>
          </cell>
          <cell r="C103" t="str">
            <v>Fourteen Thousands Two Hundred Fifty</v>
          </cell>
        </row>
        <row r="104">
          <cell r="B104">
            <v>14500</v>
          </cell>
          <cell r="C104" t="str">
            <v>Fourteen Thousands Five Hundred</v>
          </cell>
        </row>
        <row r="105">
          <cell r="B105">
            <v>14750</v>
          </cell>
          <cell r="C105" t="str">
            <v>Fourteen Thousands Seven Hundred Fifty</v>
          </cell>
        </row>
        <row r="106">
          <cell r="B106">
            <v>15000</v>
          </cell>
          <cell r="C106" t="str">
            <v xml:space="preserve">Fifteen Thousands </v>
          </cell>
        </row>
        <row r="107">
          <cell r="B107">
            <v>15250</v>
          </cell>
          <cell r="C107" t="str">
            <v xml:space="preserve">Fifteen Thousands Two Hundred Fifty </v>
          </cell>
        </row>
        <row r="108">
          <cell r="B108">
            <v>15500</v>
          </cell>
          <cell r="C108" t="str">
            <v>Fifteen Thousands Five Hundred</v>
          </cell>
        </row>
        <row r="109">
          <cell r="B109">
            <v>15750</v>
          </cell>
          <cell r="C109" t="str">
            <v>Fifteen Thousands Seven Hundred Fifty</v>
          </cell>
        </row>
        <row r="110">
          <cell r="B110">
            <v>16000</v>
          </cell>
          <cell r="C110" t="str">
            <v>Sixteen Thousands</v>
          </cell>
        </row>
        <row r="111">
          <cell r="B111">
            <v>16250</v>
          </cell>
          <cell r="C111" t="str">
            <v>Sixteen Thousands Two Hundred Fifty</v>
          </cell>
        </row>
        <row r="112">
          <cell r="B112">
            <v>16500</v>
          </cell>
          <cell r="C112" t="str">
            <v>Sixteen Thousands Five Hundred</v>
          </cell>
        </row>
        <row r="113">
          <cell r="B113">
            <v>16750</v>
          </cell>
          <cell r="C113" t="str">
            <v>Sixteen Thousands Seven Hundred Fifty</v>
          </cell>
        </row>
        <row r="114">
          <cell r="B114">
            <v>17000</v>
          </cell>
          <cell r="C114" t="str">
            <v>Seventeen Thousands</v>
          </cell>
        </row>
        <row r="115">
          <cell r="B115">
            <v>17250</v>
          </cell>
          <cell r="C115" t="str">
            <v>Seventeen Thousands Two Hundred Fifty</v>
          </cell>
        </row>
        <row r="116">
          <cell r="B116">
            <v>17500</v>
          </cell>
          <cell r="C116" t="str">
            <v>Seventeen Thousands Five Hundred</v>
          </cell>
        </row>
        <row r="117">
          <cell r="B117">
            <v>17750</v>
          </cell>
          <cell r="C117" t="str">
            <v>Seventeen Thousands Seven Hundred Fifty</v>
          </cell>
        </row>
        <row r="118">
          <cell r="B118">
            <v>18000</v>
          </cell>
          <cell r="C118" t="str">
            <v>Eighteen Thousands</v>
          </cell>
        </row>
        <row r="119">
          <cell r="B119">
            <v>18250</v>
          </cell>
          <cell r="C119" t="str">
            <v>Eighteen Thousands Two Hundred Fifty</v>
          </cell>
        </row>
        <row r="120">
          <cell r="B120">
            <v>18500</v>
          </cell>
          <cell r="C120" t="str">
            <v>Eighteen Thousands Five Hundred</v>
          </cell>
        </row>
        <row r="121">
          <cell r="B121">
            <v>18750</v>
          </cell>
          <cell r="C121" t="str">
            <v>Eighteen Thousands Seven Hundred Fifty</v>
          </cell>
        </row>
        <row r="122">
          <cell r="B122">
            <v>19000</v>
          </cell>
          <cell r="C122" t="str">
            <v>Nineteen Thousands</v>
          </cell>
        </row>
        <row r="123">
          <cell r="B123">
            <v>19250</v>
          </cell>
          <cell r="C123" t="str">
            <v>Nineteen Thousands Two Hundred Fifty</v>
          </cell>
        </row>
        <row r="124">
          <cell r="B124">
            <v>19500</v>
          </cell>
          <cell r="C124" t="str">
            <v>Nineteen Thousands Five Hundred</v>
          </cell>
        </row>
        <row r="125">
          <cell r="B125">
            <v>19750</v>
          </cell>
          <cell r="C125" t="str">
            <v>Nineteen Thousands Seven Hundred Fifty</v>
          </cell>
        </row>
        <row r="126">
          <cell r="B126">
            <v>20000</v>
          </cell>
          <cell r="C126" t="str">
            <v>Twenty Thousands</v>
          </cell>
        </row>
        <row r="127">
          <cell r="B127">
            <v>20250</v>
          </cell>
          <cell r="C127" t="str">
            <v>Twenty Thousands Two Hundred Fifty</v>
          </cell>
        </row>
        <row r="128">
          <cell r="B128">
            <v>20500</v>
          </cell>
          <cell r="C128" t="str">
            <v>Twenty Thousands Five Hundred</v>
          </cell>
        </row>
        <row r="129">
          <cell r="B129">
            <v>20750</v>
          </cell>
          <cell r="C129" t="str">
            <v>Twenty Thousands Seven Hundred Fifty</v>
          </cell>
        </row>
        <row r="130">
          <cell r="B130">
            <v>21000</v>
          </cell>
          <cell r="C130" t="str">
            <v>Twenty One Thousands</v>
          </cell>
        </row>
        <row r="131">
          <cell r="B131">
            <v>21250</v>
          </cell>
          <cell r="C131" t="str">
            <v>Twenty One Thousands Two Hundred Fifty</v>
          </cell>
        </row>
        <row r="132">
          <cell r="B132">
            <v>21500</v>
          </cell>
          <cell r="C132" t="str">
            <v>Twenty One Thousands Five Hundred</v>
          </cell>
        </row>
        <row r="133">
          <cell r="B133">
            <v>21750</v>
          </cell>
          <cell r="C133" t="str">
            <v>Twenty One Thousands Seven Hundred Fifty</v>
          </cell>
        </row>
        <row r="134">
          <cell r="B134">
            <v>22000</v>
          </cell>
          <cell r="C134" t="str">
            <v>Twenty Two Thousands</v>
          </cell>
        </row>
        <row r="135">
          <cell r="B135">
            <v>22250</v>
          </cell>
          <cell r="C135" t="str">
            <v>Twenty Two Thousands Two Hundred Fifty</v>
          </cell>
        </row>
        <row r="136">
          <cell r="B136">
            <v>22500</v>
          </cell>
          <cell r="C136" t="str">
            <v>Twenty Two Thousands Five Hundred</v>
          </cell>
        </row>
        <row r="137">
          <cell r="B137">
            <v>22750</v>
          </cell>
          <cell r="C137" t="str">
            <v>Twenty Two Thousands Seven Hundred Fifty</v>
          </cell>
        </row>
        <row r="138">
          <cell r="B138">
            <v>23000</v>
          </cell>
          <cell r="C138" t="str">
            <v>Twenty Three Thousands</v>
          </cell>
        </row>
        <row r="139">
          <cell r="B139">
            <v>23250</v>
          </cell>
          <cell r="C139" t="str">
            <v>Twenty Three Thousands Two Hundred Fifty</v>
          </cell>
        </row>
        <row r="140">
          <cell r="B140">
            <v>23500</v>
          </cell>
          <cell r="C140" t="str">
            <v>Twenty Three Thousands Five Hundred</v>
          </cell>
        </row>
        <row r="141">
          <cell r="B141">
            <v>23750</v>
          </cell>
          <cell r="C141" t="str">
            <v>Twenty Three Thousands Seven Hundred Fifty</v>
          </cell>
        </row>
        <row r="142">
          <cell r="B142">
            <v>24000</v>
          </cell>
          <cell r="C142" t="str">
            <v>Twenty Four Thousands</v>
          </cell>
        </row>
        <row r="143">
          <cell r="B143">
            <v>24250</v>
          </cell>
          <cell r="C143" t="str">
            <v>Twenty Four Thousands Two Hundred Fifty</v>
          </cell>
        </row>
        <row r="144">
          <cell r="B144">
            <v>24500</v>
          </cell>
          <cell r="C144" t="str">
            <v>Twenty Four Thousands Five Hundred</v>
          </cell>
        </row>
        <row r="145">
          <cell r="B145">
            <v>24750</v>
          </cell>
          <cell r="C145" t="str">
            <v>Twenty Four Thousands Seven Hundred Fifty</v>
          </cell>
        </row>
        <row r="146">
          <cell r="B146">
            <v>25000</v>
          </cell>
          <cell r="C146" t="str">
            <v>Twenty Five Thousands</v>
          </cell>
        </row>
        <row r="147">
          <cell r="B147">
            <v>25250</v>
          </cell>
          <cell r="C147" t="str">
            <v>Twenty Five Thousands Two Hundred Fifty</v>
          </cell>
        </row>
        <row r="148">
          <cell r="B148">
            <v>25500</v>
          </cell>
          <cell r="C148" t="str">
            <v>Twenty Five Thousands Five Hundred</v>
          </cell>
        </row>
        <row r="149">
          <cell r="B149">
            <v>25750</v>
          </cell>
          <cell r="C149" t="str">
            <v>Twenty Five Thousands Seven Hundred Fifty</v>
          </cell>
        </row>
        <row r="150">
          <cell r="B150">
            <v>26000</v>
          </cell>
          <cell r="C150" t="str">
            <v>Twenty Six Thousands</v>
          </cell>
        </row>
        <row r="151">
          <cell r="B151">
            <v>26250</v>
          </cell>
          <cell r="C151" t="str">
            <v>Twenty Six Thousands Two Hundred Fifty</v>
          </cell>
        </row>
        <row r="152">
          <cell r="B152">
            <v>26500</v>
          </cell>
          <cell r="C152" t="str">
            <v>Twenty Six Thousands Five Hundred</v>
          </cell>
        </row>
        <row r="153">
          <cell r="B153">
            <v>26750</v>
          </cell>
          <cell r="C153" t="str">
            <v>Twenty Six Thousands Seven Hundred Fifty</v>
          </cell>
        </row>
        <row r="154">
          <cell r="B154">
            <v>27000</v>
          </cell>
          <cell r="C154" t="str">
            <v>Twenty Seven Thousands</v>
          </cell>
        </row>
        <row r="155">
          <cell r="B155">
            <v>27250</v>
          </cell>
          <cell r="C155" t="str">
            <v>Twenty Seven Thousands Two Hundred Fifty</v>
          </cell>
        </row>
        <row r="156">
          <cell r="B156">
            <v>27500</v>
          </cell>
          <cell r="C156" t="str">
            <v>Twenty Seven Thousands Five Hundred</v>
          </cell>
        </row>
        <row r="157">
          <cell r="B157">
            <v>27750</v>
          </cell>
          <cell r="C157" t="str">
            <v>Twenty Seven Thousands Seven Hundred Fifty</v>
          </cell>
        </row>
        <row r="158">
          <cell r="B158">
            <v>28000</v>
          </cell>
          <cell r="C158" t="str">
            <v>Twenty Eight Thousands</v>
          </cell>
        </row>
        <row r="159">
          <cell r="B159">
            <v>28250</v>
          </cell>
          <cell r="C159" t="str">
            <v>Twenty Eight Thousands Two Hundred Fifty</v>
          </cell>
        </row>
        <row r="160">
          <cell r="B160">
            <v>28500</v>
          </cell>
          <cell r="C160" t="str">
            <v>Twenty Eight Thousands Five Hundred</v>
          </cell>
        </row>
        <row r="161">
          <cell r="B161">
            <v>28750</v>
          </cell>
          <cell r="C161" t="str">
            <v>Twenty Eight Thousands Seven Hundred Fifty</v>
          </cell>
        </row>
        <row r="162">
          <cell r="B162">
            <v>29000</v>
          </cell>
          <cell r="C162" t="str">
            <v>Twenty Nine Thousands</v>
          </cell>
        </row>
        <row r="163">
          <cell r="B163">
            <v>29250</v>
          </cell>
          <cell r="C163" t="str">
            <v>Twenty Nine Thousands Two Hundred Fifty</v>
          </cell>
        </row>
        <row r="164">
          <cell r="B164">
            <v>29500</v>
          </cell>
          <cell r="C164" t="str">
            <v>Twenty Nine Thousands Five Hundred</v>
          </cell>
        </row>
        <row r="165">
          <cell r="B165">
            <v>29750</v>
          </cell>
          <cell r="C165" t="str">
            <v>Twenty Nine Thousands Seven Hundred Fifty</v>
          </cell>
        </row>
        <row r="166">
          <cell r="B166">
            <v>30000</v>
          </cell>
          <cell r="C166" t="str">
            <v>Thirty Thousands</v>
          </cell>
        </row>
        <row r="167">
          <cell r="B167">
            <v>30250</v>
          </cell>
          <cell r="C167" t="str">
            <v>Thirty Thousands Two Hundred Fifty</v>
          </cell>
        </row>
        <row r="168">
          <cell r="B168">
            <v>30500</v>
          </cell>
          <cell r="C168" t="str">
            <v>Thirty Thousands Five Hundred</v>
          </cell>
        </row>
        <row r="169">
          <cell r="B169">
            <v>30750</v>
          </cell>
          <cell r="C169" t="str">
            <v>Thirty Thousands Seven Hundred Fifty</v>
          </cell>
        </row>
        <row r="170">
          <cell r="B170">
            <v>31000</v>
          </cell>
          <cell r="C170" t="str">
            <v>Thirty One Thousands</v>
          </cell>
        </row>
        <row r="171">
          <cell r="B171">
            <v>31250</v>
          </cell>
          <cell r="C171" t="str">
            <v>Thirty One Thousands Two Hundred Fifty</v>
          </cell>
        </row>
        <row r="172">
          <cell r="B172">
            <v>31500</v>
          </cell>
          <cell r="C172" t="str">
            <v>Thirty One Thousands Five Hundred</v>
          </cell>
        </row>
        <row r="173">
          <cell r="B173">
            <v>31750</v>
          </cell>
          <cell r="C173" t="str">
            <v>Thirty One Thousands Seven Hundred Fifty</v>
          </cell>
        </row>
        <row r="174">
          <cell r="B174">
            <v>32000</v>
          </cell>
          <cell r="C174" t="str">
            <v>Thirty Two Thousands</v>
          </cell>
        </row>
        <row r="175">
          <cell r="B175">
            <v>32250</v>
          </cell>
          <cell r="C175" t="str">
            <v>Thirty Two Thousands Two Hundred Fifty</v>
          </cell>
        </row>
        <row r="176">
          <cell r="B176">
            <v>32500</v>
          </cell>
          <cell r="C176" t="str">
            <v>Thirty Two Thousands Five Hundred</v>
          </cell>
        </row>
        <row r="177">
          <cell r="B177">
            <v>32750</v>
          </cell>
          <cell r="C177" t="str">
            <v>Thirty Two Thousands Seven Hundred Fifty</v>
          </cell>
        </row>
        <row r="178">
          <cell r="B178">
            <v>33000</v>
          </cell>
          <cell r="C178" t="str">
            <v>Thirty Three Thousands</v>
          </cell>
        </row>
        <row r="179">
          <cell r="B179">
            <v>33250</v>
          </cell>
          <cell r="C179" t="str">
            <v>Thirty Three Thousands Two Hundred Fifty</v>
          </cell>
        </row>
        <row r="180">
          <cell r="B180">
            <v>33500</v>
          </cell>
          <cell r="C180" t="str">
            <v>Thirty Three Thousands Five Hundred</v>
          </cell>
        </row>
        <row r="181">
          <cell r="B181">
            <v>33750</v>
          </cell>
          <cell r="C181" t="str">
            <v>Thirty Three Thousands Seven Hundred Fifty</v>
          </cell>
        </row>
        <row r="182">
          <cell r="B182">
            <v>34000</v>
          </cell>
          <cell r="C182" t="str">
            <v>Thirty Four Thousands</v>
          </cell>
        </row>
        <row r="183">
          <cell r="B183">
            <v>34250</v>
          </cell>
          <cell r="C183" t="str">
            <v>Thirty Four Thousands Two Hundred Fifty</v>
          </cell>
        </row>
        <row r="184">
          <cell r="B184">
            <v>34500</v>
          </cell>
          <cell r="C184" t="str">
            <v>Thirty Four Thousands Five Hundred</v>
          </cell>
        </row>
        <row r="185">
          <cell r="B185">
            <v>34750</v>
          </cell>
          <cell r="C185" t="str">
            <v>Thirty Four Thousands Seven Hundred Fifty</v>
          </cell>
        </row>
        <row r="186">
          <cell r="B186">
            <v>35000</v>
          </cell>
          <cell r="C186" t="str">
            <v>Thirty Five Thousands</v>
          </cell>
        </row>
        <row r="187">
          <cell r="B187">
            <v>35250</v>
          </cell>
          <cell r="C187" t="str">
            <v>Thirty Five Thousands Two Hundred Fifty</v>
          </cell>
        </row>
        <row r="188">
          <cell r="B188">
            <v>35500</v>
          </cell>
          <cell r="C188" t="str">
            <v>Thirty Five Thousands Five Hundred</v>
          </cell>
        </row>
        <row r="189">
          <cell r="B189">
            <v>35750</v>
          </cell>
          <cell r="C189" t="str">
            <v>Thirty Five Thousands Seven Hundred Fifty</v>
          </cell>
        </row>
        <row r="190">
          <cell r="B190">
            <v>36000</v>
          </cell>
          <cell r="C190" t="str">
            <v>Thirty Six Thousands</v>
          </cell>
        </row>
        <row r="191">
          <cell r="B191">
            <v>36250</v>
          </cell>
          <cell r="C191" t="str">
            <v>Thirty Six Thousands Two Hundred Fifty</v>
          </cell>
        </row>
        <row r="192">
          <cell r="B192">
            <v>36500</v>
          </cell>
          <cell r="C192" t="str">
            <v>Thirty Six Thousands Five Hundred</v>
          </cell>
        </row>
        <row r="193">
          <cell r="B193">
            <v>36750</v>
          </cell>
          <cell r="C193" t="str">
            <v>Thirty Six Thousands Seven Hundred Fifty</v>
          </cell>
        </row>
        <row r="194">
          <cell r="B194">
            <v>37000</v>
          </cell>
          <cell r="C194" t="str">
            <v>Thirty Seven Thousands</v>
          </cell>
        </row>
        <row r="195">
          <cell r="B195">
            <v>37250</v>
          </cell>
          <cell r="C195" t="str">
            <v>Thirty Seven Thousands Two Hundred Fifty</v>
          </cell>
        </row>
        <row r="196">
          <cell r="B196">
            <v>37500</v>
          </cell>
          <cell r="C196" t="str">
            <v>Thirty Seven Thousands Five Hundred</v>
          </cell>
        </row>
        <row r="197">
          <cell r="B197">
            <v>37750</v>
          </cell>
          <cell r="C197" t="str">
            <v>Thirty Seven Thousands Seven Hundred Fifty</v>
          </cell>
        </row>
        <row r="198">
          <cell r="B198">
            <v>38000</v>
          </cell>
          <cell r="C198" t="str">
            <v>Thirty Eight Thousands</v>
          </cell>
        </row>
        <row r="199">
          <cell r="B199">
            <v>38250</v>
          </cell>
          <cell r="C199" t="str">
            <v>Thirty Eight Thousands Two Hundred Fifty</v>
          </cell>
        </row>
        <row r="200">
          <cell r="B200">
            <v>38500</v>
          </cell>
          <cell r="C200" t="str">
            <v>Thirty Eight Thousands Five Hundred</v>
          </cell>
        </row>
        <row r="201">
          <cell r="B201">
            <v>38750</v>
          </cell>
          <cell r="C201" t="str">
            <v>Thirty Eight Thousands Seven Hundred Fifty</v>
          </cell>
        </row>
        <row r="202">
          <cell r="B202">
            <v>39000</v>
          </cell>
          <cell r="C202" t="str">
            <v>Thirty Nine Thousands</v>
          </cell>
        </row>
        <row r="203">
          <cell r="B203">
            <v>39250</v>
          </cell>
          <cell r="C203" t="str">
            <v>Thirty Nine Thousands Two Hundred Fifty</v>
          </cell>
        </row>
        <row r="204">
          <cell r="B204">
            <v>39500</v>
          </cell>
          <cell r="C204" t="str">
            <v>Thirty Nine Thousands Five Hundred</v>
          </cell>
        </row>
        <row r="205">
          <cell r="B205">
            <v>39750</v>
          </cell>
          <cell r="C205" t="str">
            <v>Thirty Nine Thousands Seven Hundred Fifty</v>
          </cell>
        </row>
        <row r="206">
          <cell r="B206">
            <v>40000</v>
          </cell>
          <cell r="C206" t="str">
            <v>Forty Thousands</v>
          </cell>
        </row>
        <row r="207">
          <cell r="B207">
            <v>40250</v>
          </cell>
          <cell r="C207" t="str">
            <v>Forty Thousands Two Hundred Fifty</v>
          </cell>
        </row>
        <row r="208">
          <cell r="B208">
            <v>40500</v>
          </cell>
          <cell r="C208" t="str">
            <v>Forty Thousands Five Hundred</v>
          </cell>
        </row>
        <row r="209">
          <cell r="B209">
            <v>40750</v>
          </cell>
          <cell r="C209" t="str">
            <v>Forty Thousands Seven Hundred Fifty</v>
          </cell>
        </row>
        <row r="210">
          <cell r="B210">
            <v>41000</v>
          </cell>
          <cell r="C210" t="str">
            <v>Forty One Thousands</v>
          </cell>
        </row>
        <row r="211">
          <cell r="B211">
            <v>41250</v>
          </cell>
          <cell r="C211" t="str">
            <v>Forty One Thousands Two Hundred Fifty</v>
          </cell>
        </row>
        <row r="212">
          <cell r="B212">
            <v>41500</v>
          </cell>
          <cell r="C212" t="str">
            <v>Forty One Thousands Five Hundred</v>
          </cell>
        </row>
        <row r="213">
          <cell r="B213">
            <v>41750</v>
          </cell>
          <cell r="C213" t="str">
            <v>Forty One Thousands Seven Hundred Fifty</v>
          </cell>
        </row>
        <row r="214">
          <cell r="B214">
            <v>42000</v>
          </cell>
          <cell r="C214" t="str">
            <v>Forty Two Thousands</v>
          </cell>
        </row>
        <row r="215">
          <cell r="B215">
            <v>42250</v>
          </cell>
          <cell r="C215" t="str">
            <v>Forty Two Thousands Two Hundred Fifty</v>
          </cell>
        </row>
        <row r="216">
          <cell r="B216">
            <v>42500</v>
          </cell>
          <cell r="C216" t="str">
            <v>Forty Two Thousands Five Hundred</v>
          </cell>
        </row>
        <row r="217">
          <cell r="B217">
            <v>42750</v>
          </cell>
          <cell r="C217" t="str">
            <v>Forty Two Thousands Seven Hundred Fifty</v>
          </cell>
        </row>
        <row r="218">
          <cell r="B218">
            <v>43000</v>
          </cell>
          <cell r="C218" t="str">
            <v>Forty Three Thousands</v>
          </cell>
        </row>
        <row r="219">
          <cell r="B219">
            <v>43250</v>
          </cell>
          <cell r="C219" t="str">
            <v>Forty Three Thousands Two Hundred Fifty</v>
          </cell>
        </row>
        <row r="220">
          <cell r="B220">
            <v>43500</v>
          </cell>
          <cell r="C220" t="str">
            <v>Forty Three Thousands Five Hundred</v>
          </cell>
        </row>
        <row r="221">
          <cell r="B221">
            <v>43750</v>
          </cell>
          <cell r="C221" t="str">
            <v>Forty Three Thousands Seven Hundred Fifty</v>
          </cell>
        </row>
        <row r="222">
          <cell r="B222">
            <v>44000</v>
          </cell>
          <cell r="C222" t="str">
            <v>Forty Four Thousands</v>
          </cell>
        </row>
        <row r="223">
          <cell r="B223">
            <v>44250</v>
          </cell>
          <cell r="C223" t="str">
            <v>Forty Four Thousands Two Hundred Fifty</v>
          </cell>
        </row>
        <row r="224">
          <cell r="B224">
            <v>44500</v>
          </cell>
          <cell r="C224" t="str">
            <v>Forty Four Thousands Five Hundred</v>
          </cell>
        </row>
        <row r="225">
          <cell r="B225">
            <v>44750</v>
          </cell>
          <cell r="C225" t="str">
            <v>Forty Four Thousands Seven Hundred Fifty</v>
          </cell>
        </row>
        <row r="226">
          <cell r="B226">
            <v>45000</v>
          </cell>
          <cell r="C226" t="str">
            <v>Forty Five Thousands</v>
          </cell>
        </row>
        <row r="227">
          <cell r="B227">
            <v>45250</v>
          </cell>
          <cell r="C227" t="str">
            <v>Forty Five Thousands Two Hundred Fifty</v>
          </cell>
        </row>
        <row r="228">
          <cell r="B228">
            <v>45500</v>
          </cell>
          <cell r="C228" t="str">
            <v>Forty Five Thousands Five Hundred</v>
          </cell>
        </row>
        <row r="229">
          <cell r="B229">
            <v>45750</v>
          </cell>
          <cell r="C229" t="str">
            <v>Forty Five Thousands Seven Hundred Fifty</v>
          </cell>
        </row>
        <row r="230">
          <cell r="B230">
            <v>46000</v>
          </cell>
          <cell r="C230" t="str">
            <v>Forty Six Thousands</v>
          </cell>
        </row>
        <row r="231">
          <cell r="B231">
            <v>46250</v>
          </cell>
          <cell r="C231" t="str">
            <v>Forty Six Thousands Two Hundred Fifty</v>
          </cell>
        </row>
        <row r="232">
          <cell r="B232">
            <v>46500</v>
          </cell>
          <cell r="C232" t="str">
            <v>Forty Six Thousands Five Hundred</v>
          </cell>
        </row>
        <row r="233">
          <cell r="B233">
            <v>46750</v>
          </cell>
          <cell r="C233" t="str">
            <v>Forty Six Thousands Seven Hundred Fifty</v>
          </cell>
        </row>
        <row r="234">
          <cell r="B234">
            <v>47000</v>
          </cell>
          <cell r="C234" t="str">
            <v>Forty Seven Thousands</v>
          </cell>
        </row>
        <row r="235">
          <cell r="B235">
            <v>47250</v>
          </cell>
          <cell r="C235" t="str">
            <v>Forty Seven Thousands Two Hundred Fifty</v>
          </cell>
        </row>
        <row r="236">
          <cell r="B236">
            <v>47500</v>
          </cell>
          <cell r="C236" t="str">
            <v>Forty Seven Thousands Five Hundred</v>
          </cell>
        </row>
        <row r="237">
          <cell r="B237">
            <v>47750</v>
          </cell>
          <cell r="C237" t="str">
            <v>Forty Seven Thousands Seven Hundred Fifty</v>
          </cell>
        </row>
        <row r="238">
          <cell r="B238">
            <v>48000</v>
          </cell>
          <cell r="C238" t="str">
            <v>Forty Eight Thousands</v>
          </cell>
        </row>
        <row r="239">
          <cell r="B239">
            <v>48250</v>
          </cell>
          <cell r="C239" t="str">
            <v>Forty Eight Thousands Two Hundred Fifty</v>
          </cell>
        </row>
        <row r="240">
          <cell r="B240">
            <v>48500</v>
          </cell>
          <cell r="C240" t="str">
            <v>Forty Eight Thousands Five Hundred</v>
          </cell>
        </row>
        <row r="241">
          <cell r="B241">
            <v>48750</v>
          </cell>
          <cell r="C241" t="str">
            <v>Forty Eight Thousands Seven Hundred Fifty</v>
          </cell>
        </row>
        <row r="242">
          <cell r="B242">
            <v>49000</v>
          </cell>
          <cell r="C242" t="str">
            <v>Forty Nine Thousands</v>
          </cell>
        </row>
        <row r="243">
          <cell r="B243">
            <v>49250</v>
          </cell>
          <cell r="C243" t="str">
            <v>Forty Nine Thousands Two Hundred Fifty</v>
          </cell>
        </row>
        <row r="244">
          <cell r="B244">
            <v>49500</v>
          </cell>
          <cell r="C244" t="str">
            <v>Forty Nine Thousands Five Hundred</v>
          </cell>
        </row>
        <row r="245">
          <cell r="B245">
            <v>49750</v>
          </cell>
          <cell r="C245" t="str">
            <v>Forty Nine Thousands Seven Hundred Fifty</v>
          </cell>
        </row>
        <row r="246">
          <cell r="B246">
            <v>50000</v>
          </cell>
          <cell r="C246" t="str">
            <v>Fifty Thousands</v>
          </cell>
        </row>
        <row r="247">
          <cell r="B247">
            <v>50250</v>
          </cell>
          <cell r="C247" t="str">
            <v>Fifty Thousands Two Hundred Fifty</v>
          </cell>
        </row>
        <row r="248">
          <cell r="B248">
            <v>50500</v>
          </cell>
          <cell r="C248" t="str">
            <v>Fifty Thousands Five Hundred</v>
          </cell>
        </row>
        <row r="249">
          <cell r="B249">
            <v>50750</v>
          </cell>
          <cell r="C249" t="str">
            <v>Fifty Thousands Seven Hundred Fifty</v>
          </cell>
        </row>
        <row r="250">
          <cell r="B250">
            <v>51000</v>
          </cell>
          <cell r="C250" t="str">
            <v>Fifty One Thousands</v>
          </cell>
        </row>
        <row r="251">
          <cell r="B251">
            <v>51250</v>
          </cell>
          <cell r="C251" t="str">
            <v>Fifty One Thousands Two Hundred Fifty</v>
          </cell>
        </row>
        <row r="252">
          <cell r="B252">
            <v>51500</v>
          </cell>
          <cell r="C252" t="str">
            <v>Fifty One Thousands Five Hundred</v>
          </cell>
        </row>
        <row r="253">
          <cell r="B253">
            <v>51750</v>
          </cell>
          <cell r="C253" t="str">
            <v>Fifty One Thousands Seven Hundred Fifty</v>
          </cell>
        </row>
        <row r="254">
          <cell r="B254">
            <v>52000</v>
          </cell>
          <cell r="C254" t="str">
            <v>Fifty Two Thousands</v>
          </cell>
        </row>
        <row r="255">
          <cell r="B255">
            <v>52250</v>
          </cell>
          <cell r="C255" t="str">
            <v>Fifty Two Thousands Two Hundred Fifty</v>
          </cell>
        </row>
        <row r="256">
          <cell r="B256">
            <v>52500</v>
          </cell>
          <cell r="C256" t="str">
            <v>Fifty Two Thousands Five Hundred</v>
          </cell>
        </row>
        <row r="257">
          <cell r="B257">
            <v>52750</v>
          </cell>
          <cell r="C257" t="str">
            <v>Fifty Two Thousands Seven Hundred Fifty</v>
          </cell>
        </row>
        <row r="258">
          <cell r="B258">
            <v>53000</v>
          </cell>
          <cell r="C258" t="str">
            <v>Fifty Three Thousands</v>
          </cell>
        </row>
        <row r="259">
          <cell r="B259">
            <v>53250</v>
          </cell>
          <cell r="C259" t="str">
            <v>Fifty Three Thousands Two Hundred Fifty</v>
          </cell>
        </row>
        <row r="260">
          <cell r="B260">
            <v>53500</v>
          </cell>
          <cell r="C260" t="str">
            <v>Fifty Three Thousands Five Hundred</v>
          </cell>
        </row>
        <row r="261">
          <cell r="B261">
            <v>53750</v>
          </cell>
          <cell r="C261" t="str">
            <v>Fifty Three Thousands Seven Hundred Fifty</v>
          </cell>
        </row>
        <row r="262">
          <cell r="B262">
            <v>54000</v>
          </cell>
          <cell r="C262" t="str">
            <v>Fifty Four Thousands</v>
          </cell>
        </row>
        <row r="263">
          <cell r="B263">
            <v>54250</v>
          </cell>
          <cell r="C263" t="str">
            <v>Fifty Four Thousands Two Hundred Fifty</v>
          </cell>
        </row>
        <row r="264">
          <cell r="B264">
            <v>54500</v>
          </cell>
          <cell r="C264" t="str">
            <v>Fifty Four Thousands Five Hundred</v>
          </cell>
        </row>
        <row r="265">
          <cell r="B265">
            <v>54750</v>
          </cell>
          <cell r="C265" t="str">
            <v>Fifty Four Thousands Seven Hundred Fifty</v>
          </cell>
        </row>
        <row r="266">
          <cell r="B266">
            <v>55000</v>
          </cell>
          <cell r="C266" t="str">
            <v>Fifty Five Thousands</v>
          </cell>
        </row>
        <row r="267">
          <cell r="B267">
            <v>55250</v>
          </cell>
          <cell r="C267" t="str">
            <v>Fifty Five Thousands Two Hundred Fifty</v>
          </cell>
        </row>
        <row r="268">
          <cell r="B268">
            <v>55500</v>
          </cell>
          <cell r="C268" t="str">
            <v>Fifty Five Thousands Five Hundred</v>
          </cell>
        </row>
        <row r="269">
          <cell r="B269">
            <v>55750</v>
          </cell>
          <cell r="C269" t="str">
            <v>Fifty Five Thousands Seven Hundred Fifty</v>
          </cell>
        </row>
        <row r="270">
          <cell r="B270">
            <v>56000</v>
          </cell>
          <cell r="C270" t="str">
            <v>Fifty Six Thousands</v>
          </cell>
        </row>
        <row r="271">
          <cell r="B271">
            <v>56250</v>
          </cell>
          <cell r="C271" t="str">
            <v>Fifty Six Thousands Two Hundred Fifty</v>
          </cell>
        </row>
        <row r="272">
          <cell r="B272">
            <v>56500</v>
          </cell>
          <cell r="C272" t="str">
            <v>Fifty Six Thousands Five Hundred</v>
          </cell>
        </row>
        <row r="273">
          <cell r="B273">
            <v>56750</v>
          </cell>
          <cell r="C273" t="str">
            <v>Fifty Six Thousands Seven Hundred Fifty</v>
          </cell>
        </row>
        <row r="274">
          <cell r="B274">
            <v>57000</v>
          </cell>
          <cell r="C274" t="str">
            <v>Fifty Seven Thousands</v>
          </cell>
        </row>
        <row r="275">
          <cell r="B275">
            <v>57250</v>
          </cell>
          <cell r="C275" t="str">
            <v>Fifty Seven Thousands Two Hundred Fifty</v>
          </cell>
        </row>
        <row r="276">
          <cell r="B276">
            <v>57500</v>
          </cell>
          <cell r="C276" t="str">
            <v>Fifty Seven Thousands Five Hundred</v>
          </cell>
        </row>
        <row r="277">
          <cell r="B277">
            <v>57750</v>
          </cell>
          <cell r="C277" t="str">
            <v>Fifty Seven Thousands Seven Hundred Fifty</v>
          </cell>
        </row>
        <row r="278">
          <cell r="B278">
            <v>58000</v>
          </cell>
          <cell r="C278" t="str">
            <v>Fifty Eight Thousands</v>
          </cell>
        </row>
        <row r="279">
          <cell r="B279">
            <v>58250</v>
          </cell>
          <cell r="C279" t="str">
            <v>Fifty Eight Thousands Two Hundred Fifty</v>
          </cell>
        </row>
        <row r="280">
          <cell r="B280">
            <v>58500</v>
          </cell>
          <cell r="C280" t="str">
            <v>Fifty Eight Thousands Five Hundred</v>
          </cell>
        </row>
        <row r="281">
          <cell r="B281">
            <v>58750</v>
          </cell>
          <cell r="C281" t="str">
            <v>Fifty Eight Thousands Seven Hundred Fifty</v>
          </cell>
        </row>
        <row r="282">
          <cell r="B282">
            <v>59000</v>
          </cell>
          <cell r="C282" t="str">
            <v>Fifty Nine Thousands</v>
          </cell>
        </row>
        <row r="283">
          <cell r="B283">
            <v>59250</v>
          </cell>
          <cell r="C283" t="str">
            <v>Fifty Nine Thousands Two Hundred Fifty</v>
          </cell>
        </row>
        <row r="284">
          <cell r="B284">
            <v>59500</v>
          </cell>
          <cell r="C284" t="str">
            <v>Fifty Nine Thousands Five Hundred</v>
          </cell>
        </row>
        <row r="285">
          <cell r="B285">
            <v>59750</v>
          </cell>
          <cell r="C285" t="str">
            <v>Fifty Nine Thousands Seven Hundred Fifty</v>
          </cell>
        </row>
        <row r="286">
          <cell r="B286">
            <v>60000</v>
          </cell>
          <cell r="C286" t="str">
            <v>Sixty Thousands</v>
          </cell>
        </row>
      </sheetData>
      <sheetData sheetId="4"/>
      <sheetData sheetId="5"/>
      <sheetData sheetId="6"/>
      <sheetData sheetId="7"/>
      <sheetData sheetId="8" refreshError="1"/>
      <sheetData sheetId="9" refreshError="1"/>
      <sheetData sheetId="10" refreshError="1"/>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heet"/>
      <sheetName val="Profit &amp; Loss"/>
      <sheetName val="Schedule"/>
      <sheetName val="Abstract"/>
      <sheetName val="Computation"/>
      <sheetName val="Grouping"/>
      <sheetName val="Schedules"/>
      <sheetName val="Sale of Assets"/>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sheetName val="Schedules"/>
      <sheetName val="Grouping"/>
      <sheetName val="Delhi"/>
      <sheetName val="Brahmananda"/>
      <sheetName val="Sonari"/>
      <sheetName val="Jamshedpur"/>
      <sheetName val="Bhiwadi"/>
      <sheetName val="Aangan"/>
      <sheetName val="Pune"/>
      <sheetName val="Lavasa"/>
      <sheetName val="Patna"/>
      <sheetName val="R MTL"/>
    </sheetNames>
    <sheetDataSet>
      <sheetData sheetId="0" refreshError="1"/>
      <sheetData sheetId="1" refreshError="1"/>
      <sheetData sheetId="2" refreshError="1">
        <row r="6">
          <cell r="A6" t="str">
            <v>SHARE CAPITAL</v>
          </cell>
        </row>
        <row r="8">
          <cell r="A8" t="str">
            <v xml:space="preserve">GENERAL RESERVE </v>
          </cell>
        </row>
        <row r="9">
          <cell r="A9" t="str">
            <v>As per last Balance Sheet</v>
          </cell>
        </row>
        <row r="10">
          <cell r="A10" t="str">
            <v>Transferred on intial adoption of AS 15</v>
          </cell>
        </row>
        <row r="11">
          <cell r="A11" t="str">
            <v>Transferred from Profit &amp; Loss A/c</v>
          </cell>
        </row>
        <row r="14">
          <cell r="A14" t="str">
            <v>CAPITAL RESERVE</v>
          </cell>
        </row>
        <row r="16">
          <cell r="A16" t="str">
            <v>SECURED LOANS (Cr.)</v>
          </cell>
        </row>
        <row r="17">
          <cell r="A17" t="str">
            <v>SBBJ Amar Colony</v>
          </cell>
        </row>
        <row r="18">
          <cell r="A18" t="str">
            <v>HDFC Bank Ltd. Delhi</v>
          </cell>
        </row>
        <row r="19">
          <cell r="A19" t="str">
            <v>HDFC Bank Ltd.(Vehical Loan)</v>
          </cell>
        </row>
        <row r="20">
          <cell r="A20" t="str">
            <v>ICICI Limited(Vehicle Loan)</v>
          </cell>
        </row>
        <row r="21">
          <cell r="A21" t="str">
            <v>Tata Motors Finance Ltd</v>
          </cell>
        </row>
        <row r="22">
          <cell r="A22" t="str">
            <v>Tata Capital Ltd</v>
          </cell>
        </row>
        <row r="23">
          <cell r="A23" t="str">
            <v>ABN Amro Bank (Car Loan)</v>
          </cell>
        </row>
        <row r="26">
          <cell r="A26" t="str">
            <v>INTER DIVISION LOAN</v>
          </cell>
        </row>
        <row r="28">
          <cell r="A28" t="str">
            <v>DEFERRED TAX LIABILITY</v>
          </cell>
        </row>
        <row r="29">
          <cell r="A29" t="str">
            <v>Opening B/f</v>
          </cell>
        </row>
        <row r="30">
          <cell r="A30" t="str">
            <v>Provided for the year</v>
          </cell>
        </row>
        <row r="33">
          <cell r="A33" t="str">
            <v>FIXED ASSETS</v>
          </cell>
        </row>
        <row r="35">
          <cell r="A35" t="str">
            <v>CAPITAL WORK-IN PROGRESS</v>
          </cell>
        </row>
        <row r="37">
          <cell r="A37" t="str">
            <v>INVESTMENTS</v>
          </cell>
        </row>
        <row r="38">
          <cell r="A38" t="str">
            <v>Investment in Projects/Buildings :-</v>
          </cell>
        </row>
        <row r="39">
          <cell r="A39" t="str">
            <v>Ashiana Amar Developers</v>
          </cell>
        </row>
        <row r="40">
          <cell r="A40" t="str">
            <v>Ashiana Amar Infrastructures</v>
          </cell>
        </row>
        <row r="41">
          <cell r="A41" t="str">
            <v>Ashiana Green Wood Developers</v>
          </cell>
        </row>
        <row r="42">
          <cell r="A42" t="str">
            <v>W-177-Building</v>
          </cell>
        </row>
        <row r="43">
          <cell r="A43" t="str">
            <v>Land - Village</v>
          </cell>
        </row>
        <row r="44">
          <cell r="A44" t="str">
            <v>Land - AIP (17170 Sq mtr)</v>
          </cell>
        </row>
        <row r="45">
          <cell r="A45" t="str">
            <v>Common Facility Utsav</v>
          </cell>
        </row>
        <row r="46">
          <cell r="A46" t="str">
            <v>Debentures</v>
          </cell>
        </row>
        <row r="47">
          <cell r="A47" t="str">
            <v>Mutual Funds/Share</v>
          </cell>
        </row>
        <row r="48">
          <cell r="A48" t="str">
            <v>Provision for Dimunition of Investments</v>
          </cell>
        </row>
        <row r="51">
          <cell r="A51" t="str">
            <v>INVENTORIES</v>
          </cell>
        </row>
        <row r="52">
          <cell r="A52" t="str">
            <v>LEASEHOLD LAND</v>
          </cell>
        </row>
        <row r="53">
          <cell r="A53" t="str">
            <v>Less: Ongoing Project Adjustment - Aangan Phase I (Lease Hold Land)</v>
          </cell>
        </row>
        <row r="54">
          <cell r="A54" t="str">
            <v>2006-2007 (Lease Hold Land)</v>
          </cell>
        </row>
        <row r="55">
          <cell r="A55" t="str">
            <v>2007-2008 (Lease Hold Land)</v>
          </cell>
        </row>
        <row r="56">
          <cell r="A56" t="str">
            <v>2008-2009 (Lease Hold Land)</v>
          </cell>
        </row>
        <row r="57">
          <cell r="A57" t="str">
            <v>Till Sep 09 (Lease Hold Land)</v>
          </cell>
        </row>
        <row r="58">
          <cell r="A58" t="str">
            <v>Less: Ongoing Project Adjustment - Aangan Phase II (Lease Hold Land)</v>
          </cell>
        </row>
        <row r="59">
          <cell r="A59" t="str">
            <v>2008-2009 (Lease Hold Land)</v>
          </cell>
        </row>
        <row r="60">
          <cell r="A60" t="str">
            <v>Till Sep 09 (Lease Hold Land)</v>
          </cell>
        </row>
        <row r="61">
          <cell r="A61" t="str">
            <v>Less: Ongoing Project Adjustment - Aangan Phase III (Lease Hold Land)</v>
          </cell>
        </row>
        <row r="62">
          <cell r="A62" t="str">
            <v>Till Sep 09 (Lease Hold Land)</v>
          </cell>
        </row>
        <row r="65">
          <cell r="A65" t="str">
            <v>FREEHOLD LAND</v>
          </cell>
        </row>
        <row r="66">
          <cell r="A66" t="str">
            <v>Less: Ongoing Project Adjustment - Woodland Phase II (Freehold Land)</v>
          </cell>
        </row>
        <row r="67">
          <cell r="A67" t="str">
            <v>2006-2007 (Freehold Land)</v>
          </cell>
        </row>
        <row r="68">
          <cell r="A68" t="str">
            <v>2007-2008 (Freehold Land)</v>
          </cell>
        </row>
        <row r="69">
          <cell r="A69" t="str">
            <v>2008-2009 (Freehold Land)</v>
          </cell>
        </row>
        <row r="70">
          <cell r="A70" t="str">
            <v>2008-2009 (Freehold Land)</v>
          </cell>
        </row>
        <row r="71">
          <cell r="A71" t="str">
            <v>Till Sep 09 (Freehold Land)</v>
          </cell>
        </row>
        <row r="74">
          <cell r="A74" t="str">
            <v>UNSOLD COMPLETED CONSTRUCTION</v>
          </cell>
        </row>
        <row r="75">
          <cell r="A75" t="str">
            <v>Less: Ongoing Project Adjustment - Woodland Phase II</v>
          </cell>
        </row>
        <row r="76">
          <cell r="A76" t="str">
            <v xml:space="preserve">  - Transfer From WIP upon project Completion</v>
          </cell>
        </row>
        <row r="78">
          <cell r="A78" t="str">
            <v>Less: Ongoing Project Adjustment - Woodland Phase II</v>
          </cell>
        </row>
        <row r="79">
          <cell r="A79" t="str">
            <v>2008-2009</v>
          </cell>
        </row>
        <row r="80">
          <cell r="A80" t="str">
            <v>2008-2009</v>
          </cell>
        </row>
        <row r="81">
          <cell r="A81" t="str">
            <v>Till Sep 09</v>
          </cell>
        </row>
        <row r="84">
          <cell r="A84" t="str">
            <v>WORK IN PROGRESS</v>
          </cell>
        </row>
        <row r="85">
          <cell r="A85" t="str">
            <v>Less: Ongoing Project Adjustment - Aangan Phase I (WIP)</v>
          </cell>
        </row>
        <row r="86">
          <cell r="A86" t="str">
            <v>2006-2007 (Aangan WIP)</v>
          </cell>
        </row>
        <row r="87">
          <cell r="A87" t="str">
            <v>2007-2008 (Aangan WIP)</v>
          </cell>
        </row>
        <row r="88">
          <cell r="A88" t="str">
            <v>2008-2009 (Aangan WIP)</v>
          </cell>
        </row>
        <row r="89">
          <cell r="A89" t="str">
            <v>Till Sep 2009 (Aangan WIP)</v>
          </cell>
        </row>
        <row r="90">
          <cell r="A90" t="str">
            <v>Less: Ongoing Project Adjustment - Aangan Phase II (WIP)</v>
          </cell>
        </row>
        <row r="91">
          <cell r="A91" t="str">
            <v>2008-2009 (Aangan II WIP)</v>
          </cell>
        </row>
        <row r="92">
          <cell r="A92" t="str">
            <v>Till Sep 2009 (Aangan II WIP)</v>
          </cell>
        </row>
        <row r="93">
          <cell r="A93" t="str">
            <v>Less: Ongoing Project Adjustment - Aangan Phase III</v>
          </cell>
        </row>
        <row r="94">
          <cell r="A94" t="str">
            <v>Till Sep 2009 (Aangan III WIP)</v>
          </cell>
        </row>
        <row r="95">
          <cell r="A95" t="str">
            <v>Less: Ongoing Project Adjustment - Woodland Phase II (WIP)</v>
          </cell>
        </row>
        <row r="96">
          <cell r="A96" t="str">
            <v>2006-2007 (Woodlands WIP)</v>
          </cell>
        </row>
        <row r="97">
          <cell r="A97" t="str">
            <v>2007-2008 (Woodlands WIP)</v>
          </cell>
        </row>
        <row r="98">
          <cell r="A98" t="str">
            <v>Transfer to Completed Construction upon project Completion</v>
          </cell>
        </row>
        <row r="99">
          <cell r="A99" t="str">
            <v>Til Sep 09</v>
          </cell>
        </row>
        <row r="102">
          <cell r="A102" t="str">
            <v>CONSTRUCTION MATERIAL</v>
          </cell>
        </row>
        <row r="106">
          <cell r="A106" t="str">
            <v xml:space="preserve">SUNDRY DEBTORS </v>
          </cell>
        </row>
        <row r="107">
          <cell r="A107" t="str">
            <v>MORE THAN SIX MONTHS (LIST 4)</v>
          </cell>
        </row>
        <row r="108">
          <cell r="A108" t="str">
            <v xml:space="preserve"> Harniwas </v>
          </cell>
        </row>
        <row r="109">
          <cell r="A109" t="str">
            <v xml:space="preserve"> Management Fees Receivable - Green hill B/f</v>
          </cell>
        </row>
        <row r="110">
          <cell r="A110" t="str">
            <v>Ashiana Utsav Phase-I</v>
          </cell>
        </row>
        <row r="111">
          <cell r="A111" t="str">
            <v>Ashiana Utsav Phase-II</v>
          </cell>
        </row>
        <row r="112">
          <cell r="A112" t="str">
            <v>Ashiana Utsav Phase-III</v>
          </cell>
        </row>
        <row r="113">
          <cell r="A113" t="str">
            <v>Villa</v>
          </cell>
        </row>
        <row r="114">
          <cell r="A114" t="str">
            <v>Ashiana Residency Green - B/f</v>
          </cell>
        </row>
        <row r="116">
          <cell r="A116" t="str">
            <v>LESS THAN SIX MONTHS (LIST 4A)</v>
          </cell>
        </row>
        <row r="117">
          <cell r="A117" t="str">
            <v>Ashiana Woodland-Phase-I</v>
          </cell>
        </row>
        <row r="118">
          <cell r="A118" t="str">
            <v>Rent Receivable</v>
          </cell>
        </row>
        <row r="119">
          <cell r="A119" t="str">
            <v>Receivable - ARVL</v>
          </cell>
        </row>
        <row r="120">
          <cell r="A120" t="str">
            <v>Ashiana Utsav Phase-II</v>
          </cell>
        </row>
        <row r="121">
          <cell r="A121" t="str">
            <v>Ashiana Utsav Phase-III</v>
          </cell>
        </row>
        <row r="122">
          <cell r="A122" t="str">
            <v>Ashiana Mangalam Developers -  Hire Charges</v>
          </cell>
        </row>
        <row r="123">
          <cell r="A123" t="str">
            <v>Ashiana Green Hills Phase IV</v>
          </cell>
        </row>
        <row r="124">
          <cell r="A124" t="str">
            <v>Ashiana Green Hills Phase III</v>
          </cell>
        </row>
        <row r="125">
          <cell r="A125" t="str">
            <v>Ashiana Green Hills Phase II</v>
          </cell>
        </row>
        <row r="126">
          <cell r="A126" t="str">
            <v>Ashiana Green hills Project</v>
          </cell>
        </row>
        <row r="129">
          <cell r="A129" t="str">
            <v>CASH &amp; BANK BALANCES</v>
          </cell>
        </row>
        <row r="130">
          <cell r="A130" t="str">
            <v>A   CASH</v>
          </cell>
        </row>
        <row r="131">
          <cell r="A131" t="str">
            <v>In office</v>
          </cell>
        </row>
        <row r="132">
          <cell r="A132" t="str">
            <v>Ashiana Aangan-II</v>
          </cell>
        </row>
        <row r="133">
          <cell r="A133" t="str">
            <v>Ashiana Utsav</v>
          </cell>
        </row>
        <row r="134">
          <cell r="A134" t="str">
            <v>Aangan Phase-I</v>
          </cell>
        </row>
        <row r="135">
          <cell r="A135" t="str">
            <v>Ashiana Industrial Park (Cash &amp; Bank Balance)</v>
          </cell>
        </row>
        <row r="138">
          <cell r="A138" t="str">
            <v>B.   CHEQUES IN HAND</v>
          </cell>
        </row>
        <row r="140">
          <cell r="A140" t="str">
            <v>C.   BALANCE WITH BANK</v>
          </cell>
        </row>
        <row r="141">
          <cell r="A141" t="str">
            <v xml:space="preserve">    1)  IN CURRENT ACCOUNT</v>
          </cell>
        </row>
        <row r="142">
          <cell r="A142" t="str">
            <v>State Bank of Bikaner &amp; Jaipur</v>
          </cell>
        </row>
        <row r="143">
          <cell r="A143" t="str">
            <v>State Bank of Bikaner &amp; Jaipur (Bhiwadi)</v>
          </cell>
        </row>
        <row r="144">
          <cell r="A144" t="str">
            <v>State Bank of Bikaner &amp; Jaipur (Neemrana)</v>
          </cell>
        </row>
        <row r="145">
          <cell r="A145" t="str">
            <v>State Bank of Bikaner &amp; Jaipur (Amar Colony)</v>
          </cell>
        </row>
        <row r="146">
          <cell r="A146" t="str">
            <v>HDFC Bank Limited -Jamshedpur</v>
          </cell>
        </row>
        <row r="147">
          <cell r="A147" t="str">
            <v>HDFC Bank Limited -Delhi OD</v>
          </cell>
        </row>
        <row r="148">
          <cell r="A148" t="str">
            <v>HDFC Bank Limited</v>
          </cell>
        </row>
        <row r="149">
          <cell r="A149" t="str">
            <v>HDFC Bank Limited -Delhi</v>
          </cell>
        </row>
        <row r="150">
          <cell r="A150" t="str">
            <v>HDFC Bank Limited -Bhiwadi</v>
          </cell>
        </row>
        <row r="151">
          <cell r="A151" t="str">
            <v>HDFC Bank Ltd. A/c Bonus TRF</v>
          </cell>
        </row>
        <row r="152">
          <cell r="A152" t="str">
            <v>IDBI Bank - Dividend Account (03-04)</v>
          </cell>
        </row>
        <row r="153">
          <cell r="A153" t="str">
            <v>IDBI Bank - Dividend Account (04-05)</v>
          </cell>
        </row>
        <row r="154">
          <cell r="A154" t="str">
            <v>HDFC Bank - Dividend Account (05-06)</v>
          </cell>
        </row>
        <row r="155">
          <cell r="A155" t="str">
            <v>HDFC Bank - Dividend Account (06-07)</v>
          </cell>
        </row>
        <row r="156">
          <cell r="A156" t="str">
            <v>HDFC Bank - Dividend Account (07-08)</v>
          </cell>
        </row>
        <row r="157">
          <cell r="A157" t="str">
            <v>BOB A/c 80092, Adityapur</v>
          </cell>
        </row>
        <row r="158">
          <cell r="A158" t="str">
            <v>PNB A/c 302, Adityapur</v>
          </cell>
        </row>
        <row r="159">
          <cell r="A159" t="str">
            <v>OBC, Patna</v>
          </cell>
        </row>
        <row r="161">
          <cell r="A161" t="str">
            <v xml:space="preserve">     2)  IN FIXED DEPOSIT ACCOUNT </v>
          </cell>
        </row>
        <row r="162">
          <cell r="A162" t="str">
            <v>PNB, Adityapur (Pledged Rs. 23,39,996/-)</v>
          </cell>
        </row>
        <row r="163">
          <cell r="A163" t="str">
            <v>Bank of Baroda, Bistupur (Pledged)</v>
          </cell>
        </row>
        <row r="164">
          <cell r="A164" t="str">
            <v>SBBJ, Amar Colony (Pledge)</v>
          </cell>
        </row>
        <row r="165">
          <cell r="A165" t="str">
            <v>HDFC Bank Ltd.(Pledged Rs. 3722919.55)</v>
          </cell>
        </row>
        <row r="166">
          <cell r="A166" t="str">
            <v>HDFC Ltd (2 Crore)</v>
          </cell>
        </row>
        <row r="167">
          <cell r="A167" t="str">
            <v>ICICI Bank Ltd.</v>
          </cell>
        </row>
        <row r="169">
          <cell r="A169" t="str">
            <v>LOANS (Dr)</v>
          </cell>
        </row>
        <row r="170">
          <cell r="A170" t="str">
            <v>To Subsidiary Company - ARVL</v>
          </cell>
        </row>
        <row r="171">
          <cell r="A171" t="str">
            <v>TO STAFF( INTEREST FREE)</v>
          </cell>
        </row>
        <row r="174">
          <cell r="A174" t="str">
            <v>TAXATION ADVANCE &amp; REFUNDABLE</v>
          </cell>
        </row>
        <row r="175">
          <cell r="A175" t="str">
            <v>A. TAX DEDUCTED AT SOURCE (Dr.)</v>
          </cell>
        </row>
        <row r="176">
          <cell r="A176" t="str">
            <v xml:space="preserve">    Asst. Year 1990-91</v>
          </cell>
        </row>
        <row r="177">
          <cell r="A177" t="str">
            <v xml:space="preserve">    Asst. Year 2006-2007 (Short)</v>
          </cell>
        </row>
        <row r="178">
          <cell r="A178" t="str">
            <v xml:space="preserve">    Asst. Year 2007-2008</v>
          </cell>
        </row>
        <row r="179">
          <cell r="A179" t="str">
            <v xml:space="preserve">    Asst. Year 2008-2009</v>
          </cell>
        </row>
        <row r="180">
          <cell r="A180" t="str">
            <v xml:space="preserve">    Asst. Year 2009-2010</v>
          </cell>
        </row>
        <row r="181">
          <cell r="A181" t="str">
            <v xml:space="preserve">    Asst. Year 2010-2011</v>
          </cell>
        </row>
        <row r="183">
          <cell r="A183" t="str">
            <v xml:space="preserve">B   I.T. REFUNDABLE </v>
          </cell>
        </row>
        <row r="184">
          <cell r="A184" t="str">
            <v xml:space="preserve">      Asst. Year 1986-1987 (Woodburn A/c)</v>
          </cell>
        </row>
        <row r="185">
          <cell r="A185" t="str">
            <v xml:space="preserve">      ASST. YEAR 1993-94</v>
          </cell>
        </row>
        <row r="186">
          <cell r="A186" t="str">
            <v xml:space="preserve">      (Refund Adjusted against Demand of AY 1990-91) - under Appeal</v>
          </cell>
        </row>
        <row r="187">
          <cell r="A187" t="str">
            <v xml:space="preserve">      ASST. YEAR Various (Woodburn A/c)</v>
          </cell>
        </row>
        <row r="188">
          <cell r="A188" t="str">
            <v xml:space="preserve">      (Refund Adjusted against Demand of 1997-98) - under Appeal</v>
          </cell>
        </row>
        <row r="189">
          <cell r="A189" t="str">
            <v xml:space="preserve">      ASST. YEAR 1990-91 (Woodburn A/c)</v>
          </cell>
        </row>
        <row r="191">
          <cell r="A191" t="str">
            <v>C. ADVANCE INCOME TAX</v>
          </cell>
        </row>
        <row r="192">
          <cell r="A192" t="str">
            <v xml:space="preserve">    Income Tax - A.Y. 1990-91</v>
          </cell>
        </row>
        <row r="193">
          <cell r="A193" t="str">
            <v xml:space="preserve">    Asst. Year 2007-2008 (AIT)</v>
          </cell>
        </row>
        <row r="194">
          <cell r="A194" t="str">
            <v xml:space="preserve">    Asst. Year 2008-2009 (AIT)</v>
          </cell>
        </row>
        <row r="195">
          <cell r="A195" t="str">
            <v xml:space="preserve">    Asst. Year 2009-2010 (AIT)</v>
          </cell>
        </row>
        <row r="196">
          <cell r="A196" t="str">
            <v xml:space="preserve">    Asst. Year 2010-2011 (AIT)</v>
          </cell>
        </row>
        <row r="199">
          <cell r="A199" t="str">
            <v>C. ADVANCE FRINGE BENEFIT TAX</v>
          </cell>
        </row>
        <row r="200">
          <cell r="A200" t="str">
            <v xml:space="preserve">    Asst. Year 2006-2007 (AFBT)</v>
          </cell>
        </row>
        <row r="201">
          <cell r="A201" t="str">
            <v xml:space="preserve">    Asst. Year 2007-2008 (AFBT)</v>
          </cell>
        </row>
        <row r="202">
          <cell r="A202" t="str">
            <v xml:space="preserve">    Asst. Year 2008-2009 (AFBT)</v>
          </cell>
        </row>
        <row r="203">
          <cell r="A203" t="str">
            <v xml:space="preserve">    Asst. Year 2009-2010 (AFBT)</v>
          </cell>
        </row>
        <row r="204">
          <cell r="A204" t="str">
            <v xml:space="preserve">    Asst. Year 2010-2011 (AFBT)</v>
          </cell>
        </row>
        <row r="207">
          <cell r="A207" t="str">
            <v>D. WEALTH TAX</v>
          </cell>
        </row>
        <row r="208">
          <cell r="A208" t="str">
            <v xml:space="preserve">    Asst. Year 2006-2007 (WT)</v>
          </cell>
        </row>
        <row r="209">
          <cell r="A209" t="str">
            <v xml:space="preserve">    Asst. Year 2007-2008 (WT)</v>
          </cell>
        </row>
        <row r="210">
          <cell r="A210" t="str">
            <v>Asst. Year  2008-2009 (WT)</v>
          </cell>
        </row>
        <row r="211">
          <cell r="A211" t="str">
            <v xml:space="preserve">    Asst. Year 2009-2010 (WT)</v>
          </cell>
        </row>
        <row r="215">
          <cell r="A215" t="str">
            <v>DEPOSITS (DR)</v>
          </cell>
        </row>
        <row r="216">
          <cell r="A216" t="str">
            <v xml:space="preserve"> Telephone B/f</v>
          </cell>
        </row>
        <row r="217">
          <cell r="A217" t="str">
            <v xml:space="preserve"> Ashiana Plaza Owner's Association (Maint - B/f)</v>
          </cell>
        </row>
        <row r="218">
          <cell r="A218" t="str">
            <v xml:space="preserve"> Electricity Deposit -B/f</v>
          </cell>
        </row>
        <row r="219">
          <cell r="A219" t="str">
            <v xml:space="preserve"> JSEB B/f</v>
          </cell>
        </row>
        <row r="220">
          <cell r="A220" t="str">
            <v xml:space="preserve"> JVVNL-Jaipur</v>
          </cell>
        </row>
        <row r="221">
          <cell r="A221" t="str">
            <v xml:space="preserve"> Shalini Gupta</v>
          </cell>
        </row>
        <row r="222">
          <cell r="A222" t="str">
            <v xml:space="preserve"> RSEB (Bhiwadi)                                         </v>
          </cell>
        </row>
        <row r="223">
          <cell r="A223" t="str">
            <v xml:space="preserve"> Rent Deposit (Bhiwadi) </v>
          </cell>
        </row>
        <row r="224">
          <cell r="A224" t="str">
            <v xml:space="preserve"> Rent Deposit (Delhi) </v>
          </cell>
        </row>
        <row r="225">
          <cell r="A225" t="str">
            <v xml:space="preserve"> Rent Deposit (Jamshedpur) </v>
          </cell>
        </row>
        <row r="226">
          <cell r="A226" t="str">
            <v xml:space="preserve"> Rent Deposit (Jaipur) </v>
          </cell>
        </row>
        <row r="227">
          <cell r="A227" t="str">
            <v xml:space="preserve"> RSEB (Neemrana)</v>
          </cell>
        </row>
        <row r="228">
          <cell r="A228" t="str">
            <v xml:space="preserve"> UIT Alwar for Retirement village land completion certificate B/f</v>
          </cell>
        </row>
        <row r="229">
          <cell r="A229" t="str">
            <v xml:space="preserve"> UIT Alwar towards UNDER PROTEST</v>
          </cell>
        </row>
        <row r="230">
          <cell r="A230" t="str">
            <v xml:space="preserve"> RIICO (land) B/f</v>
          </cell>
        </row>
        <row r="231">
          <cell r="A231" t="str">
            <v>Alfa Tech Force Ltd</v>
          </cell>
        </row>
        <row r="232">
          <cell r="A232" t="str">
            <v>ARVL management deposit</v>
          </cell>
        </row>
        <row r="233">
          <cell r="A233" t="str">
            <v>Shaila Header</v>
          </cell>
        </row>
        <row r="234">
          <cell r="A234" t="str">
            <v>Deposit for Staff Qtrs-pune</v>
          </cell>
        </row>
        <row r="235">
          <cell r="A235" t="str">
            <v>Deposits - Others</v>
          </cell>
        </row>
        <row r="236">
          <cell r="A236" t="str">
            <v>VAT under Protest</v>
          </cell>
        </row>
        <row r="237">
          <cell r="A237" t="str">
            <v xml:space="preserve"> Pansheela Club </v>
          </cell>
        </row>
        <row r="240">
          <cell r="A240" t="str">
            <v>ADVANCE AGAINST LAND/BUILDING PURCHASE(LIST3)</v>
          </cell>
        </row>
        <row r="242">
          <cell r="A242" t="str">
            <v>ADVANCES RECOVERABLE IN CASH OR IN KIND</v>
          </cell>
        </row>
        <row r="243">
          <cell r="A243" t="str">
            <v>OR FOR VALUE TO BE RECEIVED.  - Others</v>
          </cell>
        </row>
        <row r="244">
          <cell r="A244" t="str">
            <v xml:space="preserve">Advances (List 3)                                     </v>
          </cell>
        </row>
        <row r="245">
          <cell r="A245" t="str">
            <v xml:space="preserve">Advance against Salary (List 3)                       </v>
          </cell>
        </row>
        <row r="246">
          <cell r="A246" t="str">
            <v xml:space="preserve">Advance against Expenses (List 3)                     </v>
          </cell>
        </row>
        <row r="247">
          <cell r="A247" t="str">
            <v xml:space="preserve">Prepaid Expenses                                      </v>
          </cell>
        </row>
        <row r="248">
          <cell r="A248" t="str">
            <v>Prepaid Insurance</v>
          </cell>
        </row>
        <row r="249">
          <cell r="A249" t="str">
            <v xml:space="preserve">Interest Receivable </v>
          </cell>
        </row>
        <row r="250">
          <cell r="A250" t="str">
            <v>Dilip Singhavi</v>
          </cell>
        </row>
        <row r="251">
          <cell r="A251" t="str">
            <v>Shyam Electricals</v>
          </cell>
        </row>
        <row r="252">
          <cell r="A252" t="str">
            <v>Manoj Tyagi-Pune Office</v>
          </cell>
        </row>
        <row r="253">
          <cell r="A253" t="str">
            <v>Consultancy-Pune Office</v>
          </cell>
        </row>
        <row r="254">
          <cell r="A254" t="str">
            <v>Bank Balance attached by PF Department</v>
          </cell>
        </row>
        <row r="255">
          <cell r="A255" t="str">
            <v>ARVL Management deposit receivable</v>
          </cell>
        </row>
        <row r="256">
          <cell r="A256" t="str">
            <v>Ashiana Village Center/ ARVL</v>
          </cell>
        </row>
        <row r="257">
          <cell r="A257" t="str">
            <v>Advance against Bonus</v>
          </cell>
        </row>
        <row r="258">
          <cell r="A258" t="str">
            <v>Other Advances</v>
          </cell>
        </row>
        <row r="259">
          <cell r="A259" t="str">
            <v xml:space="preserve">AIADA (A/c Adityapur Toll Bridge ) </v>
          </cell>
        </row>
        <row r="262">
          <cell r="A262" t="str">
            <v>Ongoing Projects - Adjustment Account</v>
          </cell>
        </row>
        <row r="263">
          <cell r="A263" t="str">
            <v>Woodland Phase - II (OPAA)</v>
          </cell>
        </row>
        <row r="264">
          <cell r="A264" t="str">
            <v>2006-2007 (OPAA Woodlands - II)</v>
          </cell>
        </row>
        <row r="265">
          <cell r="A265" t="str">
            <v>2007-2008  (OPAA Woodlands - II)</v>
          </cell>
        </row>
        <row r="266">
          <cell r="A266" t="str">
            <v>2008-2009  (OPAA Woodlands - II)</v>
          </cell>
        </row>
        <row r="267">
          <cell r="A267" t="str">
            <v>2008-2009  (OPAA Woodlands - II)</v>
          </cell>
        </row>
        <row r="268">
          <cell r="A268" t="str">
            <v>Till Sep 09  (OPAA Woodlands - II)</v>
          </cell>
        </row>
        <row r="269">
          <cell r="A269" t="str">
            <v>Aangan Phase - I (OPAA)</v>
          </cell>
        </row>
        <row r="270">
          <cell r="A270" t="str">
            <v>2006-2007  (OPAA Aangan - I)</v>
          </cell>
        </row>
        <row r="271">
          <cell r="A271" t="str">
            <v>2007-2008 (OPAA Aangan - I)</v>
          </cell>
        </row>
        <row r="272">
          <cell r="A272" t="str">
            <v>2008-2009 (OPAA Aangan - I)</v>
          </cell>
        </row>
        <row r="273">
          <cell r="A273" t="str">
            <v>Sep 09 (OPAA Aangan - I)</v>
          </cell>
        </row>
        <row r="274">
          <cell r="A274" t="str">
            <v>Aangan Phase - II (OPAA)</v>
          </cell>
        </row>
        <row r="275">
          <cell r="A275" t="str">
            <v>2008-2009 (OPAA Aangan - II)</v>
          </cell>
        </row>
        <row r="276">
          <cell r="A276" t="str">
            <v>Sep 09 (OPAA Aangan - II)</v>
          </cell>
        </row>
        <row r="277">
          <cell r="A277" t="str">
            <v>Aangan Phase - III (OPAA)</v>
          </cell>
        </row>
        <row r="278">
          <cell r="A278" t="str">
            <v>Sep 09 (OPAA Aangan - III)</v>
          </cell>
        </row>
        <row r="282">
          <cell r="A282" t="str">
            <v>SUNDRY CREDITORS (LIST 1)</v>
          </cell>
        </row>
        <row r="284">
          <cell r="A284" t="str">
            <v>DUE TO SUBSIDIARY COMPANY</v>
          </cell>
        </row>
        <row r="285">
          <cell r="A285" t="str">
            <v xml:space="preserve"> ASHIANA RETIREMENT VILLAGES LTD.</v>
          </cell>
        </row>
        <row r="286">
          <cell r="A286" t="str">
            <v>ARVL Management deposit (PAYABLE)</v>
          </cell>
        </row>
        <row r="287">
          <cell r="A287" t="str">
            <v>Vatika Marketing Limited</v>
          </cell>
        </row>
        <row r="288">
          <cell r="A288" t="str">
            <v>ARVL Loan</v>
          </cell>
        </row>
        <row r="289">
          <cell r="A289" t="str">
            <v xml:space="preserve">  Against Security Deposit (AAL)</v>
          </cell>
        </row>
        <row r="291">
          <cell r="A291" t="str">
            <v xml:space="preserve"> VATIKA MARKETING  LTD.</v>
          </cell>
        </row>
        <row r="292">
          <cell r="A292" t="str">
            <v xml:space="preserve">  Against  Maintenance Charges</v>
          </cell>
        </row>
        <row r="293">
          <cell r="A293" t="str">
            <v xml:space="preserve">  Towards  Maintenance Deposit</v>
          </cell>
        </row>
        <row r="296">
          <cell r="A296" t="str">
            <v>ADVANCES FROM CUSTOMERS (LIST 2)</v>
          </cell>
        </row>
        <row r="297">
          <cell r="A297" t="str">
            <v>Projects covered under Section 80IB</v>
          </cell>
        </row>
        <row r="298">
          <cell r="A298" t="str">
            <v xml:space="preserve">Ashiana Residency Green </v>
          </cell>
        </row>
        <row r="299">
          <cell r="A299" t="str">
            <v>Ashiana Residency Shopping</v>
          </cell>
        </row>
        <row r="300">
          <cell r="A300" t="str">
            <v>Ashiana Woodland Project Phase-I</v>
          </cell>
        </row>
        <row r="301">
          <cell r="A301" t="str">
            <v>Ashiana Woodland Project Phase-II</v>
          </cell>
        </row>
        <row r="302">
          <cell r="A302" t="str">
            <v>Ashiana Woodland Shop</v>
          </cell>
        </row>
        <row r="303">
          <cell r="A303" t="str">
            <v>Ashiana Utsav Phase -I</v>
          </cell>
        </row>
        <row r="304">
          <cell r="A304" t="str">
            <v>Ashiana Utsav Phase -II</v>
          </cell>
        </row>
        <row r="305">
          <cell r="A305" t="str">
            <v xml:space="preserve"> Ashiana Utsav Phase - III</v>
          </cell>
        </row>
        <row r="306">
          <cell r="A306" t="str">
            <v>Ashiana Aangan-Phase-I</v>
          </cell>
        </row>
        <row r="307">
          <cell r="A307" t="str">
            <v>Ashiana Aangan-Phase-II</v>
          </cell>
        </row>
        <row r="308">
          <cell r="A308" t="str">
            <v>Ashiana Aangan-Phase-III</v>
          </cell>
        </row>
        <row r="309">
          <cell r="A309" t="str">
            <v xml:space="preserve"> Ashiana Green Hills-III</v>
          </cell>
        </row>
        <row r="310">
          <cell r="A310" t="str">
            <v xml:space="preserve"> Ashiana Green Hills-IV</v>
          </cell>
        </row>
        <row r="311">
          <cell r="A311" t="str">
            <v>Others</v>
          </cell>
        </row>
        <row r="312">
          <cell r="A312" t="str">
            <v xml:space="preserve"> Ashiana Hariniwas B/f</v>
          </cell>
        </row>
        <row r="313">
          <cell r="A313" t="str">
            <v xml:space="preserve"> Adharsheela Apartments - B/f</v>
          </cell>
        </row>
        <row r="314">
          <cell r="A314" t="str">
            <v>Ashiana Suncity - II Parking</v>
          </cell>
        </row>
        <row r="315">
          <cell r="A315" t="str">
            <v xml:space="preserve"> Ashiana Centre - Office</v>
          </cell>
        </row>
        <row r="316">
          <cell r="A316" t="str">
            <v xml:space="preserve"> Ashiana Villa-Others</v>
          </cell>
        </row>
        <row r="317">
          <cell r="A317" t="str">
            <v>Ashiana Gulmohar -Shop</v>
          </cell>
        </row>
        <row r="318">
          <cell r="A318" t="str">
            <v xml:space="preserve"> Ashiana Industrial Park (Advances)</v>
          </cell>
        </row>
        <row r="319">
          <cell r="A319" t="str">
            <v xml:space="preserve"> Ashiana Green Hills - I - Plots</v>
          </cell>
        </row>
        <row r="320">
          <cell r="A320" t="str">
            <v xml:space="preserve">Ashiana Lavasha-Pune </v>
          </cell>
        </row>
        <row r="321">
          <cell r="A321" t="str">
            <v>Others Project - AIP</v>
          </cell>
        </row>
        <row r="324">
          <cell r="A324" t="str">
            <v>SECURITY DEPOSITS (Cr.)</v>
          </cell>
        </row>
        <row r="325">
          <cell r="A325" t="str">
            <v xml:space="preserve"> Telenex  B/F</v>
          </cell>
        </row>
        <row r="326">
          <cell r="A326" t="str">
            <v>MIGRANI ENVIROTECH ENGINEERS P LTD</v>
          </cell>
        </row>
        <row r="327">
          <cell r="A327" t="str">
            <v>SECURITY DEDUCTED TECHNOCRAT ENGINEERS</v>
          </cell>
        </row>
        <row r="328">
          <cell r="A328" t="str">
            <v xml:space="preserve"> Pandey Network B/F</v>
          </cell>
        </row>
        <row r="329">
          <cell r="A329" t="str">
            <v xml:space="preserve"> Plaza Magadh Stock Exchange Association B/F</v>
          </cell>
        </row>
        <row r="330">
          <cell r="A330" t="str">
            <v>Online Services-B/f</v>
          </cell>
        </row>
        <row r="331">
          <cell r="A331" t="str">
            <v>Ace Net Services Pvt. Ltd.</v>
          </cell>
        </row>
        <row r="332">
          <cell r="A332" t="str">
            <v>Geetish Lohia</v>
          </cell>
        </row>
        <row r="333">
          <cell r="A333" t="str">
            <v>Shakuntla Yadav</v>
          </cell>
        </row>
        <row r="334">
          <cell r="A334" t="str">
            <v>Security Deposit JVVNL</v>
          </cell>
        </row>
        <row r="335">
          <cell r="A335" t="str">
            <v>Store Room (Gulmohar Park)-Rental</v>
          </cell>
        </row>
        <row r="336">
          <cell r="A336" t="str">
            <v>MMTC- B/f</v>
          </cell>
        </row>
        <row r="337">
          <cell r="A337" t="str">
            <v>Urmila Kanmatia (Extra Gen. Power) B/f</v>
          </cell>
        </row>
        <row r="338">
          <cell r="A338" t="str">
            <v>Ferntastica Gardens Ltd.</v>
          </cell>
        </row>
        <row r="339">
          <cell r="A339" t="str">
            <v>Nitesh Parmar</v>
          </cell>
        </row>
        <row r="340">
          <cell r="A340" t="str">
            <v>Prakash Traders</v>
          </cell>
        </row>
        <row r="341">
          <cell r="A341" t="str">
            <v>Tpl Gen. Cont. Pvt. Ltd.</v>
          </cell>
        </row>
        <row r="342">
          <cell r="A342" t="str">
            <v>Shyam Telelink Ltd.</v>
          </cell>
        </row>
        <row r="343">
          <cell r="A343" t="str">
            <v>Ashok Sharma-A-141</v>
          </cell>
        </row>
        <row r="344">
          <cell r="A344" t="str">
            <v>Vikash Goel-A-239</v>
          </cell>
        </row>
        <row r="345">
          <cell r="A345" t="str">
            <v>Rajeev Jindal</v>
          </cell>
        </row>
        <row r="346">
          <cell r="A346" t="str">
            <v>Security of Contractors</v>
          </cell>
        </row>
        <row r="347">
          <cell r="A347" t="str">
            <v>Sesoma Foods (P) Ltd.</v>
          </cell>
        </row>
        <row r="348">
          <cell r="A348" t="str">
            <v>FROM CUSTOMERS</v>
          </cell>
        </row>
        <row r="349">
          <cell r="A349" t="str">
            <v>AGAINST LEASE RENT</v>
          </cell>
        </row>
        <row r="350">
          <cell r="A350" t="str">
            <v>Ashiana Green Hills - I</v>
          </cell>
        </row>
        <row r="351">
          <cell r="A351" t="str">
            <v>Ashiana Green Hills - II</v>
          </cell>
        </row>
        <row r="352">
          <cell r="A352" t="str">
            <v>Ashiana Green Hills - III</v>
          </cell>
        </row>
        <row r="353">
          <cell r="A353" t="str">
            <v>Ashiana Green Hills - IV</v>
          </cell>
        </row>
        <row r="354">
          <cell r="A354" t="str">
            <v>Ashiana Green Hills - Shop</v>
          </cell>
        </row>
        <row r="355">
          <cell r="A355" t="str">
            <v xml:space="preserve"> Ashiana Industrial Park (Against Lease Rent)</v>
          </cell>
        </row>
        <row r="356">
          <cell r="A356" t="str">
            <v xml:space="preserve"> Ashiana Rangoli-I</v>
          </cell>
        </row>
        <row r="357">
          <cell r="A357" t="str">
            <v xml:space="preserve"> Ashiana Rangoli-II</v>
          </cell>
        </row>
        <row r="358">
          <cell r="A358" t="str">
            <v>Ashiana Utsav-I</v>
          </cell>
        </row>
        <row r="359">
          <cell r="A359" t="str">
            <v>Ashiana Utsav-II</v>
          </cell>
        </row>
        <row r="360">
          <cell r="A360" t="str">
            <v>Ashiana Utsav-III</v>
          </cell>
        </row>
        <row r="361">
          <cell r="A361" t="str">
            <v xml:space="preserve"> Ashiana Villas</v>
          </cell>
        </row>
        <row r="363">
          <cell r="A363" t="str">
            <v>UNPAID DIVIDEND</v>
          </cell>
        </row>
        <row r="364">
          <cell r="A364" t="str">
            <v>Financial Year 03-04</v>
          </cell>
        </row>
        <row r="365">
          <cell r="A365" t="str">
            <v>Financial Year 04-05</v>
          </cell>
        </row>
        <row r="366">
          <cell r="A366" t="str">
            <v>Financial Year 05-06</v>
          </cell>
        </row>
        <row r="367">
          <cell r="A367" t="str">
            <v>Financial Year 06-07</v>
          </cell>
        </row>
        <row r="368">
          <cell r="A368" t="str">
            <v>Financial Year 07-08</v>
          </cell>
        </row>
        <row r="371">
          <cell r="A371" t="str">
            <v>TEMPRORY OVERDRAFT DUE TO OVERISSUE OF CHEQUES</v>
          </cell>
        </row>
        <row r="372">
          <cell r="A372" t="str">
            <v>State Bank of Bikaner &amp; Jaipur, Neemrana</v>
          </cell>
        </row>
        <row r="374">
          <cell r="A374" t="str">
            <v>OTHER LIABILITIES</v>
          </cell>
        </row>
        <row r="375">
          <cell r="A375" t="str">
            <v>Tax Deduction at source</v>
          </cell>
        </row>
        <row r="376">
          <cell r="A376" t="str">
            <v>Income Tax Payable - Woodburn B/f</v>
          </cell>
        </row>
        <row r="377">
          <cell r="A377" t="str">
            <v>Advance Rent(Cr.)</v>
          </cell>
        </row>
        <row r="378">
          <cell r="A378" t="str">
            <v>RIICO, AIP Land -B/f</v>
          </cell>
        </row>
        <row r="379">
          <cell r="A379" t="str">
            <v>Provision for Future Expenses</v>
          </cell>
        </row>
        <row r="380">
          <cell r="A380" t="str">
            <v>Refundable on cancellation of flats  ( List 5)</v>
          </cell>
        </row>
        <row r="381">
          <cell r="A381" t="str">
            <v>RETENTION MONEY FROM CONTRACTORS</v>
          </cell>
        </row>
        <row r="382">
          <cell r="A382" t="str">
            <v xml:space="preserve"> Ashiana Woodland Project</v>
          </cell>
        </row>
        <row r="383">
          <cell r="A383" t="str">
            <v xml:space="preserve"> Ashiana Aangan-I</v>
          </cell>
        </row>
        <row r="384">
          <cell r="A384" t="str">
            <v xml:space="preserve"> Ashiana Aangan-II</v>
          </cell>
        </row>
        <row r="385">
          <cell r="A385" t="str">
            <v xml:space="preserve"> Ashiana Industrial Park</v>
          </cell>
        </row>
        <row r="386">
          <cell r="A386" t="str">
            <v xml:space="preserve"> Ashiana Aangan-Iil</v>
          </cell>
        </row>
        <row r="387">
          <cell r="A387" t="str">
            <v>Ashiana Gulmohar</v>
          </cell>
        </row>
        <row r="388">
          <cell r="A388" t="str">
            <v xml:space="preserve"> Ashiana Rangoli-I (Contractors)</v>
          </cell>
        </row>
        <row r="389">
          <cell r="A389" t="str">
            <v xml:space="preserve"> Ashiana Rangoli-II (Contractors)</v>
          </cell>
        </row>
        <row r="390">
          <cell r="A390" t="str">
            <v>Ashiana Utsav-I (Contractors)</v>
          </cell>
        </row>
        <row r="391">
          <cell r="A391" t="str">
            <v>Ashiana Utsav-II (Contractors)</v>
          </cell>
        </row>
        <row r="392">
          <cell r="A392" t="str">
            <v>Ashiana Utsav-III (Contractors)</v>
          </cell>
        </row>
        <row r="393">
          <cell r="A393" t="str">
            <v xml:space="preserve"> Ashiana Villas </v>
          </cell>
        </row>
        <row r="394">
          <cell r="A394" t="str">
            <v xml:space="preserve"> Ashiana Greenhill ..</v>
          </cell>
        </row>
        <row r="395">
          <cell r="A395" t="str">
            <v xml:space="preserve"> Ashiana Greenhill</v>
          </cell>
        </row>
        <row r="396">
          <cell r="A396" t="str">
            <v>OUTSTANDING EXPENSES</v>
          </cell>
        </row>
        <row r="397">
          <cell r="A397" t="str">
            <v>Rent payable</v>
          </cell>
        </row>
        <row r="398">
          <cell r="A398" t="str">
            <v>Management Fee payable - Bahari Estate</v>
          </cell>
        </row>
        <row r="399">
          <cell r="A399" t="str">
            <v xml:space="preserve">Outstanding Wages, Incentives &amp; Lab. Charges </v>
          </cell>
        </row>
        <row r="400">
          <cell r="A400" t="str">
            <v>Salary Payable (including Bonus, other allowances/benefit)</v>
          </cell>
        </row>
        <row r="401">
          <cell r="A401" t="str">
            <v>Travelling Expenses</v>
          </cell>
        </row>
        <row r="402">
          <cell r="A402" t="str">
            <v>Business Promotion</v>
          </cell>
        </row>
        <row r="403">
          <cell r="A403" t="str">
            <v>Vechicle Upkeep</v>
          </cell>
        </row>
        <row r="404">
          <cell r="A404" t="str">
            <v>Printing &amp; Stationery o/s</v>
          </cell>
        </row>
        <row r="405">
          <cell r="A405" t="str">
            <v>Jhunjunwala &amp; Co. - B/f</v>
          </cell>
        </row>
        <row r="406">
          <cell r="A406" t="str">
            <v>Scon Pvt. Ltd.</v>
          </cell>
        </row>
        <row r="407">
          <cell r="A407" t="str">
            <v>B. Chhawchharia &amp; Co</v>
          </cell>
        </row>
        <row r="408">
          <cell r="A408" t="str">
            <v>BCCO Advisors Ltd.</v>
          </cell>
        </row>
        <row r="409">
          <cell r="A409" t="str">
            <v>Manjari Enterprises</v>
          </cell>
        </row>
        <row r="410">
          <cell r="A410" t="str">
            <v>Uncashed time barred cheques</v>
          </cell>
        </row>
        <row r="411">
          <cell r="A411" t="str">
            <v>Expenses Payable</v>
          </cell>
        </row>
        <row r="412">
          <cell r="A412" t="str">
            <v xml:space="preserve"> Interest Payable to RIICO B/F</v>
          </cell>
        </row>
        <row r="413">
          <cell r="A413" t="str">
            <v>Parsuram Mallick</v>
          </cell>
        </row>
        <row r="414">
          <cell r="A414" t="str">
            <v>S.K.Palit</v>
          </cell>
        </row>
        <row r="415">
          <cell r="A415" t="str">
            <v>Priyajit Enterprises</v>
          </cell>
        </row>
        <row r="416">
          <cell r="A416" t="str">
            <v>Sudipto Dash</v>
          </cell>
        </row>
        <row r="417">
          <cell r="A417" t="str">
            <v>Manoranjan Dash (Advocate)</v>
          </cell>
        </row>
        <row r="418">
          <cell r="A418" t="str">
            <v>UNPAID  WAGES &amp; INCENTIVES</v>
          </cell>
        </row>
        <row r="419">
          <cell r="A419" t="str">
            <v xml:space="preserve">  Bhiwadi</v>
          </cell>
        </row>
        <row r="420">
          <cell r="A420" t="str">
            <v xml:space="preserve"> Ashiana  Woodland Projects</v>
          </cell>
        </row>
        <row r="421">
          <cell r="A421" t="str">
            <v>ELECTRICITY &amp; WATER CHARGES</v>
          </cell>
        </row>
        <row r="422">
          <cell r="A422" t="str">
            <v xml:space="preserve">  Head Office</v>
          </cell>
        </row>
        <row r="423">
          <cell r="A423" t="str">
            <v xml:space="preserve">  Site Office </v>
          </cell>
        </row>
        <row r="424">
          <cell r="A424" t="str">
            <v>Employee contribution to P.F.</v>
          </cell>
        </row>
        <row r="425">
          <cell r="A425" t="str">
            <v xml:space="preserve"> Directors' Fees</v>
          </cell>
        </row>
        <row r="426">
          <cell r="A426" t="str">
            <v xml:space="preserve"> Telephone, Trunkcall &amp; Fax</v>
          </cell>
        </row>
        <row r="427">
          <cell r="A427" t="str">
            <v xml:space="preserve"> Employer's Contribution to EPF</v>
          </cell>
        </row>
        <row r="428">
          <cell r="A428" t="str">
            <v xml:space="preserve"> Employer's Contribution to EPSF</v>
          </cell>
        </row>
        <row r="429">
          <cell r="A429" t="str">
            <v xml:space="preserve"> Lease Rent  Payable  (AIP) - B/f</v>
          </cell>
        </row>
        <row r="432">
          <cell r="A432" t="str">
            <v>PROVISION FOR TAXATION</v>
          </cell>
        </row>
        <row r="433">
          <cell r="A433" t="str">
            <v>INCOME TAX</v>
          </cell>
        </row>
        <row r="434">
          <cell r="A434" t="str">
            <v>Asst. Year  1990-1991 (IT)</v>
          </cell>
        </row>
        <row r="435">
          <cell r="A435" t="str">
            <v>Asst. Year  2007-2008 (IT)</v>
          </cell>
        </row>
        <row r="436">
          <cell r="A436" t="str">
            <v>Asst. Year  2008-2009 (IT)</v>
          </cell>
        </row>
        <row r="437">
          <cell r="A437" t="str">
            <v>Asst. Year  2009-2010 (IT)</v>
          </cell>
        </row>
        <row r="438">
          <cell r="A438" t="str">
            <v>Asst. Year  2010-2011 (IT)</v>
          </cell>
        </row>
        <row r="440">
          <cell r="A440" t="str">
            <v xml:space="preserve">TAX ON PROPOSED DIVIDEND </v>
          </cell>
        </row>
        <row r="441">
          <cell r="A441" t="str">
            <v>Asst. Year  2008-2009 (TOPD)</v>
          </cell>
        </row>
        <row r="443">
          <cell r="A443" t="str">
            <v>FRINGE BENEFIT TAX</v>
          </cell>
        </row>
        <row r="444">
          <cell r="A444" t="str">
            <v>Asst. Year  2007-2008 (FBT)</v>
          </cell>
        </row>
        <row r="445">
          <cell r="A445" t="str">
            <v>Asst. Year  2008-2009 (FBT)</v>
          </cell>
        </row>
        <row r="446">
          <cell r="A446" t="str">
            <v>Asst. Year  2009-2010 (FBT)</v>
          </cell>
        </row>
        <row r="448">
          <cell r="A448" t="str">
            <v>WEALTH TAX</v>
          </cell>
        </row>
        <row r="449">
          <cell r="A449" t="str">
            <v>Asst. Year  2006-2007 (PFWT)</v>
          </cell>
        </row>
        <row r="450">
          <cell r="A450" t="str">
            <v>Asst. Year  2007-2008 (PFWT)</v>
          </cell>
        </row>
        <row r="451">
          <cell r="A451" t="str">
            <v>Asst. Year  2008-2009 (PFWT)</v>
          </cell>
        </row>
        <row r="452">
          <cell r="A452" t="str">
            <v>Asst. Year  2009-2010 (PFWT)</v>
          </cell>
        </row>
        <row r="454">
          <cell r="A454" t="str">
            <v>TOTAL PROVISIONS</v>
          </cell>
        </row>
        <row r="456">
          <cell r="A456" t="str">
            <v>PROVISION FOR PROPOSED DIVIDEND</v>
          </cell>
        </row>
        <row r="458">
          <cell r="A458" t="str">
            <v>PROVISION FOR GRATUITY</v>
          </cell>
        </row>
        <row r="460">
          <cell r="A460" t="str">
            <v>INTER BRANCH ACCOUNT</v>
          </cell>
        </row>
        <row r="461">
          <cell r="A461" t="str">
            <v xml:space="preserve"> Patna</v>
          </cell>
        </row>
        <row r="462">
          <cell r="A462" t="str">
            <v>Lavasa</v>
          </cell>
        </row>
        <row r="463">
          <cell r="A463" t="str">
            <v>Pune</v>
          </cell>
        </row>
        <row r="464">
          <cell r="A464" t="str">
            <v xml:space="preserve"> Jamshedpur</v>
          </cell>
        </row>
        <row r="465">
          <cell r="A465" t="str">
            <v>Jaipur</v>
          </cell>
        </row>
        <row r="466">
          <cell r="A466" t="str">
            <v>Kolkata</v>
          </cell>
        </row>
        <row r="467">
          <cell r="A467" t="str">
            <v xml:space="preserve"> Delhi</v>
          </cell>
        </row>
        <row r="468">
          <cell r="A468" t="str">
            <v>Aangan</v>
          </cell>
        </row>
        <row r="469">
          <cell r="A469" t="str">
            <v xml:space="preserve"> Kolkatta</v>
          </cell>
        </row>
        <row r="470">
          <cell r="A470" t="str">
            <v>BRAHAMA NANDA</v>
          </cell>
        </row>
        <row r="471">
          <cell r="A471" t="str">
            <v>SONARI</v>
          </cell>
        </row>
        <row r="472">
          <cell r="A472" t="str">
            <v xml:space="preserve"> Bhiwadi</v>
          </cell>
        </row>
        <row r="475">
          <cell r="A475" t="str">
            <v>EXPENSES ONGOING PROJECTS</v>
          </cell>
        </row>
        <row r="476">
          <cell r="A476" t="str">
            <v>Work In Progress</v>
          </cell>
        </row>
        <row r="477">
          <cell r="A477" t="str">
            <v>Woodland Phase - II (WIP)</v>
          </cell>
        </row>
        <row r="478">
          <cell r="A478" t="str">
            <v>Aangan Phase - I (WIP)</v>
          </cell>
        </row>
        <row r="479">
          <cell r="A479" t="str">
            <v>Aangan Phase - II (WIP)</v>
          </cell>
        </row>
        <row r="480">
          <cell r="A480" t="str">
            <v>Aangan Phase - III (WIP)</v>
          </cell>
        </row>
        <row r="482">
          <cell r="A482" t="str">
            <v>Land</v>
          </cell>
        </row>
        <row r="483">
          <cell r="A483" t="str">
            <v>Woodland Phase - II</v>
          </cell>
        </row>
        <row r="484">
          <cell r="A484" t="str">
            <v xml:space="preserve">Aangan Phase - I </v>
          </cell>
        </row>
        <row r="485">
          <cell r="A485" t="str">
            <v xml:space="preserve">Aangan Phase - II </v>
          </cell>
        </row>
        <row r="486">
          <cell r="A486" t="str">
            <v xml:space="preserve">Aangan Phase - III </v>
          </cell>
        </row>
        <row r="490">
          <cell r="A490" t="str">
            <v>DIRECT EXPENSES</v>
          </cell>
        </row>
        <row r="491">
          <cell r="A491" t="str">
            <v>Direct project Expense</v>
          </cell>
        </row>
        <row r="492">
          <cell r="A492" t="str">
            <v>Labour &amp; Wages</v>
          </cell>
        </row>
        <row r="493">
          <cell r="A493" t="str">
            <v>Other Project related Expenses</v>
          </cell>
        </row>
        <row r="497">
          <cell r="A497" t="str">
            <v>PURCHASES</v>
          </cell>
        </row>
        <row r="498">
          <cell r="A498" t="str">
            <v>Land - Jodhpur</v>
          </cell>
        </row>
        <row r="499">
          <cell r="A499" t="str">
            <v>Flat Purchase</v>
          </cell>
        </row>
        <row r="500">
          <cell r="A500" t="str">
            <v>Material Purchased</v>
          </cell>
        </row>
        <row r="504">
          <cell r="A504" t="str">
            <v>EXPENSES ON EMPLOYEES</v>
          </cell>
        </row>
        <row r="505">
          <cell r="A505" t="str">
            <v>SALARY, WAGES, BONUS &amp; ALLOWANCES</v>
          </cell>
        </row>
        <row r="506">
          <cell r="A506" t="str">
            <v xml:space="preserve">      Salary                                                       </v>
          </cell>
        </row>
        <row r="507">
          <cell r="A507" t="str">
            <v xml:space="preserve">      House Rent Allowance                                        </v>
          </cell>
        </row>
        <row r="508">
          <cell r="A508" t="str">
            <v xml:space="preserve">      Leave Travel Allowance                                       </v>
          </cell>
        </row>
        <row r="509">
          <cell r="A509" t="str">
            <v xml:space="preserve">      Bonus &amp; Exgratia                                            </v>
          </cell>
        </row>
        <row r="510">
          <cell r="A510" t="str">
            <v xml:space="preserve">      Leave Encashment                                            </v>
          </cell>
        </row>
        <row r="511">
          <cell r="A511" t="str">
            <v xml:space="preserve">      Child Education Allowance                                    </v>
          </cell>
        </row>
        <row r="512">
          <cell r="A512" t="str">
            <v xml:space="preserve">      Medical Allowance                                           </v>
          </cell>
        </row>
        <row r="513">
          <cell r="A513" t="str">
            <v xml:space="preserve">      Special Allowance                                           </v>
          </cell>
        </row>
        <row r="514">
          <cell r="A514" t="str">
            <v xml:space="preserve">      MD's Remuneration                                            </v>
          </cell>
        </row>
        <row r="515">
          <cell r="A515" t="str">
            <v xml:space="preserve">      Conveyance Allowance                                        </v>
          </cell>
        </row>
        <row r="516">
          <cell r="A516" t="str">
            <v xml:space="preserve">      Transportation Allowance                                        </v>
          </cell>
        </row>
        <row r="517">
          <cell r="A517" t="str">
            <v xml:space="preserve">      Car Allowance                                        </v>
          </cell>
        </row>
        <row r="518">
          <cell r="A518" t="str">
            <v xml:space="preserve">      Incentive                                                   </v>
          </cell>
        </row>
        <row r="519">
          <cell r="A519" t="str">
            <v xml:space="preserve">      Provision of Gratuity (Net)                                                 </v>
          </cell>
        </row>
        <row r="520">
          <cell r="A520" t="str">
            <v xml:space="preserve">      Gratuity paid during the year                                            </v>
          </cell>
        </row>
        <row r="521">
          <cell r="A521" t="str">
            <v xml:space="preserve">      Whole Time Directors' Remuneration</v>
          </cell>
        </row>
        <row r="522">
          <cell r="A522" t="str">
            <v xml:space="preserve">      Miscellaneous Allowance</v>
          </cell>
        </row>
        <row r="523">
          <cell r="A523" t="str">
            <v xml:space="preserve">      Apprentice Salary</v>
          </cell>
        </row>
        <row r="526">
          <cell r="A526" t="str">
            <v xml:space="preserve">  CONTRIBUTION TO PROVIDENT &amp; OTHER FUNDS</v>
          </cell>
        </row>
        <row r="527">
          <cell r="A527" t="str">
            <v xml:space="preserve">      EPF                                          </v>
          </cell>
        </row>
        <row r="528">
          <cell r="A528" t="str">
            <v xml:space="preserve">      Administrative Charges                       </v>
          </cell>
        </row>
        <row r="529">
          <cell r="A529" t="str">
            <v xml:space="preserve">      Link Insurance                               </v>
          </cell>
        </row>
        <row r="530">
          <cell r="A530" t="str">
            <v xml:space="preserve">      Pension Scheme                               </v>
          </cell>
        </row>
        <row r="533">
          <cell r="A533" t="str">
            <v xml:space="preserve">  STAFF WELFARE</v>
          </cell>
        </row>
        <row r="534">
          <cell r="A534" t="str">
            <v xml:space="preserve">      Medical Expenses                                            </v>
          </cell>
        </row>
        <row r="535">
          <cell r="A535" t="str">
            <v xml:space="preserve">      Other Welfare Expenses                                      </v>
          </cell>
        </row>
        <row r="536">
          <cell r="A536" t="str">
            <v xml:space="preserve">       Staff Training Expenses</v>
          </cell>
        </row>
        <row r="537">
          <cell r="A537" t="str">
            <v xml:space="preserve">       Scholorship for staff children</v>
          </cell>
        </row>
        <row r="541">
          <cell r="A541" t="str">
            <v>RENT (DR.)</v>
          </cell>
        </row>
        <row r="542">
          <cell r="A542" t="str">
            <v xml:space="preserve">       Rent                                                         </v>
          </cell>
        </row>
        <row r="543">
          <cell r="A543" t="str">
            <v xml:space="preserve">       Lease Rent                                                   </v>
          </cell>
        </row>
        <row r="546">
          <cell r="A546" t="str">
            <v>RATES &amp; TAXES</v>
          </cell>
        </row>
        <row r="547">
          <cell r="A547" t="str">
            <v xml:space="preserve">Trade License Fee                                      </v>
          </cell>
        </row>
        <row r="548">
          <cell r="A548" t="str">
            <v xml:space="preserve">Profession Tax                                         </v>
          </cell>
        </row>
        <row r="549">
          <cell r="A549" t="str">
            <v>Municipal Tax - W-177</v>
          </cell>
        </row>
        <row r="550">
          <cell r="A550" t="str">
            <v xml:space="preserve">Municipal Tax                                          </v>
          </cell>
        </row>
        <row r="551">
          <cell r="A551" t="str">
            <v>Securities Transaction Tax</v>
          </cell>
        </row>
        <row r="552">
          <cell r="A552" t="str">
            <v>Land rent JNAC</v>
          </cell>
        </row>
        <row r="553">
          <cell r="A553" t="str">
            <v>Other Rates &amp; Taxes</v>
          </cell>
        </row>
        <row r="556">
          <cell r="A556" t="str">
            <v>INSURANCE PREMIUM</v>
          </cell>
        </row>
        <row r="558">
          <cell r="A558" t="str">
            <v>TRAVELING &amp; CONVEYANCE</v>
          </cell>
        </row>
        <row r="559">
          <cell r="A559" t="str">
            <v xml:space="preserve">       Traveling (Including Foreign Travelling)                  </v>
          </cell>
        </row>
        <row r="560">
          <cell r="A560" t="str">
            <v xml:space="preserve">       Conveyance                                    </v>
          </cell>
        </row>
        <row r="564">
          <cell r="A564" t="str">
            <v>LEGAL AND PROFESSIONAL EXPENSES</v>
          </cell>
        </row>
        <row r="566">
          <cell r="A566" t="str">
            <v>ADVERTISING &amp; BUSINESS PROMOTION</v>
          </cell>
        </row>
        <row r="567">
          <cell r="A567" t="str">
            <v xml:space="preserve">    Advertisement</v>
          </cell>
        </row>
        <row r="568">
          <cell r="A568" t="str">
            <v>Property Fare Expenses</v>
          </cell>
        </row>
        <row r="569">
          <cell r="A569" t="str">
            <v xml:space="preserve">    Business Promotion</v>
          </cell>
        </row>
        <row r="572">
          <cell r="A572" t="str">
            <v>COMMISSION &amp; BROKERAGE</v>
          </cell>
        </row>
        <row r="574">
          <cell r="A574" t="str">
            <v>REPAIRS &amp; MAINTENANCE</v>
          </cell>
        </row>
        <row r="575">
          <cell r="A575" t="str">
            <v xml:space="preserve">       Machinery                                     </v>
          </cell>
        </row>
        <row r="576">
          <cell r="A576" t="str">
            <v xml:space="preserve">       Building                                      </v>
          </cell>
        </row>
        <row r="577">
          <cell r="A577" t="str">
            <v xml:space="preserve">       Others                                        </v>
          </cell>
        </row>
        <row r="580">
          <cell r="A580" t="str">
            <v>TELEPHONE, TELEX &amp; FAX</v>
          </cell>
        </row>
        <row r="582">
          <cell r="A582" t="str">
            <v>PRINTING &amp; STATIONERY</v>
          </cell>
        </row>
        <row r="584">
          <cell r="A584" t="str">
            <v>DIRECTORS' FEES</v>
          </cell>
        </row>
        <row r="586">
          <cell r="A586" t="str">
            <v>AUDITORS' REMUNERATION</v>
          </cell>
        </row>
        <row r="587">
          <cell r="A587" t="str">
            <v xml:space="preserve">       Statutory Audit                                   </v>
          </cell>
        </row>
        <row r="588">
          <cell r="A588" t="str">
            <v xml:space="preserve">       Tax Audit                                         </v>
          </cell>
        </row>
        <row r="589">
          <cell r="A589" t="str">
            <v xml:space="preserve">       Internal Audit</v>
          </cell>
        </row>
        <row r="590">
          <cell r="A590" t="str">
            <v xml:space="preserve">       Other Services</v>
          </cell>
        </row>
        <row r="593">
          <cell r="A593" t="str">
            <v>DEPRECIATION</v>
          </cell>
        </row>
        <row r="595">
          <cell r="A595" t="str">
            <v>MANAGEMENT SERVICE CHARGES</v>
          </cell>
        </row>
        <row r="597">
          <cell r="A597" t="str">
            <v>FIXED ASSETS WRITTEN OFF</v>
          </cell>
        </row>
        <row r="599">
          <cell r="A599" t="str">
            <v>MISCELLANEOUS EXPENSES</v>
          </cell>
        </row>
        <row r="600">
          <cell r="A600" t="str">
            <v xml:space="preserve">General Expenses                                     </v>
          </cell>
        </row>
        <row r="601">
          <cell r="A601" t="str">
            <v>Expenses of anand Lok Home</v>
          </cell>
        </row>
        <row r="602">
          <cell r="A602" t="str">
            <v>Expenses of anand Lok office</v>
          </cell>
        </row>
        <row r="603">
          <cell r="A603" t="str">
            <v>Conference &amp; Meeting Exp</v>
          </cell>
        </row>
        <row r="604">
          <cell r="A604" t="str">
            <v xml:space="preserve">Stamp Paper </v>
          </cell>
        </row>
        <row r="605">
          <cell r="A605" t="str">
            <v>Loan Forclosure Charges</v>
          </cell>
        </row>
        <row r="606">
          <cell r="A606" t="str">
            <v xml:space="preserve">Bank Charges                                         </v>
          </cell>
        </row>
        <row r="607">
          <cell r="A607" t="str">
            <v xml:space="preserve">Charity &amp; Donation                                   </v>
          </cell>
        </row>
        <row r="608">
          <cell r="A608" t="str">
            <v>Vehicle Upkeep</v>
          </cell>
        </row>
        <row r="609">
          <cell r="A609" t="str">
            <v xml:space="preserve">Membership Fees &amp; Subscription                       </v>
          </cell>
        </row>
        <row r="610">
          <cell r="A610" t="str">
            <v>Seminar Organitation Exp.</v>
          </cell>
        </row>
        <row r="611">
          <cell r="A611" t="str">
            <v xml:space="preserve">Postage &amp; Courier Charges                            </v>
          </cell>
        </row>
        <row r="612">
          <cell r="A612" t="str">
            <v xml:space="preserve">Books &amp; Periodicals                                  </v>
          </cell>
        </row>
        <row r="613">
          <cell r="A613" t="str">
            <v>Computer Expenses</v>
          </cell>
        </row>
        <row r="614">
          <cell r="A614" t="str">
            <v xml:space="preserve">Electric &amp;  Water Charges                                     </v>
          </cell>
        </row>
        <row r="615">
          <cell r="A615" t="str">
            <v xml:space="preserve">Transportation (Misc.)                               </v>
          </cell>
        </row>
        <row r="616">
          <cell r="A616" t="str">
            <v>Vishwakarma Puja Expenses</v>
          </cell>
        </row>
        <row r="617">
          <cell r="A617" t="str">
            <v xml:space="preserve">Shareholders Meeting Expenses                        </v>
          </cell>
        </row>
        <row r="618">
          <cell r="A618" t="str">
            <v xml:space="preserve">Establishment Charges                                </v>
          </cell>
        </row>
        <row r="619">
          <cell r="A619" t="str">
            <v xml:space="preserve">Office Maintenance                                   </v>
          </cell>
        </row>
        <row r="620">
          <cell r="A620" t="str">
            <v xml:space="preserve">Filing Fee                                           </v>
          </cell>
        </row>
        <row r="621">
          <cell r="A621" t="str">
            <v>Security Charges</v>
          </cell>
        </row>
        <row r="622">
          <cell r="A622" t="str">
            <v>Festival Expenses</v>
          </cell>
        </row>
        <row r="623">
          <cell r="A623" t="str">
            <v>Demat Converting charges</v>
          </cell>
        </row>
        <row r="624">
          <cell r="A624" t="str">
            <v>Compensation</v>
          </cell>
        </row>
        <row r="625">
          <cell r="A625" t="str">
            <v>Projector Hire charges</v>
          </cell>
        </row>
        <row r="626">
          <cell r="A626" t="str">
            <v>Sponsorship</v>
          </cell>
        </row>
        <row r="627">
          <cell r="A627" t="str">
            <v>Auditor Exp.</v>
          </cell>
        </row>
        <row r="628">
          <cell r="A628" t="str">
            <v>Recruitment Exp.</v>
          </cell>
        </row>
        <row r="631">
          <cell r="A631" t="str">
            <v>IRRECOVERABLE BALANCES WRITTEN OFF</v>
          </cell>
        </row>
        <row r="634">
          <cell r="A634" t="str">
            <v>Differential Depreciation Relating to Building</v>
          </cell>
        </row>
        <row r="636">
          <cell r="A636" t="str">
            <v>SHARE OF PROFIT OF PARTNERSHIP BUSINESS</v>
          </cell>
        </row>
        <row r="638">
          <cell r="A638" t="str">
            <v>SALES</v>
          </cell>
        </row>
        <row r="639">
          <cell r="A639" t="str">
            <v>Eligible Projects U/s 80IB of the Income Tax Act, 1961</v>
          </cell>
        </row>
        <row r="640">
          <cell r="A640" t="str">
            <v xml:space="preserve">       Ashiana Residency Green</v>
          </cell>
        </row>
        <row r="641">
          <cell r="A641" t="str">
            <v xml:space="preserve">       Ashiana Utsav Phase-I</v>
          </cell>
        </row>
        <row r="642">
          <cell r="A642" t="str">
            <v xml:space="preserve">       Ashiana Utsav Phase-II</v>
          </cell>
        </row>
        <row r="643">
          <cell r="A643" t="str">
            <v xml:space="preserve">       Ashiana Utsav Phase-III</v>
          </cell>
        </row>
        <row r="644">
          <cell r="A644" t="str">
            <v xml:space="preserve">       Ashiana Green Hills Phase-II</v>
          </cell>
        </row>
        <row r="645">
          <cell r="A645" t="str">
            <v xml:space="preserve">       Ashiana Green Hills Phase-III</v>
          </cell>
        </row>
        <row r="646">
          <cell r="A646" t="str">
            <v xml:space="preserve">       Ashiana Green Hills Phase-IV</v>
          </cell>
        </row>
        <row r="647">
          <cell r="A647" t="str">
            <v xml:space="preserve">       Ashiana Woodland Phase - I</v>
          </cell>
        </row>
        <row r="648">
          <cell r="A648" t="str">
            <v xml:space="preserve">       Ashiana Woodland Phase - II</v>
          </cell>
        </row>
        <row r="649">
          <cell r="A649" t="str">
            <v xml:space="preserve">       Ashiana Green Hills Shops</v>
          </cell>
        </row>
        <row r="652">
          <cell r="A652" t="str">
            <v>Other Projects</v>
          </cell>
        </row>
        <row r="653">
          <cell r="A653" t="str">
            <v xml:space="preserve">       Ashiana Centre Project                               </v>
          </cell>
        </row>
        <row r="654">
          <cell r="A654" t="str">
            <v xml:space="preserve">       Ashiana Villa</v>
          </cell>
        </row>
        <row r="655">
          <cell r="A655" t="str">
            <v xml:space="preserve">      Ashiana Greens</v>
          </cell>
        </row>
        <row r="656">
          <cell r="A656" t="str">
            <v xml:space="preserve">       Ashiana Rangoli Phase -I  </v>
          </cell>
        </row>
        <row r="657">
          <cell r="A657" t="str">
            <v xml:space="preserve">       Ashiana Rangoli Phase -II</v>
          </cell>
        </row>
        <row r="658">
          <cell r="A658" t="str">
            <v xml:space="preserve">       Ashiana Industrial Park</v>
          </cell>
        </row>
        <row r="659">
          <cell r="A659" t="str">
            <v xml:space="preserve">       Ashiana Gulmohar III - Store Room</v>
          </cell>
        </row>
        <row r="660">
          <cell r="A660" t="str">
            <v xml:space="preserve">       Ashiana Bagheecha</v>
          </cell>
        </row>
        <row r="661">
          <cell r="A661" t="str">
            <v xml:space="preserve">       Ashiana Suncity-II</v>
          </cell>
        </row>
        <row r="662">
          <cell r="A662" t="str">
            <v xml:space="preserve">       Suncity Land</v>
          </cell>
        </row>
        <row r="663">
          <cell r="A663" t="str">
            <v xml:space="preserve">      Common Area- Utsav</v>
          </cell>
        </row>
        <row r="664">
          <cell r="A664" t="str">
            <v xml:space="preserve">       Land-AIP transferred to Investment</v>
          </cell>
        </row>
        <row r="665">
          <cell r="A665" t="str">
            <v xml:space="preserve">       Ashiana Utsav Phase-(Purchase)</v>
          </cell>
        </row>
        <row r="668">
          <cell r="A668" t="str">
            <v>Ongoing Projects</v>
          </cell>
        </row>
        <row r="669">
          <cell r="A669" t="str">
            <v>Woodland Phase - II (Sales From Ongoing Projects)</v>
          </cell>
        </row>
        <row r="670">
          <cell r="A670" t="str">
            <v>Aangan Phase - I (Sales From Ongoing Projects)</v>
          </cell>
        </row>
        <row r="671">
          <cell r="A671" t="str">
            <v>Aangan Phase - II (Sales From Ongoing Projects)</v>
          </cell>
        </row>
        <row r="674">
          <cell r="A674" t="str">
            <v>INTEREST (CR.)</v>
          </cell>
        </row>
        <row r="675">
          <cell r="A675" t="str">
            <v xml:space="preserve">       On Fixed Deposits - from Banks</v>
          </cell>
        </row>
        <row r="676">
          <cell r="A676" t="str">
            <v xml:space="preserve">       - Ashiana Amar Developers</v>
          </cell>
        </row>
        <row r="677">
          <cell r="A677" t="str">
            <v xml:space="preserve">       On Income Tax Refund</v>
          </cell>
        </row>
        <row r="678">
          <cell r="A678" t="str">
            <v xml:space="preserve">       From Customers                                         </v>
          </cell>
        </row>
        <row r="680">
          <cell r="A680" t="str">
            <v>LESS:  INTEREST (DR.)</v>
          </cell>
        </row>
        <row r="681">
          <cell r="A681" t="str">
            <v>OTHERS</v>
          </cell>
        </row>
        <row r="682">
          <cell r="A682" t="str">
            <v xml:space="preserve">      On Late Deposits of TDS                                  </v>
          </cell>
        </row>
        <row r="683">
          <cell r="A683" t="str">
            <v xml:space="preserve">      On Late Deposits of Dividend Tax</v>
          </cell>
        </row>
        <row r="684">
          <cell r="A684" t="str">
            <v xml:space="preserve">      ICICI Car Loan</v>
          </cell>
        </row>
        <row r="685">
          <cell r="A685" t="str">
            <v xml:space="preserve">      ABN Amro Bank Car Loan</v>
          </cell>
        </row>
        <row r="686">
          <cell r="A686" t="str">
            <v xml:space="preserve">      SBBJ Amar Colony                                         </v>
          </cell>
        </row>
        <row r="687">
          <cell r="A687" t="str">
            <v xml:space="preserve">      HDFC BANK LTD.                       </v>
          </cell>
        </row>
        <row r="688">
          <cell r="A688" t="str">
            <v xml:space="preserve">      On Others</v>
          </cell>
        </row>
        <row r="691">
          <cell r="A691" t="str">
            <v>INTEREST INCOME (NET)</v>
          </cell>
        </row>
        <row r="693">
          <cell r="A693" t="str">
            <v>RENT (CR.)</v>
          </cell>
        </row>
        <row r="694">
          <cell r="A694" t="str">
            <v xml:space="preserve">       Magadh Stock Exchange Association                    </v>
          </cell>
        </row>
        <row r="695">
          <cell r="A695" t="str">
            <v xml:space="preserve">       From AIP  Project</v>
          </cell>
        </row>
        <row r="696">
          <cell r="A696" t="str">
            <v xml:space="preserve">       From Ashiana Bageecha Project</v>
          </cell>
        </row>
        <row r="697">
          <cell r="A697" t="str">
            <v xml:space="preserve">       From Ashiana Garden Project</v>
          </cell>
        </row>
        <row r="698">
          <cell r="A698" t="str">
            <v xml:space="preserve">       From W-177, G.K.-II, New Delhi</v>
          </cell>
        </row>
        <row r="699">
          <cell r="A699" t="str">
            <v xml:space="preserve">       Motor Car Hire Charges</v>
          </cell>
        </row>
        <row r="700">
          <cell r="A700" t="str">
            <v xml:space="preserve">       Furniture Hire Charges</v>
          </cell>
        </row>
        <row r="701">
          <cell r="A701" t="str">
            <v xml:space="preserve">       From Ashiana Retirement on Gymkhana Land </v>
          </cell>
        </row>
        <row r="702">
          <cell r="A702" t="str">
            <v xml:space="preserve">      Shyam Tele Link</v>
          </cell>
        </row>
        <row r="703">
          <cell r="A703" t="str">
            <v>MMTC</v>
          </cell>
        </row>
        <row r="704">
          <cell r="A704" t="str">
            <v>BTPL</v>
          </cell>
        </row>
        <row r="705">
          <cell r="A705" t="str">
            <v>Alok Kumar</v>
          </cell>
        </row>
        <row r="706">
          <cell r="A706" t="str">
            <v>SBI-ATM</v>
          </cell>
        </row>
        <row r="707">
          <cell r="A707" t="str">
            <v/>
          </cell>
        </row>
        <row r="709">
          <cell r="A709" t="str">
            <v>PROFIT ON SALE OF INVESTMENTS (Cr.)</v>
          </cell>
        </row>
        <row r="710">
          <cell r="A710" t="str">
            <v>Mutual Funds etc.</v>
          </cell>
        </row>
        <row r="711">
          <cell r="A711" t="str">
            <v>Roof rights</v>
          </cell>
        </row>
        <row r="714">
          <cell r="A714" t="str">
            <v>PROFIT ON SALE OF FIXED ASSETS (NET) (Cr.)</v>
          </cell>
        </row>
        <row r="716">
          <cell r="A716" t="str">
            <v>INCOME FROM REVENUE SHARING ARRANGEMENTS</v>
          </cell>
        </row>
        <row r="717">
          <cell r="A717" t="str">
            <v>Revenue Sharing C.Q.</v>
          </cell>
        </row>
        <row r="718">
          <cell r="A718" t="str">
            <v>Revenue Sharing Gymkhana</v>
          </cell>
        </row>
        <row r="721">
          <cell r="A721" t="str">
            <v>MISC. INCOME</v>
          </cell>
        </row>
        <row r="722">
          <cell r="A722" t="str">
            <v xml:space="preserve">Misc. Receipts                                        </v>
          </cell>
        </row>
        <row r="723">
          <cell r="A723" t="str">
            <v>Management Fees</v>
          </cell>
        </row>
        <row r="724">
          <cell r="A724" t="str">
            <v>Holding Charges</v>
          </cell>
        </row>
        <row r="725">
          <cell r="A725" t="str">
            <v>Registration Charges</v>
          </cell>
        </row>
        <row r="726">
          <cell r="A726" t="str">
            <v xml:space="preserve">Transfer Charges (Flats etc.)                         </v>
          </cell>
        </row>
        <row r="727">
          <cell r="A727" t="str">
            <v>Cancellation Charges</v>
          </cell>
        </row>
        <row r="728">
          <cell r="A728" t="str">
            <v>Documentation Charges</v>
          </cell>
        </row>
        <row r="731">
          <cell r="A731" t="str">
            <v>DIVIDEND (CR.)</v>
          </cell>
        </row>
        <row r="733">
          <cell r="A733" t="str">
            <v>ITEM RELATING TO PREVIOUS YEAR (NET)(DR.)</v>
          </cell>
        </row>
        <row r="735">
          <cell r="A735" t="str">
            <v>INCOME TAX ADJUSTMENT (Cr.)</v>
          </cell>
        </row>
        <row r="736">
          <cell r="A736" t="str">
            <v>IT Adjustment - AY 2006-07</v>
          </cell>
        </row>
        <row r="737">
          <cell r="A737" t="str">
            <v>FBT Adjustment AY 2006-07</v>
          </cell>
        </row>
        <row r="739">
          <cell r="A739" t="str">
            <v>DERERRED TAX</v>
          </cell>
        </row>
        <row r="741">
          <cell r="A741" t="str">
            <v>FRINGE BENEFIT TAX</v>
          </cell>
        </row>
        <row r="743">
          <cell r="A743" t="str">
            <v>PROVISION FOR INCOME TAX/ WEALTH TAX</v>
          </cell>
        </row>
        <row r="745">
          <cell r="A745" t="str">
            <v>DIVIDEND EXPENSES(including Tax)</v>
          </cell>
        </row>
        <row r="747">
          <cell r="A747" t="str">
            <v>LIABILITIES WRITTEN BACK</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sheetName val="P&amp;L"/>
      <sheetName val="Schedules"/>
      <sheetName val="pro"/>
      <sheetName val="Cashflow"/>
      <sheetName val="Notes"/>
      <sheetName val="Grouping"/>
      <sheetName val="AS9"/>
      <sheetName val="80IB"/>
      <sheetName val="Dev allo"/>
      <sheetName val="LIST"/>
      <sheetName val="GP chart"/>
      <sheetName val="COMP-IT "/>
      <sheetName val="Def Tax"/>
      <sheetName val="AS 9 consideration"/>
      <sheetName val="JSPR BRANCH"/>
      <sheetName val="BRAMAHANANDA"/>
      <sheetName val="SONARI"/>
      <sheetName val="BWB BRANCH"/>
      <sheetName val="PUNE BRANCH"/>
      <sheetName val="AANGAN"/>
      <sheetName val="LAVASA"/>
      <sheetName val="DELHI"/>
      <sheetName val="PATNA"/>
      <sheetName val="JAIPUR"/>
      <sheetName val="GREEN HILL"/>
      <sheetName val="WIP CHART AWP "/>
      <sheetName val="ATC STOCK"/>
      <sheetName val="Sheet1"/>
    </sheetNames>
    <sheetDataSet>
      <sheetData sheetId="0"/>
      <sheetData sheetId="1"/>
      <sheetData sheetId="2"/>
      <sheetData sheetId="3"/>
      <sheetData sheetId="4"/>
      <sheetData sheetId="5"/>
      <sheetData sheetId="6">
        <row r="13">
          <cell r="B13" t="str">
            <v>SHARE CAPITAL</v>
          </cell>
        </row>
        <row r="18">
          <cell r="B18" t="str">
            <v>Capital Reserve</v>
          </cell>
        </row>
        <row r="20">
          <cell r="B20" t="str">
            <v>General Reserve:</v>
          </cell>
        </row>
        <row r="21">
          <cell r="B21" t="str">
            <v>As per last Balance Sheet</v>
          </cell>
        </row>
        <row r="22">
          <cell r="B22" t="str">
            <v xml:space="preserve">Add : On adoption of statement for employees benefits (AS-15) </v>
          </cell>
        </row>
        <row r="23">
          <cell r="B23" t="str">
            <v>Add : Transfer from Profit &amp; Loss A/c</v>
          </cell>
        </row>
        <row r="24">
          <cell r="B24" t="str">
            <v>Less: Utilised for issue of fully paid up Bonus shares</v>
          </cell>
        </row>
        <row r="27">
          <cell r="B27" t="str">
            <v>Profit &amp; Loss Account</v>
          </cell>
        </row>
        <row r="34">
          <cell r="B34" t="str">
            <v>Project Loan</v>
          </cell>
        </row>
        <row r="35">
          <cell r="B35" t="str">
            <v>Project loan with Banks</v>
          </cell>
        </row>
        <row r="36">
          <cell r="B36" t="str">
            <v>Project loan with others</v>
          </cell>
        </row>
        <row r="39">
          <cell r="B39" t="str">
            <v>Working Capital Loan</v>
          </cell>
        </row>
        <row r="40">
          <cell r="B40" t="str">
            <v>WC laon with Banks</v>
          </cell>
        </row>
        <row r="41">
          <cell r="B41" t="str">
            <v>WC loan with others</v>
          </cell>
        </row>
        <row r="44">
          <cell r="B44" t="str">
            <v>Vehicle Loan</v>
          </cell>
        </row>
        <row r="45">
          <cell r="B45" t="str">
            <v>Vehicle loan with Banks</v>
          </cell>
        </row>
        <row r="46">
          <cell r="B46" t="str">
            <v>Vehicle loan with others</v>
          </cell>
        </row>
        <row r="52">
          <cell r="B52" t="str">
            <v>Opening B/f</v>
          </cell>
        </row>
        <row r="53">
          <cell r="B53" t="str">
            <v>Provided for the year</v>
          </cell>
        </row>
        <row r="57">
          <cell r="B57" t="str">
            <v>A) CURRENT LIABILITIES</v>
          </cell>
        </row>
        <row r="59">
          <cell r="B59" t="str">
            <v>SUNDRY CREDITORS</v>
          </cell>
        </row>
        <row r="62">
          <cell r="B62" t="str">
            <v>ADVANCE FROM CUSTOMERS</v>
          </cell>
        </row>
        <row r="63">
          <cell r="B63" t="str">
            <v>Customer Advances</v>
          </cell>
        </row>
        <row r="64">
          <cell r="B64" t="str">
            <v>EMI Discount</v>
          </cell>
        </row>
        <row r="68">
          <cell r="B68" t="str">
            <v>SECURITY DEPOSITS</v>
          </cell>
        </row>
        <row r="70">
          <cell r="B70" t="str">
            <v>Security Deposit Received from vendors</v>
          </cell>
        </row>
        <row r="73">
          <cell r="B73" t="str">
            <v>Lease Rent Deposit</v>
          </cell>
        </row>
        <row r="76">
          <cell r="B76" t="str">
            <v>Retention Money from Contractors</v>
          </cell>
        </row>
        <row r="80">
          <cell r="B80" t="str">
            <v>DUE TO SUBSIDIARY COMPANY</v>
          </cell>
        </row>
        <row r="81">
          <cell r="B81" t="str">
            <v>Ashiana Retirement Villages Ltd</v>
          </cell>
        </row>
        <row r="82">
          <cell r="B82" t="str">
            <v>Topwell Projects Consultants P. Ltd.</v>
          </cell>
        </row>
        <row r="83">
          <cell r="B83" t="str">
            <v>Latest Developers Advisory Ltd- subs</v>
          </cell>
        </row>
        <row r="84">
          <cell r="B84" t="str">
            <v>Vatika Marketing Ltd</v>
          </cell>
        </row>
        <row r="87">
          <cell r="B87" t="str">
            <v>UNCLAIMED DIVIDEND</v>
          </cell>
        </row>
        <row r="91">
          <cell r="B91" t="str">
            <v>OTHER LIABILITIES</v>
          </cell>
        </row>
        <row r="93">
          <cell r="B93" t="str">
            <v>Outstanding Expenses</v>
          </cell>
        </row>
        <row r="94">
          <cell r="B94" t="str">
            <v>Other Expenses Payable</v>
          </cell>
        </row>
        <row r="95">
          <cell r="B95" t="str">
            <v>Director Sitting Fees</v>
          </cell>
        </row>
        <row r="96">
          <cell r="B96" t="str">
            <v xml:space="preserve">PF Payable </v>
          </cell>
        </row>
        <row r="97">
          <cell r="B97" t="str">
            <v>Wages Payable</v>
          </cell>
        </row>
        <row r="98">
          <cell r="B98" t="str">
            <v>Vat Payable</v>
          </cell>
        </row>
        <row r="99">
          <cell r="B99" t="str">
            <v>Incentive Payable</v>
          </cell>
        </row>
        <row r="100">
          <cell r="B100" t="str">
            <v>Advertisement Expenses Payable</v>
          </cell>
        </row>
        <row r="101">
          <cell r="B101" t="str">
            <v>Telephone Expenses Payable</v>
          </cell>
        </row>
        <row r="102">
          <cell r="B102" t="str">
            <v>Rent Payabale</v>
          </cell>
        </row>
        <row r="103">
          <cell r="B103" t="str">
            <v>Electricity Payable</v>
          </cell>
        </row>
        <row r="104">
          <cell r="B104" t="str">
            <v>Audit Fees Payable</v>
          </cell>
        </row>
        <row r="105">
          <cell r="B105" t="str">
            <v>Salary Payable - Others</v>
          </cell>
        </row>
        <row r="106">
          <cell r="B106" t="str">
            <v>Bonus Payable</v>
          </cell>
        </row>
        <row r="107">
          <cell r="B107" t="str">
            <v>LTA Payable</v>
          </cell>
        </row>
        <row r="108">
          <cell r="B108" t="str">
            <v>Medical Reimbursement Payable</v>
          </cell>
        </row>
        <row r="111">
          <cell r="B111" t="str">
            <v>Refundabale Against Cancellation</v>
          </cell>
        </row>
        <row r="114">
          <cell r="B114" t="str">
            <v>Unclaimed Wages &amp; Incentives</v>
          </cell>
        </row>
        <row r="116">
          <cell r="B116" t="str">
            <v>Temporary Overdraft</v>
          </cell>
        </row>
        <row r="117">
          <cell r="B117" t="str">
            <v>OD With Banks</v>
          </cell>
        </row>
        <row r="118">
          <cell r="B118" t="str">
            <v>OD With others</v>
          </cell>
        </row>
        <row r="121">
          <cell r="B121" t="str">
            <v>Service Tax payable</v>
          </cell>
        </row>
        <row r="122">
          <cell r="B122" t="str">
            <v>Other Liabilities</v>
          </cell>
        </row>
        <row r="125">
          <cell r="B125" t="str">
            <v>TDS Payable</v>
          </cell>
        </row>
        <row r="132">
          <cell r="B132" t="str">
            <v xml:space="preserve">B) PROVISIONS </v>
          </cell>
        </row>
        <row r="134">
          <cell r="B134" t="str">
            <v>FOR TAXATION</v>
          </cell>
        </row>
        <row r="135">
          <cell r="B135" t="str">
            <v>Provision for Income Tax</v>
          </cell>
        </row>
        <row r="136">
          <cell r="B136" t="str">
            <v>Asst. Year  1990-1991</v>
          </cell>
        </row>
        <row r="137">
          <cell r="B137" t="str">
            <v>Asst. Year  2007-2008</v>
          </cell>
        </row>
        <row r="138">
          <cell r="B138" t="str">
            <v>Asst. Year  2008-2009</v>
          </cell>
        </row>
        <row r="139">
          <cell r="B139" t="str">
            <v>Asst. Year  2009-2010</v>
          </cell>
        </row>
        <row r="140">
          <cell r="B140" t="str">
            <v>Asst. Year  2010-2011</v>
          </cell>
        </row>
        <row r="141">
          <cell r="B141" t="str">
            <v>Asst. Year  2011-2012</v>
          </cell>
        </row>
        <row r="143">
          <cell r="B143" t="str">
            <v>Provision for FBT</v>
          </cell>
        </row>
        <row r="144">
          <cell r="B144" t="str">
            <v>Asst. Year  2006-2007</v>
          </cell>
        </row>
        <row r="145">
          <cell r="B145" t="str">
            <v>Asst. Year  2007-2008</v>
          </cell>
        </row>
        <row r="146">
          <cell r="B146" t="str">
            <v>Asst. Year  2008-2009</v>
          </cell>
        </row>
        <row r="147">
          <cell r="B147" t="str">
            <v>Asst. Year  2009-2010</v>
          </cell>
        </row>
        <row r="148">
          <cell r="B148" t="str">
            <v>Asst. Year  2010-2011</v>
          </cell>
        </row>
        <row r="151">
          <cell r="B151" t="str">
            <v>Provision for Wealth Tax</v>
          </cell>
        </row>
        <row r="152">
          <cell r="B152" t="str">
            <v>Asst. Year  2006-2007</v>
          </cell>
        </row>
        <row r="153">
          <cell r="B153" t="str">
            <v>Asst. Year  2007-2008</v>
          </cell>
        </row>
        <row r="154">
          <cell r="B154" t="str">
            <v>Asst. Year  2008-2009</v>
          </cell>
        </row>
        <row r="155">
          <cell r="B155" t="str">
            <v>Asst. Year  2009-2010</v>
          </cell>
        </row>
        <row r="156">
          <cell r="B156" t="str">
            <v>Asst. Year  2010-2011</v>
          </cell>
        </row>
        <row r="157">
          <cell r="B157" t="str">
            <v>Asst. Year  2011-2012</v>
          </cell>
        </row>
        <row r="162">
          <cell r="B162" t="str">
            <v>Provision for proposed dividend</v>
          </cell>
        </row>
        <row r="165">
          <cell r="B165" t="str">
            <v>Provision for proposed dividend tax</v>
          </cell>
        </row>
        <row r="169">
          <cell r="B169" t="str">
            <v>Provision for Gratutity</v>
          </cell>
        </row>
        <row r="177">
          <cell r="B177" t="str">
            <v>Goodwill</v>
          </cell>
        </row>
        <row r="178">
          <cell r="B178" t="str">
            <v>Land</v>
          </cell>
        </row>
        <row r="179">
          <cell r="B179" t="str">
            <v>Building</v>
          </cell>
        </row>
        <row r="180">
          <cell r="B180" t="str">
            <v>Plant &amp; Machinery</v>
          </cell>
        </row>
        <row r="181">
          <cell r="B181" t="str">
            <v>Furniture &amp; Fixtures</v>
          </cell>
        </row>
        <row r="182">
          <cell r="B182" t="str">
            <v>Electrical Installations</v>
          </cell>
        </row>
        <row r="183">
          <cell r="B183" t="str">
            <v>Computers</v>
          </cell>
        </row>
        <row r="184">
          <cell r="B184" t="str">
            <v>Office facilities &amp; equipments</v>
          </cell>
        </row>
        <row r="185">
          <cell r="B185" t="str">
            <v>Vehicles</v>
          </cell>
        </row>
        <row r="189">
          <cell r="B189" t="str">
            <v>CAPITAL WORK-IN PROGRESS</v>
          </cell>
        </row>
        <row r="196">
          <cell r="B196" t="str">
            <v>Investment in capital of Partnership firms</v>
          </cell>
        </row>
        <row r="197">
          <cell r="B197" t="str">
            <v>Ashiana Amar Developers</v>
          </cell>
        </row>
        <row r="198">
          <cell r="B198" t="str">
            <v>Ashiana Amar Infrastructures</v>
          </cell>
        </row>
        <row r="199">
          <cell r="B199" t="str">
            <v>Ashiana Manglam Developers</v>
          </cell>
        </row>
        <row r="200">
          <cell r="B200" t="str">
            <v>Ashiana Green Wood Developers</v>
          </cell>
        </row>
        <row r="201">
          <cell r="B201" t="str">
            <v>Megha Colonizers</v>
          </cell>
        </row>
        <row r="202">
          <cell r="B202" t="str">
            <v>NEEMRANA BUILDERS LLP</v>
          </cell>
        </row>
        <row r="203">
          <cell r="B203" t="str">
            <v>MG Home Craft LLP</v>
          </cell>
        </row>
        <row r="204">
          <cell r="B204" t="str">
            <v>Investment in Immovable properties</v>
          </cell>
        </row>
        <row r="205">
          <cell r="B205" t="str">
            <v>Investment in FMPs</v>
          </cell>
        </row>
        <row r="206">
          <cell r="B206" t="str">
            <v>Investment in Equity Funds</v>
          </cell>
        </row>
        <row r="207">
          <cell r="B207" t="str">
            <v>Investment in Debt Funds</v>
          </cell>
        </row>
        <row r="208">
          <cell r="B208" t="str">
            <v>Investment in Liquid Funds</v>
          </cell>
        </row>
        <row r="209">
          <cell r="B209" t="str">
            <v>Investment in Shares</v>
          </cell>
        </row>
        <row r="210">
          <cell r="B210" t="str">
            <v>Investment in Debentures-II</v>
          </cell>
        </row>
        <row r="211">
          <cell r="B211" t="str">
            <v>Investment in Debentures-III</v>
          </cell>
        </row>
        <row r="212">
          <cell r="B212" t="str">
            <v>AHL Group Investment</v>
          </cell>
        </row>
        <row r="213">
          <cell r="B213" t="str">
            <v>Topwell Projects Consultants P. Ltd.- Debenture</v>
          </cell>
        </row>
        <row r="214">
          <cell r="B214" t="str">
            <v>Provision for Dimunition in value of current investment</v>
          </cell>
        </row>
        <row r="219">
          <cell r="B219" t="str">
            <v>STOCK</v>
          </cell>
        </row>
        <row r="221">
          <cell r="B221" t="str">
            <v>LEASEHOLD LAND</v>
          </cell>
        </row>
        <row r="222">
          <cell r="B222" t="str">
            <v>Less: Ongoing Project Adjustment</v>
          </cell>
        </row>
        <row r="223">
          <cell r="B223" t="str">
            <v>Opening Balance</v>
          </cell>
        </row>
        <row r="224">
          <cell r="B224" t="str">
            <v xml:space="preserve">Reversal of Current year </v>
          </cell>
        </row>
        <row r="225">
          <cell r="B225" t="str">
            <v xml:space="preserve">Addition of Current year </v>
          </cell>
        </row>
        <row r="228">
          <cell r="B228" t="str">
            <v>FREEHOLD LAND</v>
          </cell>
        </row>
        <row r="229">
          <cell r="B229" t="str">
            <v>Less: Ongoing Project Adjustment</v>
          </cell>
        </row>
        <row r="230">
          <cell r="B230" t="str">
            <v>Opening Balance</v>
          </cell>
        </row>
        <row r="231">
          <cell r="B231" t="str">
            <v xml:space="preserve">Reversal of Current year </v>
          </cell>
        </row>
        <row r="232">
          <cell r="B232" t="str">
            <v xml:space="preserve">Addition of Current year </v>
          </cell>
        </row>
        <row r="236">
          <cell r="B236" t="str">
            <v>UNSOLD COMPLETED CONSTRUCTION</v>
          </cell>
        </row>
        <row r="237">
          <cell r="B237" t="str">
            <v>Less: Ongoing Project Adjustment</v>
          </cell>
        </row>
        <row r="238">
          <cell r="B238" t="str">
            <v>Opening Balance</v>
          </cell>
        </row>
        <row r="239">
          <cell r="B239" t="str">
            <v xml:space="preserve">Reversal of Current year </v>
          </cell>
        </row>
        <row r="240">
          <cell r="B240" t="str">
            <v xml:space="preserve">Addition of Current year </v>
          </cell>
        </row>
        <row r="244">
          <cell r="B244" t="str">
            <v>WORK IN PROGRESS</v>
          </cell>
        </row>
        <row r="245">
          <cell r="B245" t="str">
            <v>Less: Ongoing Project Adjustment</v>
          </cell>
        </row>
        <row r="246">
          <cell r="B246" t="str">
            <v>Opening Balance</v>
          </cell>
        </row>
        <row r="247">
          <cell r="B247" t="str">
            <v xml:space="preserve">Reversal of Current year </v>
          </cell>
        </row>
        <row r="248">
          <cell r="B248" t="str">
            <v xml:space="preserve">Addition of Current year </v>
          </cell>
        </row>
        <row r="252">
          <cell r="B252" t="str">
            <v>Construction Materials</v>
          </cell>
        </row>
        <row r="255">
          <cell r="B255" t="str">
            <v>Stores</v>
          </cell>
        </row>
        <row r="263">
          <cell r="B263" t="str">
            <v>More than six months (LIST 4)</v>
          </cell>
        </row>
        <row r="265">
          <cell r="B265" t="str">
            <v>Less than six months (LIST 4A)</v>
          </cell>
        </row>
        <row r="271">
          <cell r="B271" t="str">
            <v>Cash in hand</v>
          </cell>
        </row>
        <row r="273">
          <cell r="B273" t="str">
            <v>Cheques in hand</v>
          </cell>
        </row>
        <row r="275">
          <cell r="B275" t="str">
            <v>Current Account Balances</v>
          </cell>
        </row>
        <row r="277">
          <cell r="B277" t="str">
            <v>Unclaimed Dividend Account</v>
          </cell>
        </row>
        <row r="279">
          <cell r="B279" t="str">
            <v xml:space="preserve">Fixed Deposit </v>
          </cell>
        </row>
        <row r="287">
          <cell r="B287" t="str">
            <v>Ongoing Projects - Adjustment Account</v>
          </cell>
        </row>
        <row r="288">
          <cell r="B288" t="str">
            <v>Opening Balance</v>
          </cell>
        </row>
        <row r="289">
          <cell r="B289" t="str">
            <v>Less: Reversal of Current year</v>
          </cell>
        </row>
        <row r="290">
          <cell r="B290" t="str">
            <v xml:space="preserve">Add: Addition of Current year </v>
          </cell>
        </row>
        <row r="295">
          <cell r="B295" t="str">
            <v>LOANS TO SUBSIDIARY COMPANY</v>
          </cell>
        </row>
        <row r="298">
          <cell r="B298" t="str">
            <v>LOANS TO OTHERS</v>
          </cell>
        </row>
        <row r="302">
          <cell r="B302" t="str">
            <v>ADVANCE AGAINST LAND/BUILDING PURCHASE</v>
          </cell>
        </row>
        <row r="305">
          <cell r="B305" t="str">
            <v>ADVANCE RECOVERABLE IN CASH OR IN KIND</v>
          </cell>
        </row>
        <row r="306">
          <cell r="B306" t="str">
            <v>OR VALUE TO BE RECEIVED</v>
          </cell>
        </row>
        <row r="307">
          <cell r="B307" t="str">
            <v>Advance Against Expenses</v>
          </cell>
        </row>
        <row r="308">
          <cell r="B308" t="str">
            <v>Loans &amp; Advance to Staff</v>
          </cell>
        </row>
        <row r="309">
          <cell r="B309" t="str">
            <v>Advance to Parties</v>
          </cell>
        </row>
        <row r="310">
          <cell r="B310" t="str">
            <v>Prepaid Expenses</v>
          </cell>
        </row>
        <row r="311">
          <cell r="B311" t="str">
            <v>Interest Receivable</v>
          </cell>
        </row>
        <row r="312">
          <cell r="B312" t="str">
            <v>Subsidy receivable</v>
          </cell>
        </row>
        <row r="313">
          <cell r="B313" t="str">
            <v>Unaccrued Commission</v>
          </cell>
        </row>
        <row r="314">
          <cell r="B314" t="str">
            <v>Service Tax credit unacrued</v>
          </cell>
        </row>
        <row r="315">
          <cell r="B315" t="str">
            <v>Advance/Duty/Penalty Under Protest</v>
          </cell>
        </row>
        <row r="318">
          <cell r="B318" t="str">
            <v>TAXATION ADVANCE &amp; REFUNDABLE</v>
          </cell>
        </row>
        <row r="319">
          <cell r="B319" t="str">
            <v>TDS Receivable</v>
          </cell>
        </row>
        <row r="320">
          <cell r="B320" t="str">
            <v>Asst. Year  1990-1991</v>
          </cell>
        </row>
        <row r="321">
          <cell r="B321" t="str">
            <v>Asst. Year  2006-2007</v>
          </cell>
        </row>
        <row r="322">
          <cell r="B322" t="str">
            <v>Asst. Year  2007-2008</v>
          </cell>
        </row>
        <row r="323">
          <cell r="B323" t="str">
            <v>Asst. Year  2008-2009</v>
          </cell>
        </row>
        <row r="324">
          <cell r="B324" t="str">
            <v>Asst. Year  2009-2010</v>
          </cell>
        </row>
        <row r="325">
          <cell r="B325" t="str">
            <v>Asst. Year  2010-2011</v>
          </cell>
        </row>
        <row r="326">
          <cell r="B326" t="str">
            <v>Asst. Year  2011-2012</v>
          </cell>
        </row>
        <row r="327">
          <cell r="B327" t="str">
            <v>Asst. Year  2012-2013</v>
          </cell>
        </row>
        <row r="330">
          <cell r="B330" t="str">
            <v>I.T. Refundable</v>
          </cell>
        </row>
        <row r="332">
          <cell r="B332" t="str">
            <v>Asst. Year  1986-1987</v>
          </cell>
        </row>
        <row r="333">
          <cell r="B333" t="str">
            <v>Asst. Year  1993-1994</v>
          </cell>
        </row>
        <row r="334">
          <cell r="B334" t="str">
            <v>Asst. Year  1990-1991</v>
          </cell>
        </row>
        <row r="335">
          <cell r="B335" t="str">
            <v>Asst. Year  1997-1998</v>
          </cell>
        </row>
        <row r="336">
          <cell r="B336" t="str">
            <v>Asst. Year  1990-1991</v>
          </cell>
        </row>
        <row r="339">
          <cell r="B339" t="str">
            <v>Advance Income Tax</v>
          </cell>
        </row>
        <row r="340">
          <cell r="B340" t="str">
            <v>Asst. Year  1990-1991</v>
          </cell>
        </row>
        <row r="341">
          <cell r="B341" t="str">
            <v>Asst. Year  2008-2009</v>
          </cell>
        </row>
        <row r="342">
          <cell r="B342" t="str">
            <v>Asst. Year  2009-2010</v>
          </cell>
        </row>
        <row r="343">
          <cell r="B343" t="str">
            <v>Asst. Year  2010-2011</v>
          </cell>
        </row>
        <row r="344">
          <cell r="B344" t="str">
            <v>Asst. Year  2011-2012</v>
          </cell>
        </row>
        <row r="345">
          <cell r="B345" t="str">
            <v>Asst. Year  2012-2013</v>
          </cell>
        </row>
        <row r="348">
          <cell r="B348" t="str">
            <v>Advance FBT</v>
          </cell>
        </row>
        <row r="349">
          <cell r="B349" t="str">
            <v>Asst. Year  2008-2009</v>
          </cell>
        </row>
        <row r="350">
          <cell r="B350" t="str">
            <v>Asst. Year  2009-2010</v>
          </cell>
        </row>
        <row r="353">
          <cell r="B353" t="str">
            <v>Wealth Tax</v>
          </cell>
        </row>
        <row r="354">
          <cell r="B354" t="str">
            <v>Asst. Year  2006-2007</v>
          </cell>
        </row>
        <row r="355">
          <cell r="B355" t="str">
            <v>Asst. Year  2007-2008</v>
          </cell>
        </row>
        <row r="356">
          <cell r="B356" t="str">
            <v>Asst. Year  2008-2009</v>
          </cell>
        </row>
        <row r="357">
          <cell r="B357" t="str">
            <v>Asst. Year  2011-2012</v>
          </cell>
        </row>
        <row r="358">
          <cell r="B358" t="str">
            <v>Asst. Year  2012-2013</v>
          </cell>
        </row>
        <row r="363">
          <cell r="B363" t="str">
            <v>DEPOSITS (DR.)</v>
          </cell>
        </row>
        <row r="364">
          <cell r="B364" t="str">
            <v>Security deposit with others</v>
          </cell>
        </row>
        <row r="371">
          <cell r="B371" t="str">
            <v>Delhi</v>
          </cell>
        </row>
        <row r="372">
          <cell r="B372" t="str">
            <v>CSR</v>
          </cell>
        </row>
        <row r="373">
          <cell r="B373" t="str">
            <v>Jamshedpur</v>
          </cell>
        </row>
        <row r="374">
          <cell r="B374" t="str">
            <v>Pune</v>
          </cell>
        </row>
        <row r="375">
          <cell r="B375" t="str">
            <v>Patna</v>
          </cell>
        </row>
        <row r="376">
          <cell r="B376" t="str">
            <v>Jaipur</v>
          </cell>
        </row>
        <row r="377">
          <cell r="B377" t="str">
            <v>Project</v>
          </cell>
        </row>
        <row r="378">
          <cell r="B378" t="str">
            <v>Bhiwadi</v>
          </cell>
        </row>
        <row r="379">
          <cell r="B379" t="str">
            <v>Tree House</v>
          </cell>
        </row>
        <row r="380">
          <cell r="B380" t="str">
            <v>Kolkata</v>
          </cell>
        </row>
        <row r="386">
          <cell r="B386" t="str">
            <v>Eligible Projects U/s 80IB of the Income Tax Act, 1961</v>
          </cell>
        </row>
        <row r="387">
          <cell r="B387" t="str">
            <v>Old Projects</v>
          </cell>
        </row>
        <row r="388">
          <cell r="B388" t="str">
            <v xml:space="preserve">       Ashiana Utsav Phase-I</v>
          </cell>
        </row>
        <row r="389">
          <cell r="B389" t="str">
            <v xml:space="preserve">       Ashiana Utsav Phase-II</v>
          </cell>
        </row>
        <row r="390">
          <cell r="B390" t="str">
            <v xml:space="preserve">       Ashiana Utsav Phase-III</v>
          </cell>
        </row>
        <row r="391">
          <cell r="B391" t="str">
            <v xml:space="preserve">       Ashiana Residency Greens</v>
          </cell>
        </row>
        <row r="392">
          <cell r="B392" t="str">
            <v xml:space="preserve">       Ashiana Woodland Phase - I</v>
          </cell>
        </row>
        <row r="393">
          <cell r="B393" t="str">
            <v xml:space="preserve">       Ashiana Woodland Phase - II</v>
          </cell>
        </row>
        <row r="394">
          <cell r="B394" t="str">
            <v xml:space="preserve">       Ashiana Aangan Phase-I</v>
          </cell>
        </row>
        <row r="395">
          <cell r="B395" t="str">
            <v xml:space="preserve">       Ashiana Aangan Phase-II</v>
          </cell>
        </row>
        <row r="396">
          <cell r="B396" t="str">
            <v xml:space="preserve">       Ashiana Aangan Phase-III</v>
          </cell>
        </row>
        <row r="397">
          <cell r="B397" t="str">
            <v>Less: Ongoing Projects Completed (Upon delivery of physical possession)</v>
          </cell>
        </row>
        <row r="399">
          <cell r="B399" t="str">
            <v>New Projects</v>
          </cell>
        </row>
        <row r="400">
          <cell r="B400" t="str">
            <v>Sale Value</v>
          </cell>
        </row>
        <row r="401">
          <cell r="B401" t="str">
            <v>Phase I</v>
          </cell>
        </row>
        <row r="402">
          <cell r="B402" t="str">
            <v>Phase II</v>
          </cell>
        </row>
        <row r="403">
          <cell r="B403" t="str">
            <v>Phase III</v>
          </cell>
        </row>
        <row r="404">
          <cell r="B404" t="str">
            <v>Phase IV</v>
          </cell>
        </row>
        <row r="405">
          <cell r="B405" t="str">
            <v>Phase V</v>
          </cell>
        </row>
        <row r="406">
          <cell r="B406" t="str">
            <v>Phase VI</v>
          </cell>
        </row>
        <row r="407">
          <cell r="B407" t="str">
            <v>Phase VII</v>
          </cell>
        </row>
        <row r="408">
          <cell r="B408" t="str">
            <v>Less: Ongoing Projects Completed (Upon delivery of physical possession)</v>
          </cell>
        </row>
        <row r="409">
          <cell r="B409" t="str">
            <v>Phase I</v>
          </cell>
        </row>
        <row r="410">
          <cell r="B410" t="str">
            <v>Phase II</v>
          </cell>
        </row>
        <row r="411">
          <cell r="B411" t="str">
            <v>Phase III</v>
          </cell>
        </row>
        <row r="412">
          <cell r="B412" t="str">
            <v>Phase IV</v>
          </cell>
        </row>
        <row r="413">
          <cell r="B413" t="str">
            <v>Phase V</v>
          </cell>
        </row>
        <row r="414">
          <cell r="B414" t="str">
            <v>Phase VI</v>
          </cell>
        </row>
        <row r="415">
          <cell r="B415" t="str">
            <v>Phase VII</v>
          </cell>
        </row>
        <row r="418">
          <cell r="B418" t="str">
            <v>TOTAL SALES FROM COMPLETED PROJECTS (ELIGIBLE U/S  80IB)</v>
          </cell>
        </row>
        <row r="420">
          <cell r="B420" t="str">
            <v>Not Eligible Projects U/s 80IB of the Income Tax Act, 1961</v>
          </cell>
        </row>
        <row r="421">
          <cell r="B421" t="str">
            <v>Old Projects</v>
          </cell>
        </row>
        <row r="422">
          <cell r="B422" t="str">
            <v>Ashiana Trade Centre</v>
          </cell>
        </row>
        <row r="423">
          <cell r="B423" t="str">
            <v>Repurchased sale</v>
          </cell>
        </row>
        <row r="424">
          <cell r="B424" t="str">
            <v>Ashiana Greens</v>
          </cell>
        </row>
        <row r="425">
          <cell r="B425" t="str">
            <v>Residency Greens</v>
          </cell>
        </row>
        <row r="426">
          <cell r="B426" t="str">
            <v>Ashiana Bageecha</v>
          </cell>
        </row>
        <row r="427">
          <cell r="B427" t="str">
            <v>Ashiana Green Hills</v>
          </cell>
        </row>
        <row r="428">
          <cell r="B428" t="str">
            <v>Gulmohar</v>
          </cell>
        </row>
        <row r="429">
          <cell r="B429" t="str">
            <v>Adharsheela</v>
          </cell>
        </row>
        <row r="431">
          <cell r="B431" t="str">
            <v>New Projects</v>
          </cell>
        </row>
        <row r="432">
          <cell r="B432" t="str">
            <v>Sale Value</v>
          </cell>
        </row>
        <row r="433">
          <cell r="B433" t="str">
            <v>Phase I</v>
          </cell>
        </row>
        <row r="434">
          <cell r="B434" t="str">
            <v>Phase II</v>
          </cell>
        </row>
        <row r="435">
          <cell r="B435" t="str">
            <v>Phase III</v>
          </cell>
        </row>
        <row r="436">
          <cell r="B436" t="str">
            <v>Phase IV</v>
          </cell>
        </row>
        <row r="437">
          <cell r="B437" t="str">
            <v>Phase V</v>
          </cell>
        </row>
        <row r="438">
          <cell r="B438" t="str">
            <v>Phase VI</v>
          </cell>
        </row>
        <row r="439">
          <cell r="B439" t="str">
            <v>Phase VII</v>
          </cell>
        </row>
        <row r="440">
          <cell r="B440" t="str">
            <v>Less: Ongoing Projects Completed (Upon delivery of physical possession)</v>
          </cell>
        </row>
        <row r="441">
          <cell r="B441" t="str">
            <v>Phase I</v>
          </cell>
        </row>
        <row r="442">
          <cell r="B442" t="str">
            <v>Phase II</v>
          </cell>
        </row>
        <row r="443">
          <cell r="B443" t="str">
            <v>Phase III</v>
          </cell>
        </row>
        <row r="444">
          <cell r="B444" t="str">
            <v>Phase IV</v>
          </cell>
        </row>
        <row r="445">
          <cell r="B445" t="str">
            <v>Phase V</v>
          </cell>
        </row>
        <row r="446">
          <cell r="B446" t="str">
            <v>Phase VI</v>
          </cell>
        </row>
        <row r="447">
          <cell r="B447" t="str">
            <v>Phase VII</v>
          </cell>
        </row>
        <row r="450">
          <cell r="B450" t="str">
            <v>TOTAL SALES FROM COMPLETED PROJECTS (NOT ELIGIBLE U/S  80IB)</v>
          </cell>
        </row>
        <row r="452">
          <cell r="B452" t="str">
            <v>TOTAL SALES FROM COMPLETED PROJECTS</v>
          </cell>
        </row>
        <row r="455">
          <cell r="B455" t="str">
            <v>Eligible Projects U/s 80IB of the Income Tax Act, 1961</v>
          </cell>
        </row>
        <row r="456">
          <cell r="B456" t="str">
            <v>Phase I</v>
          </cell>
        </row>
        <row r="457">
          <cell r="B457" t="str">
            <v>Phase II</v>
          </cell>
        </row>
        <row r="458">
          <cell r="B458" t="str">
            <v>Phase III</v>
          </cell>
        </row>
        <row r="459">
          <cell r="B459" t="str">
            <v>Phase IV</v>
          </cell>
        </row>
        <row r="460">
          <cell r="B460" t="str">
            <v>Phase V</v>
          </cell>
        </row>
        <row r="461">
          <cell r="B461" t="str">
            <v>Phase VI</v>
          </cell>
        </row>
        <row r="462">
          <cell r="B462" t="str">
            <v>Phase VII</v>
          </cell>
        </row>
        <row r="464">
          <cell r="B464" t="str">
            <v>Not Eligible Projects U/s 80IB of the Income Tax Act, 1961</v>
          </cell>
        </row>
        <row r="465">
          <cell r="B465" t="str">
            <v>Phase I</v>
          </cell>
        </row>
        <row r="466">
          <cell r="B466" t="str">
            <v>Phase II</v>
          </cell>
        </row>
        <row r="467">
          <cell r="B467" t="str">
            <v>Phase III</v>
          </cell>
        </row>
        <row r="468">
          <cell r="B468" t="str">
            <v>Phase IV</v>
          </cell>
        </row>
        <row r="469">
          <cell r="B469" t="str">
            <v>Phase V</v>
          </cell>
        </row>
        <row r="470">
          <cell r="B470" t="str">
            <v>Phase VI</v>
          </cell>
        </row>
        <row r="471">
          <cell r="B471" t="str">
            <v>Phase VII</v>
          </cell>
        </row>
        <row r="474">
          <cell r="B474" t="str">
            <v>TOTAL SALES FROM ONGOING PROJECTS</v>
          </cell>
        </row>
        <row r="477">
          <cell r="B477" t="str">
            <v>TOTAL SALES</v>
          </cell>
        </row>
        <row r="480">
          <cell r="B480" t="str">
            <v>Shops &amp; Others</v>
          </cell>
        </row>
        <row r="481">
          <cell r="B481" t="str">
            <v>Other Income</v>
          </cell>
        </row>
        <row r="484">
          <cell r="B484" t="str">
            <v>Rooms, Restaurant, Banquets and other services</v>
          </cell>
        </row>
        <row r="485">
          <cell r="B485" t="str">
            <v>Club Subscription</v>
          </cell>
        </row>
        <row r="486">
          <cell r="B486" t="str">
            <v>Room Sales</v>
          </cell>
        </row>
        <row r="487">
          <cell r="B487" t="str">
            <v>Restaurant</v>
          </cell>
        </row>
        <row r="488">
          <cell r="B488" t="str">
            <v>Other services</v>
          </cell>
        </row>
        <row r="489">
          <cell r="B489" t="str">
            <v>Discount &amp; Allowance</v>
          </cell>
        </row>
        <row r="495">
          <cell r="B495" t="str">
            <v>TOTAL SALES</v>
          </cell>
        </row>
        <row r="498">
          <cell r="B498" t="str">
            <v>Purchase Land</v>
          </cell>
        </row>
        <row r="499">
          <cell r="B499" t="str">
            <v>Purchase Flats</v>
          </cell>
        </row>
        <row r="502">
          <cell r="B502" t="str">
            <v>Consumption of Material</v>
          </cell>
        </row>
        <row r="503">
          <cell r="B503" t="str">
            <v>Wages &amp; Incentive</v>
          </cell>
        </row>
        <row r="504">
          <cell r="B504" t="str">
            <v>Labour Charges</v>
          </cell>
        </row>
        <row r="505">
          <cell r="B505" t="str">
            <v>Direct Project Expenses</v>
          </cell>
        </row>
        <row r="506">
          <cell r="B506" t="str">
            <v>Power &amp; fuel</v>
          </cell>
        </row>
        <row r="507">
          <cell r="B507" t="str">
            <v>Other Project related expenses</v>
          </cell>
        </row>
        <row r="510">
          <cell r="B510" t="str">
            <v>TOTAL DIRECT EXPENSES</v>
          </cell>
        </row>
        <row r="515">
          <cell r="B515" t="str">
            <v>Phase I</v>
          </cell>
        </row>
        <row r="516">
          <cell r="B516" t="str">
            <v>Phase II</v>
          </cell>
        </row>
        <row r="517">
          <cell r="B517" t="str">
            <v>Phase III</v>
          </cell>
        </row>
        <row r="518">
          <cell r="B518" t="str">
            <v>Phase IV</v>
          </cell>
        </row>
        <row r="519">
          <cell r="B519" t="str">
            <v>Phase V</v>
          </cell>
        </row>
        <row r="520">
          <cell r="B520" t="str">
            <v>Phase VI</v>
          </cell>
        </row>
        <row r="521">
          <cell r="B521" t="str">
            <v>Phase VII</v>
          </cell>
        </row>
        <row r="524">
          <cell r="B524" t="str">
            <v>Phase I</v>
          </cell>
        </row>
        <row r="525">
          <cell r="B525" t="str">
            <v>Phase II</v>
          </cell>
        </row>
        <row r="526">
          <cell r="B526" t="str">
            <v>Phase III</v>
          </cell>
        </row>
        <row r="527">
          <cell r="B527" t="str">
            <v>Phase IV</v>
          </cell>
        </row>
        <row r="528">
          <cell r="B528" t="str">
            <v>Phase V</v>
          </cell>
        </row>
        <row r="529">
          <cell r="B529" t="str">
            <v>Phase VI</v>
          </cell>
        </row>
        <row r="530">
          <cell r="B530" t="str">
            <v>Phase VII</v>
          </cell>
        </row>
        <row r="533">
          <cell r="B533" t="str">
            <v>Phase I</v>
          </cell>
        </row>
        <row r="534">
          <cell r="B534" t="str">
            <v>Phase II</v>
          </cell>
        </row>
        <row r="536">
          <cell r="B536" t="str">
            <v>TOTAL ONGOING PROJECT EXPENSE</v>
          </cell>
        </row>
        <row r="540">
          <cell r="B540" t="str">
            <v>Cost of consumables</v>
          </cell>
        </row>
        <row r="541">
          <cell r="B541" t="str">
            <v>Beverage</v>
          </cell>
        </row>
        <row r="542">
          <cell r="B542" t="str">
            <v>Cartage etc</v>
          </cell>
        </row>
        <row r="543">
          <cell r="B543" t="str">
            <v>Milk and bakery</v>
          </cell>
        </row>
        <row r="544">
          <cell r="B544" t="str">
            <v>Meat</v>
          </cell>
        </row>
        <row r="545">
          <cell r="B545" t="str">
            <v>Packing Expenses</v>
          </cell>
        </row>
        <row r="546">
          <cell r="B546" t="str">
            <v>vegetable</v>
          </cell>
        </row>
        <row r="547">
          <cell r="B547" t="str">
            <v>Grocerry</v>
          </cell>
        </row>
        <row r="548">
          <cell r="B548" t="str">
            <v>Linen and other Material</v>
          </cell>
        </row>
        <row r="549">
          <cell r="B549" t="str">
            <v>Chemical</v>
          </cell>
        </row>
        <row r="550">
          <cell r="B550" t="str">
            <v>House keeping Consumable</v>
          </cell>
        </row>
        <row r="552">
          <cell r="B552" t="str">
            <v>Personnel- Contractor fees</v>
          </cell>
        </row>
        <row r="553">
          <cell r="B553" t="str">
            <v>Contractor Fee</v>
          </cell>
        </row>
        <row r="555">
          <cell r="B555" t="str">
            <v>Power &amp; fuel</v>
          </cell>
        </row>
        <row r="556">
          <cell r="B556" t="str">
            <v>Fuel / Coal Exp/Heat</v>
          </cell>
        </row>
        <row r="559">
          <cell r="B559" t="str">
            <v>Other running expenses</v>
          </cell>
        </row>
        <row r="560">
          <cell r="B560" t="str">
            <v>Maintenance Charges - Vatika</v>
          </cell>
        </row>
        <row r="561">
          <cell r="B561" t="str">
            <v>Coolie &amp; Cartage</v>
          </cell>
        </row>
        <row r="562">
          <cell r="B562" t="str">
            <v>Security Guard Bill</v>
          </cell>
        </row>
        <row r="563">
          <cell r="B563" t="str">
            <v>Repair &amp; Maintenance - Building</v>
          </cell>
        </row>
        <row r="564">
          <cell r="B564" t="str">
            <v>Repair &amp; Maintenance- Other</v>
          </cell>
        </row>
        <row r="565">
          <cell r="B565" t="str">
            <v>Banqueting Expenses</v>
          </cell>
        </row>
        <row r="566">
          <cell r="B566" t="str">
            <v>Coaching Expenses</v>
          </cell>
        </row>
        <row r="567">
          <cell r="B567" t="str">
            <v>Cable Expenses</v>
          </cell>
        </row>
        <row r="568">
          <cell r="B568" t="str">
            <v>Revenue Sharing - AHL</v>
          </cell>
        </row>
        <row r="569">
          <cell r="B569" t="str">
            <v>Management Fees Exp.- Karma / IHP</v>
          </cell>
        </row>
        <row r="570">
          <cell r="B570" t="str">
            <v>Dry-cleaning and laundry Expenses</v>
          </cell>
        </row>
        <row r="574">
          <cell r="B574" t="str">
            <v>TOTAL HOTEL &amp; CLUB RUNNING EXPS</v>
          </cell>
        </row>
        <row r="577">
          <cell r="B577" t="str">
            <v>Interest Income</v>
          </cell>
        </row>
        <row r="578">
          <cell r="B578" t="str">
            <v>INTEREST ON FDR</v>
          </cell>
        </row>
        <row r="579">
          <cell r="B579" t="str">
            <v>INTEREST INCOME ON LOAN</v>
          </cell>
        </row>
        <row r="580">
          <cell r="B580" t="str">
            <v>INTEREST FROM CUSTOMER</v>
          </cell>
        </row>
        <row r="582">
          <cell r="B582" t="str">
            <v>Income from Investment - Rent</v>
          </cell>
        </row>
        <row r="583">
          <cell r="B583" t="str">
            <v>RENT INCOME - LAND &amp; BUILDING</v>
          </cell>
        </row>
        <row r="585">
          <cell r="B585" t="str">
            <v>DIVIDEND INCOME</v>
          </cell>
        </row>
        <row r="587">
          <cell r="B587" t="str">
            <v>PROFIT/LOSS ON SALE OF INVESTMENT</v>
          </cell>
        </row>
        <row r="590">
          <cell r="B590" t="str">
            <v>Income from Revenue Sharing arrangements</v>
          </cell>
        </row>
        <row r="591">
          <cell r="B591" t="str">
            <v>REVENUE SHARING</v>
          </cell>
        </row>
        <row r="593">
          <cell r="B593" t="str">
            <v>Rent and hire charges</v>
          </cell>
        </row>
        <row r="594">
          <cell r="B594" t="str">
            <v>RENT INCOME - OTHERS</v>
          </cell>
        </row>
        <row r="595">
          <cell r="B595" t="str">
            <v>HIRE CHARGES INCOME</v>
          </cell>
        </row>
        <row r="597">
          <cell r="B597" t="str">
            <v>Miscellaneous Income</v>
          </cell>
        </row>
        <row r="598">
          <cell r="B598" t="str">
            <v>DOCUMENTATION CHARGES</v>
          </cell>
        </row>
        <row r="599">
          <cell r="B599" t="str">
            <v>TRANSFER CHARGES</v>
          </cell>
        </row>
        <row r="600">
          <cell r="B600" t="str">
            <v>HOLDING CHARGES</v>
          </cell>
        </row>
        <row r="601">
          <cell r="B601" t="str">
            <v>Dimunition in Value on Investment</v>
          </cell>
        </row>
        <row r="602">
          <cell r="B602" t="str">
            <v>CANCELLATION CHARGES</v>
          </cell>
        </row>
        <row r="604">
          <cell r="B604" t="str">
            <v>Profit/Loss on sale of Fixed Assets</v>
          </cell>
        </row>
        <row r="606">
          <cell r="B606" t="str">
            <v>Share of Profit from Partnership</v>
          </cell>
        </row>
        <row r="608">
          <cell r="B608" t="str">
            <v>Excess provision for gratuity written back</v>
          </cell>
        </row>
        <row r="610">
          <cell r="B610" t="str">
            <v>Income Tax adjustment</v>
          </cell>
        </row>
        <row r="611">
          <cell r="B611" t="str">
            <v>Asst. Year  2007-2008</v>
          </cell>
        </row>
        <row r="616">
          <cell r="B616" t="str">
            <v>Liabilities Written Back</v>
          </cell>
        </row>
        <row r="619">
          <cell r="B619" t="str">
            <v>TOTAL OTHER INCOME</v>
          </cell>
        </row>
        <row r="624">
          <cell r="B624" t="str">
            <v>Rent</v>
          </cell>
        </row>
        <row r="625">
          <cell r="B625" t="str">
            <v>RENT</v>
          </cell>
        </row>
        <row r="626">
          <cell r="B626" t="str">
            <v>LEASE RENT</v>
          </cell>
        </row>
        <row r="627">
          <cell r="B627" t="str">
            <v>RENT FREE ACCOMODATIONS</v>
          </cell>
        </row>
        <row r="629">
          <cell r="B629" t="str">
            <v>Rates and Taxes</v>
          </cell>
        </row>
        <row r="630">
          <cell r="B630" t="str">
            <v>Municipal taxes</v>
          </cell>
        </row>
        <row r="631">
          <cell r="B631" t="str">
            <v>Others</v>
          </cell>
        </row>
        <row r="632">
          <cell r="B632" t="str">
            <v>Securities Transaction Tax</v>
          </cell>
        </row>
        <row r="635">
          <cell r="B635" t="str">
            <v>Insurance</v>
          </cell>
        </row>
        <row r="636">
          <cell r="B636" t="str">
            <v>LICENCE FEE</v>
          </cell>
        </row>
        <row r="637">
          <cell r="B637" t="str">
            <v>INSURANCE PREMIUM</v>
          </cell>
        </row>
        <row r="639">
          <cell r="B639" t="str">
            <v>Travelling and Conveyance</v>
          </cell>
        </row>
        <row r="640">
          <cell r="B640" t="str">
            <v>TRAVELING EXPENSES</v>
          </cell>
        </row>
        <row r="641">
          <cell r="B641" t="str">
            <v>TRAVELLING &amp; CONVEYANCE EXP- CUSTOMER.</v>
          </cell>
        </row>
        <row r="642">
          <cell r="B642" t="str">
            <v>CONVEYANCE EXP.</v>
          </cell>
        </row>
        <row r="643">
          <cell r="B643" t="str">
            <v>EXPENSES FOR INTERNAL AUDITORS</v>
          </cell>
        </row>
        <row r="644">
          <cell r="B644" t="str">
            <v>AUDITORS EXPENSES</v>
          </cell>
        </row>
        <row r="645">
          <cell r="B645" t="str">
            <v>CONSULTANT/PROFESSIONALS REIMBURSEMENT</v>
          </cell>
        </row>
        <row r="646">
          <cell r="B646" t="str">
            <v>CONVEYANCE REIMBURSEMENT</v>
          </cell>
        </row>
        <row r="648">
          <cell r="B648" t="str">
            <v>Legal and Professional expenses</v>
          </cell>
        </row>
        <row r="649">
          <cell r="B649" t="str">
            <v>CONSULTANTS &amp; PROFESSIONAL FEES</v>
          </cell>
        </row>
        <row r="651">
          <cell r="B651" t="str">
            <v>Advertisement and Business Promotion</v>
          </cell>
        </row>
        <row r="652">
          <cell r="B652" t="str">
            <v>ADVERTISEMENT &amp; PUBLICITY</v>
          </cell>
        </row>
        <row r="653">
          <cell r="B653" t="str">
            <v>EXHIBITION EXPENSES</v>
          </cell>
        </row>
        <row r="654">
          <cell r="B654" t="str">
            <v>SPONSORSHIP FEES</v>
          </cell>
        </row>
        <row r="655">
          <cell r="B655" t="str">
            <v>BUSINESS PROMOTION</v>
          </cell>
        </row>
        <row r="656">
          <cell r="B656" t="str">
            <v>REFERRAL FEES</v>
          </cell>
        </row>
        <row r="657">
          <cell r="B657" t="str">
            <v>PROMOTIONAL GIFT/ GIFT VOUCHER</v>
          </cell>
        </row>
        <row r="659">
          <cell r="B659" t="str">
            <v>Commission</v>
          </cell>
        </row>
        <row r="661">
          <cell r="B661" t="str">
            <v>Telephone, Telex &amp; Fax</v>
          </cell>
        </row>
        <row r="662">
          <cell r="B662" t="str">
            <v>TELEPHONE</v>
          </cell>
        </row>
        <row r="663">
          <cell r="B663" t="str">
            <v>INTERNET/BROAD BAND</v>
          </cell>
        </row>
        <row r="664">
          <cell r="B664" t="str">
            <v>TELEPHONE REIMBURSEMENT</v>
          </cell>
        </row>
        <row r="665">
          <cell r="B665" t="str">
            <v>MOBILE EXPENSES</v>
          </cell>
        </row>
        <row r="667">
          <cell r="B667" t="str">
            <v>Printing &amp; Stationery</v>
          </cell>
        </row>
        <row r="668">
          <cell r="B668" t="str">
            <v>PRINTING &amp; STATIONARY</v>
          </cell>
        </row>
        <row r="669">
          <cell r="B669" t="str">
            <v>STAMP PAPER</v>
          </cell>
        </row>
        <row r="672">
          <cell r="B672" t="str">
            <v>Repairs and Maintenance :</v>
          </cell>
        </row>
        <row r="673">
          <cell r="B673" t="str">
            <v xml:space="preserve">  To Machineries</v>
          </cell>
        </row>
        <row r="674">
          <cell r="B674" t="str">
            <v>REPAIR &amp; MAINTENANCE -PLANT &amp; MACHINERY</v>
          </cell>
        </row>
        <row r="676">
          <cell r="B676" t="str">
            <v xml:space="preserve">  To Building</v>
          </cell>
        </row>
        <row r="677">
          <cell r="B677" t="str">
            <v>MAINTAINANCE CHARGES (STAFF ACCOMODATION)</v>
          </cell>
        </row>
        <row r="678">
          <cell r="B678" t="str">
            <v>REPAIR &amp; MAINTENANCE -BUILDING</v>
          </cell>
        </row>
        <row r="680">
          <cell r="B680" t="str">
            <v xml:space="preserve">  To Others</v>
          </cell>
        </row>
        <row r="681">
          <cell r="B681" t="str">
            <v>REPAIR &amp; MAINTENANCE -OFFICE EQUIPMENTS</v>
          </cell>
        </row>
        <row r="682">
          <cell r="B682" t="str">
            <v>REPAIR &amp; MAINTENANCE -OTHERS</v>
          </cell>
        </row>
        <row r="684">
          <cell r="B684" t="str">
            <v>Directors' Fees</v>
          </cell>
        </row>
        <row r="685">
          <cell r="B685" t="str">
            <v>DIRECTORS SITTING FEES</v>
          </cell>
        </row>
        <row r="688">
          <cell r="B688" t="str">
            <v>Auditors' Remuneration :</v>
          </cell>
        </row>
        <row r="689">
          <cell r="B689" t="str">
            <v xml:space="preserve">  For Statutory Audit</v>
          </cell>
        </row>
        <row r="690">
          <cell r="B690" t="str">
            <v>STATUTORY AUDIT FEES</v>
          </cell>
        </row>
        <row r="692">
          <cell r="B692" t="str">
            <v xml:space="preserve">  For Internal Audit </v>
          </cell>
        </row>
        <row r="693">
          <cell r="B693" t="str">
            <v>INTERNAL AUDIT FEES</v>
          </cell>
        </row>
        <row r="695">
          <cell r="B695" t="str">
            <v xml:space="preserve">  For Tax Audit</v>
          </cell>
        </row>
        <row r="696">
          <cell r="B696" t="str">
            <v>TAX AUDIT FESS</v>
          </cell>
        </row>
        <row r="698">
          <cell r="B698" t="str">
            <v xml:space="preserve">  For Other Services</v>
          </cell>
        </row>
        <row r="699">
          <cell r="B699" t="str">
            <v>FEES FOR OTHER SERVICES</v>
          </cell>
        </row>
        <row r="701">
          <cell r="B701" t="str">
            <v>Miscellaneous expenses</v>
          </cell>
        </row>
        <row r="702">
          <cell r="B702" t="str">
            <v>ELECTRICITY &amp; WATER</v>
          </cell>
        </row>
        <row r="703">
          <cell r="B703" t="str">
            <v>POSTAGE &amp; COURIER EXP</v>
          </cell>
        </row>
        <row r="704">
          <cell r="B704" t="str">
            <v>FESTIVAL &amp; PUJA EXPENSES</v>
          </cell>
        </row>
        <row r="705">
          <cell r="B705" t="str">
            <v>BANK CHARGES</v>
          </cell>
        </row>
        <row r="706">
          <cell r="B706" t="str">
            <v>CHARITY &amp; DONATIONS</v>
          </cell>
        </row>
        <row r="707">
          <cell r="B707" t="str">
            <v>MISC. EXPENSES</v>
          </cell>
        </row>
        <row r="708">
          <cell r="B708" t="str">
            <v xml:space="preserve">       Amalgamation Exp.</v>
          </cell>
        </row>
        <row r="709">
          <cell r="B709" t="str">
            <v>Establishment Charges</v>
          </cell>
        </row>
        <row r="710">
          <cell r="B710" t="str">
            <v>Expenses - Complateted Project</v>
          </cell>
        </row>
        <row r="711">
          <cell r="B711" t="str">
            <v>OFFICE EXPENSES</v>
          </cell>
        </row>
        <row r="712">
          <cell r="B712" t="str">
            <v>CONFERRENCE &amp; MEETING EXPENSES</v>
          </cell>
        </row>
        <row r="713">
          <cell r="B713" t="str">
            <v>COMPENSATION ON CANCELLATION</v>
          </cell>
        </row>
        <row r="714">
          <cell r="B714" t="str">
            <v>RECRUITMENT EXPENSES</v>
          </cell>
        </row>
        <row r="715">
          <cell r="B715" t="str">
            <v>BOOKS &amp; PERIODICALS</v>
          </cell>
        </row>
        <row r="716">
          <cell r="B716" t="str">
            <v>FEES &amp; MEMBERSHIP EXPENSES</v>
          </cell>
        </row>
        <row r="718">
          <cell r="B718" t="str">
            <v>Irrecoverable Balances Written off</v>
          </cell>
        </row>
        <row r="719">
          <cell r="B719" t="str">
            <v>BAD DEBTS WRITTEN OFF</v>
          </cell>
        </row>
        <row r="720">
          <cell r="B720" t="str">
            <v>SUNDRY BALANCES WRITTEN OFF</v>
          </cell>
        </row>
        <row r="722">
          <cell r="B722" t="str">
            <v>Fixed Assets Written Off</v>
          </cell>
        </row>
        <row r="723">
          <cell r="B723" t="str">
            <v>FIXED ASSETS WRITTEN OFF</v>
          </cell>
        </row>
        <row r="725">
          <cell r="B725" t="str">
            <v>Items relating to previous year (Net)</v>
          </cell>
        </row>
        <row r="726">
          <cell r="B726" t="str">
            <v>PRIOR PERIOD EXPENSES</v>
          </cell>
        </row>
        <row r="728">
          <cell r="B728" t="str">
            <v>Interest Expenses</v>
          </cell>
        </row>
        <row r="729">
          <cell r="B729" t="str">
            <v>INTEREST ON VEHICLE LOAN</v>
          </cell>
        </row>
        <row r="730">
          <cell r="B730" t="str">
            <v>INTEREST ON OD FACILITY</v>
          </cell>
        </row>
        <row r="731">
          <cell r="B731" t="str">
            <v>INTEREST ON PROOJECT LOAN</v>
          </cell>
        </row>
        <row r="732">
          <cell r="B732" t="str">
            <v>LOAN PROCESSING FEE</v>
          </cell>
        </row>
        <row r="733">
          <cell r="B733" t="str">
            <v>INTEREST ON Late TDS</v>
          </cell>
        </row>
        <row r="734">
          <cell r="B734" t="str">
            <v>INTEREST ON Late Professional Tax</v>
          </cell>
        </row>
        <row r="735">
          <cell r="B735" t="str">
            <v>OTHER INTERESTS</v>
          </cell>
        </row>
        <row r="738">
          <cell r="B738" t="str">
            <v>TOTAL OTHER EXPENSES</v>
          </cell>
        </row>
        <row r="743">
          <cell r="B743" t="str">
            <v>Salary, Wages, bonus and allowances</v>
          </cell>
        </row>
        <row r="744">
          <cell r="B744" t="str">
            <v>SALARY</v>
          </cell>
        </row>
        <row r="745">
          <cell r="B745" t="str">
            <v>HOUSE RENT ALLOWANCE</v>
          </cell>
        </row>
        <row r="746">
          <cell r="B746" t="str">
            <v>CHILDREN EDUCATION ALLOWANCE</v>
          </cell>
        </row>
        <row r="747">
          <cell r="B747" t="str">
            <v>CITY COMPENSETORY ALLOWANCE</v>
          </cell>
        </row>
        <row r="748">
          <cell r="B748" t="str">
            <v>TRANSPORT ALLOWANCE</v>
          </cell>
        </row>
        <row r="749">
          <cell r="B749" t="str">
            <v>SPECIAL ALLOWANCE</v>
          </cell>
        </row>
        <row r="750">
          <cell r="B750" t="str">
            <v>LEAVE TRAVEL ALLOWANCE</v>
          </cell>
        </row>
        <row r="751">
          <cell r="B751" t="str">
            <v>RELOCATION ALLOWANCE</v>
          </cell>
        </row>
        <row r="752">
          <cell r="B752" t="str">
            <v>LEAVE ENCASHMENT</v>
          </cell>
        </row>
        <row r="753">
          <cell r="B753" t="str">
            <v>BONUS</v>
          </cell>
        </row>
        <row r="754">
          <cell r="B754" t="str">
            <v>CCA</v>
          </cell>
        </row>
        <row r="755">
          <cell r="B755" t="str">
            <v>PPA</v>
          </cell>
        </row>
        <row r="756">
          <cell r="B756" t="str">
            <v>GRATUITY</v>
          </cell>
        </row>
        <row r="757">
          <cell r="B757" t="str">
            <v>INCENTIVE TO STAFFS</v>
          </cell>
        </row>
        <row r="760">
          <cell r="B760" t="str">
            <v>Directors’ Remuneration</v>
          </cell>
        </row>
        <row r="762">
          <cell r="B762" t="str">
            <v>Contribution to Provident &amp; Other Funds</v>
          </cell>
        </row>
        <row r="763">
          <cell r="B763" t="str">
            <v>PROVIDENT FUND EXPENSES</v>
          </cell>
        </row>
        <row r="764">
          <cell r="B764" t="str">
            <v>PF ADMIN CHARGES</v>
          </cell>
        </row>
        <row r="765">
          <cell r="B765" t="str">
            <v>PF PENSION</v>
          </cell>
        </row>
        <row r="766">
          <cell r="B766" t="str">
            <v>PF LINK INSURANCE CHARGES</v>
          </cell>
        </row>
        <row r="767">
          <cell r="B767" t="str">
            <v>EDLI ADMIN CHARGES</v>
          </cell>
        </row>
        <row r="770">
          <cell r="B770" t="str">
            <v>Staff &amp; Labour welfare expenses</v>
          </cell>
        </row>
        <row r="771">
          <cell r="B771" t="str">
            <v>UNIFORM EXPENSES</v>
          </cell>
        </row>
        <row r="772">
          <cell r="B772" t="str">
            <v>SCHOLARSHIP EXPENSES</v>
          </cell>
        </row>
        <row r="773">
          <cell r="B773" t="str">
            <v>MEDICAL EXPENSE</v>
          </cell>
        </row>
        <row r="774">
          <cell r="B774" t="str">
            <v>OTHER STAFF WELFARE EXPS.- OTHERS</v>
          </cell>
        </row>
        <row r="775">
          <cell r="B775" t="str">
            <v>TRAINING &amp; SEMINAR EXPENSES</v>
          </cell>
        </row>
        <row r="776">
          <cell r="B776" t="str">
            <v>MEDICAL REIMBURSEMENT</v>
          </cell>
        </row>
        <row r="779">
          <cell r="B779" t="str">
            <v>TOTAL EXPENSES ON EMPLOYEE</v>
          </cell>
        </row>
        <row r="782">
          <cell r="B782" t="str">
            <v>DEPRECIATION</v>
          </cell>
        </row>
        <row r="785">
          <cell r="B785" t="str">
            <v>DEFERRED TAX</v>
          </cell>
        </row>
        <row r="788">
          <cell r="B788" t="str">
            <v>PROVISION FOR INCOME TAX/ WEALTH TAX</v>
          </cell>
        </row>
        <row r="791">
          <cell r="B791" t="str">
            <v>DIVIDEND EXPENSES (including Tax)</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ve"/>
      <sheetName val="Gratuity"/>
      <sheetName val="Gratuity (funded)"/>
      <sheetName val="Sheet4"/>
      <sheetName val="Sheet2"/>
      <sheetName val="Sheet3"/>
      <sheetName val="Grouping"/>
    </sheetNames>
    <sheetDataSet>
      <sheetData sheetId="0"/>
      <sheetData sheetId="1"/>
      <sheetData sheetId="2"/>
      <sheetData sheetId="3" refreshError="1">
        <row r="21">
          <cell r="B21" t="str">
            <v>Under the PUC method a "projected accrued benefit" is calculated at the beginning of the period and again at the end of the period for each benefit that will accrue for all active members of the Plan.  The "projected accrued benefit" is based on the Plan'</v>
          </cell>
        </row>
        <row r="41">
          <cell r="B41" t="str">
            <v>Accounting Treatment is to be given at your end to the difference between the Net Liability as on 01.04.2007 as shown in the above report under Leave Encashment Plan and the corresponding provision made in your Balance Sheet as on 31.03.2007 in accordance</v>
          </cell>
        </row>
        <row r="43">
          <cell r="B43" t="str">
            <v>Accounting Treatment is to be given at your end to the difference between the Net Liability as on 01.04.2007 as shown in the above report under Gratuity Plan and the corresponding provision made in your Balance Sheet as on 31.03.2007 in accordance with th</v>
          </cell>
        </row>
      </sheetData>
      <sheetData sheetId="4"/>
      <sheetData sheetId="5"/>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sheetName val="P&amp;L"/>
      <sheetName val="NOTES "/>
      <sheetName val="FA"/>
      <sheetName val="Grouping"/>
      <sheetName val="AP"/>
      <sheetName val="Cashflow"/>
      <sheetName val="pro"/>
      <sheetName val="AS9 WL"/>
      <sheetName val="AS-9 LAVASA"/>
      <sheetName val="AS9 AANGAN"/>
      <sheetName val="COMP-IT "/>
      <sheetName val="Sheet1"/>
      <sheetName val="80IB"/>
      <sheetName val="Dev allo"/>
      <sheetName val="LIST NEW"/>
      <sheetName val="List"/>
      <sheetName val="Invest-ARVL"/>
      <sheetName val="GP chart"/>
      <sheetName val="GP old"/>
      <sheetName val="Def Tax"/>
      <sheetName val="AS 9 consideration"/>
      <sheetName val="JSPR BRANCH"/>
      <sheetName val="BRAMAHANANDA"/>
      <sheetName val="SONARI"/>
      <sheetName val="BWB BRANCH"/>
      <sheetName val="LAVASA"/>
      <sheetName val="PUNE BRANCH"/>
      <sheetName val="AANGAN"/>
      <sheetName val="Invest-Ahl"/>
      <sheetName val="DELHI"/>
      <sheetName val="PATNA"/>
      <sheetName val="JAIPUR"/>
      <sheetName val="GREEN HILL"/>
      <sheetName val="WIP CHART AWP "/>
      <sheetName val="ATC STOCK"/>
      <sheetName val="Treehouse"/>
    </sheetNames>
    <sheetDataSet>
      <sheetData sheetId="0" refreshError="1"/>
      <sheetData sheetId="1" refreshError="1"/>
      <sheetData sheetId="2" refreshError="1"/>
      <sheetData sheetId="3"/>
      <sheetData sheetId="4" refreshError="1">
        <row r="13">
          <cell r="B13" t="str">
            <v>Share Capital</v>
          </cell>
        </row>
        <row r="14">
          <cell r="B14" t="str">
            <v>Less: Cancelled on amalgamation</v>
          </cell>
        </row>
        <row r="19">
          <cell r="B19" t="str">
            <v>Capital Reserve</v>
          </cell>
        </row>
        <row r="21">
          <cell r="B21" t="str">
            <v>General Reserve:</v>
          </cell>
        </row>
        <row r="22">
          <cell r="B22" t="str">
            <v>As per last Balance Sheet</v>
          </cell>
        </row>
        <row r="23">
          <cell r="B23" t="str">
            <v>Add: Dividend</v>
          </cell>
        </row>
        <row r="24">
          <cell r="B24" t="str">
            <v>Add : General Reserves on amalgamation</v>
          </cell>
        </row>
        <row r="25">
          <cell r="B25" t="str">
            <v>Add : Transfer from Profit &amp; Loss A/c</v>
          </cell>
        </row>
        <row r="28">
          <cell r="B28" t="str">
            <v>Securities Premium Account</v>
          </cell>
        </row>
        <row r="31">
          <cell r="B31" t="str">
            <v>Profit &amp; Loss Account</v>
          </cell>
        </row>
        <row r="37">
          <cell r="B37" t="str">
            <v>Term Loan</v>
          </cell>
        </row>
        <row r="38">
          <cell r="B38" t="str">
            <v>SECURED LOANS</v>
          </cell>
        </row>
        <row r="39">
          <cell r="B39" t="str">
            <v>Project Loan</v>
          </cell>
        </row>
        <row r="40">
          <cell r="B40" t="str">
            <v>Project loan with Banks</v>
          </cell>
        </row>
        <row r="41">
          <cell r="B41" t="str">
            <v>Project loan with others</v>
          </cell>
        </row>
        <row r="44">
          <cell r="B44" t="str">
            <v>Working Capital Loan</v>
          </cell>
        </row>
        <row r="45">
          <cell r="B45" t="str">
            <v>WC laon with Banks</v>
          </cell>
        </row>
        <row r="46">
          <cell r="B46" t="str">
            <v>WC loan with others</v>
          </cell>
        </row>
        <row r="49">
          <cell r="B49" t="str">
            <v>Vehicle Loan</v>
          </cell>
        </row>
        <row r="50">
          <cell r="B50" t="str">
            <v>Vehicle loan with Banks</v>
          </cell>
        </row>
        <row r="51">
          <cell r="B51" t="str">
            <v>Vehicle loan with others</v>
          </cell>
        </row>
        <row r="55">
          <cell r="B55" t="str">
            <v>Less : Installement falling due with in next 12 months</v>
          </cell>
        </row>
        <row r="60">
          <cell r="B60" t="str">
            <v>From Body Corporates</v>
          </cell>
        </row>
        <row r="61">
          <cell r="B61" t="str">
            <v>Spectrum Commercial Pvt Limited</v>
          </cell>
        </row>
        <row r="67">
          <cell r="B67" t="str">
            <v>Opening B/f</v>
          </cell>
        </row>
        <row r="68">
          <cell r="B68" t="str">
            <v>Provided for the year</v>
          </cell>
        </row>
        <row r="73">
          <cell r="B73" t="str">
            <v>Deposit from Tree House Members</v>
          </cell>
        </row>
        <row r="74">
          <cell r="B74" t="str">
            <v>Lease Rent Deposit</v>
          </cell>
        </row>
        <row r="79">
          <cell r="B79" t="str">
            <v>Provision for Gratutity</v>
          </cell>
        </row>
        <row r="83">
          <cell r="B83" t="str">
            <v>Customer Advances</v>
          </cell>
        </row>
        <row r="84">
          <cell r="B84" t="str">
            <v>EMI Discount</v>
          </cell>
        </row>
        <row r="89">
          <cell r="B89" t="str">
            <v>SUNDRY CREDITORS</v>
          </cell>
        </row>
        <row r="95">
          <cell r="B95" t="str">
            <v>Current Maturities of Long Term Debt</v>
          </cell>
        </row>
        <row r="96">
          <cell r="B96" t="str">
            <v>Interest accrued but not due on borrowings</v>
          </cell>
        </row>
        <row r="97">
          <cell r="B97" t="str">
            <v>Interest accrued but not due on borrowings</v>
          </cell>
        </row>
        <row r="100">
          <cell r="B100" t="str">
            <v>UNCLAIMED DIVIDEND</v>
          </cell>
        </row>
        <row r="106">
          <cell r="B106" t="str">
            <v>SECURITY DEPOSITS</v>
          </cell>
        </row>
        <row r="108">
          <cell r="B108" t="str">
            <v>Security Deposit Received - list</v>
          </cell>
        </row>
        <row r="111">
          <cell r="B111" t="str">
            <v>Service Tax Payable</v>
          </cell>
        </row>
        <row r="114">
          <cell r="B114" t="str">
            <v>Retention Money from Contractors</v>
          </cell>
        </row>
        <row r="118">
          <cell r="B118" t="str">
            <v>DUE TO SUBSIDIARY COMPANY</v>
          </cell>
        </row>
        <row r="119">
          <cell r="B119" t="str">
            <v>Vatika Marketing Ltd</v>
          </cell>
        </row>
        <row r="123">
          <cell r="B123" t="str">
            <v>OTHER LIABILITIES</v>
          </cell>
        </row>
        <row r="125">
          <cell r="B125" t="str">
            <v>Outstanding Expenses</v>
          </cell>
        </row>
        <row r="126">
          <cell r="B126" t="str">
            <v>Other Expenses Payable</v>
          </cell>
        </row>
        <row r="127">
          <cell r="B127" t="str">
            <v>Director Sitting Fees</v>
          </cell>
        </row>
        <row r="128">
          <cell r="B128" t="str">
            <v xml:space="preserve">PF Payable </v>
          </cell>
        </row>
        <row r="129">
          <cell r="B129" t="str">
            <v>Wealth Tax payable</v>
          </cell>
        </row>
        <row r="130">
          <cell r="B130" t="str">
            <v>Vat Payable</v>
          </cell>
        </row>
        <row r="131">
          <cell r="B131" t="str">
            <v>Luxury tax Payable</v>
          </cell>
        </row>
        <row r="132">
          <cell r="B132" t="str">
            <v>Wages Payable</v>
          </cell>
        </row>
        <row r="133">
          <cell r="B133" t="str">
            <v>Incentive Payable</v>
          </cell>
        </row>
        <row r="134">
          <cell r="B134" t="str">
            <v>Advertisement Expenses Payable</v>
          </cell>
        </row>
        <row r="135">
          <cell r="B135" t="str">
            <v>Telephone Expenses Payable</v>
          </cell>
        </row>
        <row r="136">
          <cell r="B136" t="str">
            <v>Director Remmuneration Payable</v>
          </cell>
        </row>
        <row r="137">
          <cell r="B137" t="str">
            <v>Rent Payabale</v>
          </cell>
        </row>
        <row r="138">
          <cell r="B138" t="str">
            <v>Electricity Payable</v>
          </cell>
        </row>
        <row r="139">
          <cell r="B139" t="str">
            <v>Audit Fees Payable</v>
          </cell>
        </row>
        <row r="140">
          <cell r="B140" t="str">
            <v>Salary Payable - Others</v>
          </cell>
        </row>
        <row r="141">
          <cell r="B141" t="str">
            <v>Bonus Payable</v>
          </cell>
        </row>
        <row r="142">
          <cell r="B142" t="str">
            <v>LTA Payable</v>
          </cell>
        </row>
        <row r="143">
          <cell r="B143" t="str">
            <v>Medical Reimbursement Payable</v>
          </cell>
        </row>
        <row r="146">
          <cell r="B146" t="str">
            <v>Refundabale Against Cancellation</v>
          </cell>
        </row>
        <row r="149">
          <cell r="B149" t="str">
            <v>Unclaimed Wages &amp; Incentives</v>
          </cell>
        </row>
        <row r="151">
          <cell r="B151" t="str">
            <v>Temporary Overdraft</v>
          </cell>
        </row>
        <row r="152">
          <cell r="B152" t="str">
            <v>OD With Banks</v>
          </cell>
        </row>
        <row r="153">
          <cell r="B153" t="str">
            <v>OD With others</v>
          </cell>
        </row>
        <row r="156">
          <cell r="B156" t="str">
            <v>Other Liabilities</v>
          </cell>
        </row>
        <row r="159">
          <cell r="B159" t="str">
            <v>TDS Payable</v>
          </cell>
        </row>
        <row r="169">
          <cell r="B169" t="str">
            <v>I.T. Refundable</v>
          </cell>
        </row>
        <row r="170">
          <cell r="B170" t="str">
            <v>Asst. Year  1986-1987</v>
          </cell>
        </row>
        <row r="171">
          <cell r="B171" t="str">
            <v>Asst. Year  1993-1994</v>
          </cell>
        </row>
        <row r="172">
          <cell r="B172" t="str">
            <v>Asst. Year  1990-1991</v>
          </cell>
        </row>
        <row r="173">
          <cell r="B173" t="str">
            <v>Asst. Year  1990-1991</v>
          </cell>
        </row>
        <row r="175">
          <cell r="B175" t="str">
            <v>Total</v>
          </cell>
        </row>
        <row r="177">
          <cell r="B177" t="str">
            <v>TAXATION ADVANCES AND REFUNDABLE</v>
          </cell>
        </row>
        <row r="178">
          <cell r="B178" t="str">
            <v>TDS Receivable</v>
          </cell>
        </row>
        <row r="179">
          <cell r="B179" t="str">
            <v>Asst. Year  1990-1991- AHL</v>
          </cell>
        </row>
        <row r="180">
          <cell r="B180" t="str">
            <v>Asst. Year  2006-2007- AHL</v>
          </cell>
        </row>
        <row r="181">
          <cell r="B181" t="str">
            <v>Asst. Year  2007-2008- AHL</v>
          </cell>
        </row>
        <row r="182">
          <cell r="B182" t="str">
            <v>Asst. Year  2008-2009- AHL</v>
          </cell>
        </row>
        <row r="183">
          <cell r="B183" t="str">
            <v>Asst. Year  2009-2010-AHL</v>
          </cell>
        </row>
        <row r="184">
          <cell r="B184" t="str">
            <v>Asst. Year  2010-2011-AHL</v>
          </cell>
        </row>
        <row r="185">
          <cell r="B185" t="str">
            <v>Asst. Year  2011-2012-AHL</v>
          </cell>
        </row>
        <row r="186">
          <cell r="B186" t="str">
            <v>Asst. Year  2002-2003-AAL</v>
          </cell>
        </row>
        <row r="187">
          <cell r="B187" t="str">
            <v>Asst. Year  2003-2004-AAL</v>
          </cell>
        </row>
        <row r="188">
          <cell r="B188" t="str">
            <v>Asst. Year  2005-2006-AAL</v>
          </cell>
        </row>
        <row r="189">
          <cell r="B189" t="str">
            <v>Asst. Year  2006-2007-AAL</v>
          </cell>
        </row>
        <row r="190">
          <cell r="B190" t="str">
            <v>Asst. Year  2004-2005-ARVL</v>
          </cell>
        </row>
        <row r="191">
          <cell r="B191" t="str">
            <v>Asst. Year  2007-2008-ARVL</v>
          </cell>
        </row>
        <row r="192">
          <cell r="B192" t="str">
            <v>Asst. Year  2008-2009-ARVL</v>
          </cell>
        </row>
        <row r="193">
          <cell r="B193" t="str">
            <v>Asst. Year  2009-2010-ARVL</v>
          </cell>
        </row>
        <row r="194">
          <cell r="B194" t="str">
            <v>Asst. Year  2010-2011-ARVL</v>
          </cell>
        </row>
        <row r="198">
          <cell r="B198" t="str">
            <v>Advance Income Tax</v>
          </cell>
        </row>
        <row r="199">
          <cell r="B199" t="str">
            <v>Asst. Year  1990-1991</v>
          </cell>
        </row>
        <row r="200">
          <cell r="B200" t="str">
            <v>Asst. Year  2008-2009</v>
          </cell>
        </row>
        <row r="201">
          <cell r="B201" t="str">
            <v>Asst. Year  2009-2010</v>
          </cell>
        </row>
        <row r="202">
          <cell r="B202" t="str">
            <v>Asst. Year  2010-2011- AHL</v>
          </cell>
        </row>
        <row r="203">
          <cell r="B203" t="str">
            <v>Asst. Year  2010-2011- ARVL</v>
          </cell>
        </row>
        <row r="206">
          <cell r="B206" t="str">
            <v>Wealth Tax</v>
          </cell>
        </row>
        <row r="207">
          <cell r="B207" t="str">
            <v>Asst. Year  2010-2011</v>
          </cell>
        </row>
        <row r="211">
          <cell r="B211" t="str">
            <v>FOR TAXATION</v>
          </cell>
        </row>
        <row r="212">
          <cell r="B212" t="str">
            <v>Provision for Income Tax</v>
          </cell>
        </row>
        <row r="213">
          <cell r="B213" t="str">
            <v>Asst. Year  1990-1991</v>
          </cell>
        </row>
        <row r="214">
          <cell r="B214" t="str">
            <v>Asst. Year  2010-2011</v>
          </cell>
        </row>
        <row r="215">
          <cell r="B215" t="str">
            <v>Asst. Year  2011-2012</v>
          </cell>
        </row>
        <row r="218">
          <cell r="B218" t="str">
            <v>Provision for Wealth Tax</v>
          </cell>
        </row>
        <row r="219">
          <cell r="B219" t="str">
            <v>Asst. Year  2010-2011</v>
          </cell>
        </row>
        <row r="220">
          <cell r="B220" t="str">
            <v>Asst. Year  2011-2012</v>
          </cell>
        </row>
        <row r="224">
          <cell r="B224" t="str">
            <v>Net Taxation advance</v>
          </cell>
        </row>
        <row r="228">
          <cell r="B228" t="str">
            <v>Provision for proposed dividend</v>
          </cell>
        </row>
        <row r="231">
          <cell r="B231" t="str">
            <v>Provision for proposed dividend tax</v>
          </cell>
        </row>
        <row r="243">
          <cell r="B243" t="str">
            <v>Goodwill</v>
          </cell>
        </row>
        <row r="244">
          <cell r="B244" t="str">
            <v>Building</v>
          </cell>
        </row>
        <row r="245">
          <cell r="B245" t="str">
            <v>Plant &amp; Machinery</v>
          </cell>
        </row>
        <row r="246">
          <cell r="B246" t="str">
            <v>Furniture &amp; Fixtures</v>
          </cell>
        </row>
        <row r="247">
          <cell r="B247" t="str">
            <v>Electrical Installations</v>
          </cell>
        </row>
        <row r="248">
          <cell r="B248" t="str">
            <v>Computers</v>
          </cell>
        </row>
        <row r="249">
          <cell r="B249" t="str">
            <v>Office facilities &amp; equipments</v>
          </cell>
        </row>
        <row r="250">
          <cell r="B250" t="str">
            <v>Vehicles</v>
          </cell>
        </row>
        <row r="251">
          <cell r="B251" t="str">
            <v>Land</v>
          </cell>
        </row>
        <row r="254">
          <cell r="B254" t="str">
            <v>CAPITAL WORK-IN PROGRESS</v>
          </cell>
        </row>
        <row r="261">
          <cell r="B261" t="str">
            <v>Non- Current Investment</v>
          </cell>
        </row>
        <row r="262">
          <cell r="B262" t="str">
            <v xml:space="preserve"> Trade</v>
          </cell>
        </row>
        <row r="263">
          <cell r="B263" t="str">
            <v>Investment in capital of Partnership firms</v>
          </cell>
        </row>
        <row r="264">
          <cell r="B264" t="str">
            <v>Ashiana Amar Developers</v>
          </cell>
        </row>
        <row r="265">
          <cell r="B265" t="str">
            <v>Ashiana Amar Infrastructures</v>
          </cell>
        </row>
        <row r="266">
          <cell r="B266" t="str">
            <v>Ashiana Green Wood Developers</v>
          </cell>
        </row>
        <row r="267">
          <cell r="B267" t="str">
            <v>Ashiana Manglam Developers</v>
          </cell>
        </row>
        <row r="268">
          <cell r="B268" t="str">
            <v>NEEMRANA BUILDERS LLP</v>
          </cell>
        </row>
        <row r="269">
          <cell r="B269" t="str">
            <v>MG Home Craft LLP</v>
          </cell>
        </row>
        <row r="270">
          <cell r="B270" t="str">
            <v>Megha Colonizers</v>
          </cell>
        </row>
        <row r="271">
          <cell r="B271" t="str">
            <v>Investment in Immovable properties</v>
          </cell>
        </row>
        <row r="272">
          <cell r="B272" t="str">
            <v>Investment in Equity Funds</v>
          </cell>
        </row>
        <row r="273">
          <cell r="B273" t="str">
            <v>Investment in Debt Funds</v>
          </cell>
        </row>
        <row r="274">
          <cell r="B274" t="str">
            <v>Topwell Projects Consultants P. Ltd.- Debenture</v>
          </cell>
        </row>
        <row r="275">
          <cell r="B275" t="str">
            <v>Investment in Shares</v>
          </cell>
        </row>
        <row r="276">
          <cell r="B276" t="str">
            <v>Provision for Diminution in value of current investment</v>
          </cell>
        </row>
        <row r="278">
          <cell r="B278" t="str">
            <v>Current Investment</v>
          </cell>
        </row>
        <row r="279">
          <cell r="B279" t="str">
            <v>Investment in Liquid Funds</v>
          </cell>
        </row>
        <row r="280">
          <cell r="B280" t="str">
            <v>Investment in FMPs</v>
          </cell>
        </row>
        <row r="286">
          <cell r="B286" t="str">
            <v>STOCK</v>
          </cell>
        </row>
        <row r="288">
          <cell r="B288" t="str">
            <v>LEASEHOLD LAND</v>
          </cell>
        </row>
        <row r="289">
          <cell r="B289" t="str">
            <v>Less: Ongoing Project Adjustment</v>
          </cell>
        </row>
        <row r="290">
          <cell r="B290" t="str">
            <v>Opening Balance</v>
          </cell>
        </row>
        <row r="291">
          <cell r="B291" t="str">
            <v xml:space="preserve">Reversal of Current year </v>
          </cell>
        </row>
        <row r="292">
          <cell r="B292" t="str">
            <v xml:space="preserve">Addition of Current year </v>
          </cell>
        </row>
        <row r="295">
          <cell r="B295" t="str">
            <v>FREEHOLD LAND</v>
          </cell>
        </row>
        <row r="296">
          <cell r="B296" t="str">
            <v>Less: Ongoing Project Adjustment</v>
          </cell>
        </row>
        <row r="297">
          <cell r="B297" t="str">
            <v>Opening Balance</v>
          </cell>
        </row>
        <row r="298">
          <cell r="B298" t="str">
            <v xml:space="preserve">Reversal of Current year </v>
          </cell>
        </row>
        <row r="299">
          <cell r="B299" t="str">
            <v xml:space="preserve">Addition of Current year </v>
          </cell>
        </row>
        <row r="303">
          <cell r="B303" t="str">
            <v>UNSOLD COMPLETED CONSTRUCTION</v>
          </cell>
        </row>
        <row r="304">
          <cell r="B304" t="str">
            <v>Less: Ongoing Project Adjustment</v>
          </cell>
        </row>
        <row r="305">
          <cell r="B305" t="str">
            <v>Opening Balance</v>
          </cell>
        </row>
        <row r="306">
          <cell r="B306" t="str">
            <v xml:space="preserve">Reversal of Current year </v>
          </cell>
        </row>
        <row r="307">
          <cell r="B307" t="str">
            <v xml:space="preserve">Addition of Current year </v>
          </cell>
        </row>
        <row r="311">
          <cell r="B311" t="str">
            <v>WORK IN PROGRESS</v>
          </cell>
        </row>
        <row r="312">
          <cell r="B312" t="str">
            <v>Less: Ongoing Project Adjustment</v>
          </cell>
        </row>
        <row r="313">
          <cell r="B313" t="str">
            <v>Opening Balance</v>
          </cell>
        </row>
        <row r="314">
          <cell r="B314" t="str">
            <v xml:space="preserve">Reversal of Current year </v>
          </cell>
        </row>
        <row r="315">
          <cell r="B315" t="str">
            <v xml:space="preserve">Addition of Current year </v>
          </cell>
        </row>
        <row r="319">
          <cell r="B319" t="str">
            <v>Construction Materials and Other Materials</v>
          </cell>
        </row>
        <row r="323">
          <cell r="B323" t="str">
            <v>Stores</v>
          </cell>
        </row>
        <row r="332">
          <cell r="B332" t="str">
            <v>More than six months (LIST 4)</v>
          </cell>
        </row>
        <row r="334">
          <cell r="B334" t="str">
            <v>Less than six months (LIST 4A)</v>
          </cell>
        </row>
        <row r="340">
          <cell r="B340" t="str">
            <v>Cash in hand</v>
          </cell>
        </row>
        <row r="343">
          <cell r="B343" t="str">
            <v>Cheques in hand</v>
          </cell>
        </row>
        <row r="346">
          <cell r="B346" t="str">
            <v>Current Account Balances</v>
          </cell>
        </row>
        <row r="349">
          <cell r="B349" t="str">
            <v>Unclaimed Dividend Account</v>
          </cell>
        </row>
        <row r="352">
          <cell r="B352" t="str">
            <v xml:space="preserve">Fixed Deposit </v>
          </cell>
        </row>
        <row r="360">
          <cell r="B360" t="str">
            <v>Ongoing Projects - Adjustment Account</v>
          </cell>
        </row>
        <row r="361">
          <cell r="B361" t="str">
            <v>Opening Balance</v>
          </cell>
        </row>
        <row r="362">
          <cell r="B362" t="str">
            <v>Less: Reversal of Current year</v>
          </cell>
        </row>
        <row r="363">
          <cell r="B363" t="str">
            <v xml:space="preserve">Add: Addition of Current year </v>
          </cell>
        </row>
        <row r="368">
          <cell r="B368" t="str">
            <v>LOANS TO SUBSIDIARY COMPANY</v>
          </cell>
        </row>
        <row r="369">
          <cell r="B369" t="str">
            <v>Latest Developers Advisory Ltd</v>
          </cell>
        </row>
        <row r="372">
          <cell r="B372" t="str">
            <v>LOANS TO OTHERS</v>
          </cell>
        </row>
        <row r="376">
          <cell r="B376" t="str">
            <v>ADVANCE AGAINST LAND/BUILDING PURCHASE</v>
          </cell>
        </row>
        <row r="379">
          <cell r="B379" t="str">
            <v>ADVANCE RECOVERABLE IN CASH OR IN KIND</v>
          </cell>
        </row>
        <row r="380">
          <cell r="B380" t="str">
            <v>OR VALUE TO BE RECEIVED</v>
          </cell>
        </row>
        <row r="381">
          <cell r="B381" t="str">
            <v>Advance Against Expenses</v>
          </cell>
        </row>
        <row r="382">
          <cell r="B382" t="str">
            <v>Loans &amp; Advance to Staff</v>
          </cell>
        </row>
        <row r="383">
          <cell r="B383" t="str">
            <v>Advance to Parties</v>
          </cell>
        </row>
        <row r="384">
          <cell r="B384" t="str">
            <v>Prepaid Expenses</v>
          </cell>
        </row>
        <row r="385">
          <cell r="B385" t="str">
            <v>Subsidy of Solar System receivable</v>
          </cell>
        </row>
        <row r="386">
          <cell r="B386" t="str">
            <v>Interest Receivable</v>
          </cell>
        </row>
        <row r="387">
          <cell r="B387" t="str">
            <v>Unaccrued Commission</v>
          </cell>
        </row>
        <row r="388">
          <cell r="B388" t="str">
            <v>Unaccrued Compensation on cancellation</v>
          </cell>
        </row>
        <row r="389">
          <cell r="B389" t="str">
            <v>Service Tax credit unacrued</v>
          </cell>
        </row>
        <row r="390">
          <cell r="B390" t="str">
            <v>Service Tax paid under protest</v>
          </cell>
        </row>
        <row r="391">
          <cell r="B391" t="str">
            <v>Advance/Duty/Penalty Under Protest</v>
          </cell>
        </row>
        <row r="398">
          <cell r="B398" t="str">
            <v>DEPOSITS (DR.)</v>
          </cell>
        </row>
        <row r="399">
          <cell r="B399" t="str">
            <v>Security deposit with others</v>
          </cell>
        </row>
        <row r="406">
          <cell r="B406" t="str">
            <v>Delhi</v>
          </cell>
        </row>
        <row r="407">
          <cell r="B407" t="str">
            <v>HO</v>
          </cell>
        </row>
        <row r="408">
          <cell r="B408" t="str">
            <v>CSR</v>
          </cell>
        </row>
        <row r="409">
          <cell r="B409" t="str">
            <v>Jamshedpur</v>
          </cell>
        </row>
        <row r="410">
          <cell r="B410" t="str">
            <v>Pune</v>
          </cell>
        </row>
        <row r="411">
          <cell r="B411" t="str">
            <v>Patna</v>
          </cell>
        </row>
        <row r="412">
          <cell r="B412" t="str">
            <v>Jaipur</v>
          </cell>
        </row>
        <row r="413">
          <cell r="B413" t="str">
            <v>Project</v>
          </cell>
        </row>
        <row r="414">
          <cell r="B414" t="str">
            <v>Bhiwadi</v>
          </cell>
        </row>
        <row r="415">
          <cell r="B415" t="str">
            <v>Treehouse</v>
          </cell>
        </row>
        <row r="416">
          <cell r="B416" t="str">
            <v>Kolkata</v>
          </cell>
        </row>
        <row r="422">
          <cell r="B422" t="str">
            <v>Eligible Projects U/s 80IB of the Income Tax Act, 1961</v>
          </cell>
        </row>
        <row r="423">
          <cell r="B423" t="str">
            <v>Old Projects</v>
          </cell>
        </row>
        <row r="424">
          <cell r="B424" t="str">
            <v xml:space="preserve">       Ashiana Utsav Phase-II</v>
          </cell>
        </row>
        <row r="425">
          <cell r="B425" t="str">
            <v xml:space="preserve">       Ashiana Utsav Phase-III</v>
          </cell>
        </row>
        <row r="426">
          <cell r="B426" t="str">
            <v xml:space="preserve">       Ashiana Residency Greens</v>
          </cell>
        </row>
        <row r="427">
          <cell r="B427" t="str">
            <v xml:space="preserve">       Ashiana Woodland Phase - I</v>
          </cell>
        </row>
        <row r="428">
          <cell r="B428" t="str">
            <v xml:space="preserve">       Ashiana Woodland Phase - II</v>
          </cell>
        </row>
        <row r="429">
          <cell r="B429" t="str">
            <v>Less: Ongoing Projects Completed (Upon delivery of physical possession)</v>
          </cell>
        </row>
        <row r="431">
          <cell r="B431" t="str">
            <v>New Projects</v>
          </cell>
        </row>
        <row r="432">
          <cell r="B432" t="str">
            <v>Sale Value</v>
          </cell>
        </row>
        <row r="433">
          <cell r="B433" t="str">
            <v>Phase I</v>
          </cell>
        </row>
        <row r="434">
          <cell r="B434" t="str">
            <v>Phase II</v>
          </cell>
        </row>
        <row r="435">
          <cell r="B435" t="str">
            <v>Phase III</v>
          </cell>
        </row>
        <row r="436">
          <cell r="B436" t="str">
            <v>Phase IV</v>
          </cell>
        </row>
        <row r="437">
          <cell r="B437" t="str">
            <v>Phase V</v>
          </cell>
        </row>
        <row r="438">
          <cell r="B438" t="str">
            <v>Phase VI</v>
          </cell>
        </row>
        <row r="439">
          <cell r="B439" t="str">
            <v>Phase VII</v>
          </cell>
        </row>
        <row r="440">
          <cell r="B440" t="str">
            <v>Less: Ongoing Projects Completed (Upon delivery of physical possession)</v>
          </cell>
        </row>
        <row r="441">
          <cell r="B441" t="str">
            <v>Phase I</v>
          </cell>
        </row>
        <row r="442">
          <cell r="B442" t="str">
            <v>Phase II</v>
          </cell>
        </row>
        <row r="443">
          <cell r="B443" t="str">
            <v>Phase III</v>
          </cell>
        </row>
        <row r="444">
          <cell r="B444" t="str">
            <v>Phase IV</v>
          </cell>
        </row>
        <row r="445">
          <cell r="B445" t="str">
            <v>Phase V</v>
          </cell>
        </row>
        <row r="446">
          <cell r="B446" t="str">
            <v>Phase VI</v>
          </cell>
        </row>
        <row r="447">
          <cell r="B447" t="str">
            <v>Phase VII</v>
          </cell>
        </row>
        <row r="450">
          <cell r="B450" t="str">
            <v>TOTAL SALES FROM COMPLETED PROJECTS (ELIGIBLE U/S  80IB)</v>
          </cell>
        </row>
        <row r="452">
          <cell r="B452" t="str">
            <v>Not Eligible Projects U/s 80IB of the Income Tax Act, 1961</v>
          </cell>
        </row>
        <row r="453">
          <cell r="B453" t="str">
            <v>Old Projects</v>
          </cell>
        </row>
        <row r="454">
          <cell r="B454" t="str">
            <v>Ashiana Trade Centre</v>
          </cell>
        </row>
        <row r="455">
          <cell r="B455" t="str">
            <v>Repurchased sale</v>
          </cell>
        </row>
        <row r="456">
          <cell r="B456" t="str">
            <v>Ashiana GARDEN PARKING</v>
          </cell>
        </row>
        <row r="457">
          <cell r="B457" t="str">
            <v>AIP SHOPS</v>
          </cell>
        </row>
        <row r="458">
          <cell r="B458" t="str">
            <v>Greens</v>
          </cell>
        </row>
        <row r="459">
          <cell r="B459" t="str">
            <v>Garden</v>
          </cell>
        </row>
        <row r="460">
          <cell r="B460" t="str">
            <v>Ashiana Bageecha</v>
          </cell>
        </row>
        <row r="461">
          <cell r="B461" t="str">
            <v>Ashiana Green Hills</v>
          </cell>
        </row>
        <row r="462">
          <cell r="B462" t="str">
            <v>Gulmohar</v>
          </cell>
        </row>
        <row r="463">
          <cell r="B463" t="str">
            <v>Ashiana Rangoli</v>
          </cell>
        </row>
        <row r="465">
          <cell r="B465" t="str">
            <v>New Projects</v>
          </cell>
        </row>
        <row r="466">
          <cell r="B466" t="str">
            <v>Sale Value</v>
          </cell>
        </row>
        <row r="467">
          <cell r="B467" t="str">
            <v>Phase I</v>
          </cell>
        </row>
        <row r="468">
          <cell r="B468" t="str">
            <v>Phase II</v>
          </cell>
        </row>
        <row r="469">
          <cell r="B469" t="str">
            <v>Phase III</v>
          </cell>
        </row>
        <row r="470">
          <cell r="B470" t="str">
            <v>Phase IV</v>
          </cell>
        </row>
        <row r="471">
          <cell r="B471" t="str">
            <v>Phase V</v>
          </cell>
        </row>
        <row r="472">
          <cell r="B472" t="str">
            <v>Phase VI</v>
          </cell>
        </row>
        <row r="473">
          <cell r="B473" t="str">
            <v>Phase VII</v>
          </cell>
        </row>
        <row r="474">
          <cell r="B474" t="str">
            <v>Less: Ongoing Projects Completed (Upon delivery of physical possession)</v>
          </cell>
        </row>
        <row r="475">
          <cell r="B475" t="str">
            <v>Phase I</v>
          </cell>
        </row>
        <row r="476">
          <cell r="B476" t="str">
            <v>Phase II</v>
          </cell>
        </row>
        <row r="477">
          <cell r="B477" t="str">
            <v>Phase III</v>
          </cell>
        </row>
        <row r="478">
          <cell r="B478" t="str">
            <v>Phase IV</v>
          </cell>
        </row>
        <row r="479">
          <cell r="B479" t="str">
            <v>Phase V</v>
          </cell>
        </row>
        <row r="480">
          <cell r="B480" t="str">
            <v>Phase VI</v>
          </cell>
        </row>
        <row r="481">
          <cell r="B481" t="str">
            <v>Phase VII</v>
          </cell>
        </row>
        <row r="484">
          <cell r="B484" t="str">
            <v>TOTAL SALES FROM COMPLETED PROJECTS (NOT ELIGIBLE U/S  80IB)</v>
          </cell>
        </row>
        <row r="486">
          <cell r="B486" t="str">
            <v>TOTAL SALES FROM COMPLETED PROJECTS</v>
          </cell>
        </row>
        <row r="489">
          <cell r="B489" t="str">
            <v>Eligible Projects U/s 80IB of the Income Tax Act, 1961</v>
          </cell>
        </row>
        <row r="490">
          <cell r="B490" t="str">
            <v>Phase I</v>
          </cell>
        </row>
        <row r="491">
          <cell r="B491" t="str">
            <v>Phase II</v>
          </cell>
        </row>
        <row r="492">
          <cell r="B492" t="str">
            <v>Phase III</v>
          </cell>
        </row>
        <row r="493">
          <cell r="B493" t="str">
            <v>Phase IV</v>
          </cell>
        </row>
        <row r="494">
          <cell r="B494" t="str">
            <v>Phase V</v>
          </cell>
        </row>
        <row r="495">
          <cell r="B495" t="str">
            <v>Phase VI</v>
          </cell>
        </row>
        <row r="496">
          <cell r="B496" t="str">
            <v>Phase VII</v>
          </cell>
        </row>
        <row r="498">
          <cell r="B498" t="str">
            <v>Not Eligible Projects U/s 80IB of the Income Tax Act, 1961</v>
          </cell>
        </row>
        <row r="499">
          <cell r="B499" t="str">
            <v>Phase I</v>
          </cell>
        </row>
        <row r="500">
          <cell r="B500" t="str">
            <v>Phase II</v>
          </cell>
        </row>
        <row r="501">
          <cell r="B501" t="str">
            <v>Phase III</v>
          </cell>
        </row>
        <row r="502">
          <cell r="B502" t="str">
            <v>Phase IV</v>
          </cell>
        </row>
        <row r="503">
          <cell r="B503" t="str">
            <v>Phase V</v>
          </cell>
        </row>
        <row r="504">
          <cell r="B504" t="str">
            <v>Phase VI</v>
          </cell>
        </row>
        <row r="505">
          <cell r="B505" t="str">
            <v>Phase VII</v>
          </cell>
        </row>
        <row r="508">
          <cell r="B508" t="str">
            <v>TOTAL SALES FROM ONGOING PROJECTS</v>
          </cell>
        </row>
        <row r="511">
          <cell r="B511" t="str">
            <v>Shops &amp; Others</v>
          </cell>
        </row>
        <row r="512">
          <cell r="B512" t="str">
            <v>Other Income</v>
          </cell>
        </row>
        <row r="515">
          <cell r="B515" t="str">
            <v>Rooms, Restaurant, Banquets and other services</v>
          </cell>
        </row>
        <row r="516">
          <cell r="B516" t="str">
            <v>Club Subscription</v>
          </cell>
        </row>
        <row r="517">
          <cell r="B517" t="str">
            <v>Room Sales</v>
          </cell>
        </row>
        <row r="518">
          <cell r="B518" t="str">
            <v>Restaurant</v>
          </cell>
        </row>
        <row r="519">
          <cell r="B519" t="str">
            <v>Other services</v>
          </cell>
        </row>
        <row r="520">
          <cell r="B520" t="str">
            <v>Discount &amp; Allowance</v>
          </cell>
        </row>
        <row r="526">
          <cell r="B526" t="str">
            <v>TOTAL SALES</v>
          </cell>
        </row>
        <row r="529">
          <cell r="B529" t="str">
            <v>Purchase Land</v>
          </cell>
        </row>
        <row r="530">
          <cell r="B530" t="str">
            <v>Purchase Flats</v>
          </cell>
        </row>
        <row r="533">
          <cell r="B533" t="str">
            <v>Consumption of Material</v>
          </cell>
        </row>
        <row r="534">
          <cell r="B534" t="str">
            <v>Wages &amp; Incentive</v>
          </cell>
        </row>
        <row r="535">
          <cell r="B535" t="str">
            <v>PRW Charges</v>
          </cell>
        </row>
        <row r="536">
          <cell r="B536" t="str">
            <v>Direct Project Expenses</v>
          </cell>
        </row>
        <row r="537">
          <cell r="B537" t="str">
            <v>Power &amp; fuel</v>
          </cell>
        </row>
        <row r="538">
          <cell r="B538" t="str">
            <v>Other Project related expenses</v>
          </cell>
        </row>
        <row r="541">
          <cell r="B541" t="str">
            <v>TOTAL DIRECT EXPENSES</v>
          </cell>
        </row>
        <row r="546">
          <cell r="B546" t="str">
            <v>Phase I</v>
          </cell>
        </row>
        <row r="547">
          <cell r="B547" t="str">
            <v>Phase II</v>
          </cell>
        </row>
        <row r="548">
          <cell r="B548" t="str">
            <v>Phase III</v>
          </cell>
        </row>
        <row r="549">
          <cell r="B549" t="str">
            <v>Phase IV</v>
          </cell>
        </row>
        <row r="550">
          <cell r="B550" t="str">
            <v>Phase V</v>
          </cell>
        </row>
        <row r="551">
          <cell r="B551" t="str">
            <v>Phase VI</v>
          </cell>
        </row>
        <row r="552">
          <cell r="B552" t="str">
            <v>Phase VII</v>
          </cell>
        </row>
        <row r="555">
          <cell r="B555" t="str">
            <v>Phase I</v>
          </cell>
        </row>
        <row r="556">
          <cell r="B556" t="str">
            <v>Phase II</v>
          </cell>
        </row>
        <row r="557">
          <cell r="B557" t="str">
            <v>Phase III</v>
          </cell>
        </row>
        <row r="558">
          <cell r="B558" t="str">
            <v>Phase IV</v>
          </cell>
        </row>
        <row r="559">
          <cell r="B559" t="str">
            <v>Phase V</v>
          </cell>
        </row>
        <row r="560">
          <cell r="B560" t="str">
            <v>Phase VI</v>
          </cell>
        </row>
        <row r="561">
          <cell r="B561" t="str">
            <v>Phase VII</v>
          </cell>
        </row>
        <row r="564">
          <cell r="B564" t="str">
            <v>Phase I</v>
          </cell>
        </row>
        <row r="565">
          <cell r="B565" t="str">
            <v>Phase II</v>
          </cell>
        </row>
        <row r="567">
          <cell r="B567" t="str">
            <v>TOTAL ONGOING PROJECT EXPENSE</v>
          </cell>
        </row>
        <row r="571">
          <cell r="B571" t="str">
            <v>Cost of consumables</v>
          </cell>
        </row>
        <row r="572">
          <cell r="B572" t="str">
            <v>Beverage</v>
          </cell>
        </row>
        <row r="573">
          <cell r="B573" t="str">
            <v>Cartage etc</v>
          </cell>
        </row>
        <row r="574">
          <cell r="B574" t="str">
            <v>Milk and bakery</v>
          </cell>
        </row>
        <row r="575">
          <cell r="B575" t="str">
            <v>Meat</v>
          </cell>
        </row>
        <row r="576">
          <cell r="B576" t="str">
            <v>Packing Expenses</v>
          </cell>
        </row>
        <row r="577">
          <cell r="B577" t="str">
            <v>vegetable</v>
          </cell>
        </row>
        <row r="578">
          <cell r="B578" t="str">
            <v>Grocerry</v>
          </cell>
        </row>
        <row r="579">
          <cell r="B579" t="str">
            <v>Linen and other Material</v>
          </cell>
        </row>
        <row r="580">
          <cell r="B580" t="str">
            <v>Chemical</v>
          </cell>
        </row>
        <row r="581">
          <cell r="B581" t="str">
            <v>House keeping Consumable</v>
          </cell>
        </row>
        <row r="583">
          <cell r="B583" t="str">
            <v>Personnel- Contractor fees</v>
          </cell>
        </row>
        <row r="584">
          <cell r="B584" t="str">
            <v>Contractor Fee</v>
          </cell>
        </row>
        <row r="586">
          <cell r="B586" t="str">
            <v>Power &amp; fuel</v>
          </cell>
        </row>
        <row r="587">
          <cell r="B587" t="str">
            <v>Fuel / Coal Exp/Heat</v>
          </cell>
        </row>
        <row r="590">
          <cell r="B590" t="str">
            <v>Other running expenses</v>
          </cell>
        </row>
        <row r="591">
          <cell r="B591" t="str">
            <v>Maintenance Charges - Vatika</v>
          </cell>
        </row>
        <row r="592">
          <cell r="B592" t="str">
            <v>Coolie &amp; Cartage</v>
          </cell>
        </row>
        <row r="593">
          <cell r="B593" t="str">
            <v>Security Guard Bill</v>
          </cell>
        </row>
        <row r="594">
          <cell r="B594" t="str">
            <v>Repair &amp; Maintenance - Building</v>
          </cell>
        </row>
        <row r="595">
          <cell r="B595" t="str">
            <v>Repair &amp; Maintenance- Other</v>
          </cell>
        </row>
        <row r="596">
          <cell r="B596" t="str">
            <v>Banqueting Expenses</v>
          </cell>
        </row>
        <row r="597">
          <cell r="B597" t="str">
            <v>Coaching Expenses</v>
          </cell>
        </row>
        <row r="598">
          <cell r="B598" t="str">
            <v>Cable Expenses</v>
          </cell>
        </row>
        <row r="599">
          <cell r="B599" t="str">
            <v>Revenue Sharing - AHL</v>
          </cell>
        </row>
        <row r="600">
          <cell r="B600" t="str">
            <v>Management Fees Exp.- Karma / IHP</v>
          </cell>
        </row>
        <row r="601">
          <cell r="B601" t="str">
            <v>Dry-cleaning and laundry Expenses</v>
          </cell>
        </row>
        <row r="605">
          <cell r="B605" t="str">
            <v>TOTAL HOTEL &amp; CLUB RUNNING EXPS</v>
          </cell>
        </row>
        <row r="609">
          <cell r="B609" t="str">
            <v>Interest Income</v>
          </cell>
        </row>
        <row r="610">
          <cell r="B610" t="str">
            <v>INTEREST ON FDR</v>
          </cell>
        </row>
        <row r="611">
          <cell r="B611" t="str">
            <v>INTEREST INCOME ON LOAN</v>
          </cell>
        </row>
        <row r="612">
          <cell r="B612" t="str">
            <v>INTEREST FROM CUSTOMER</v>
          </cell>
        </row>
        <row r="613">
          <cell r="B613" t="str">
            <v>INTEREST ON IT REFUND</v>
          </cell>
        </row>
        <row r="616">
          <cell r="B616" t="str">
            <v>Income from Investment - Rent</v>
          </cell>
        </row>
        <row r="617">
          <cell r="B617" t="str">
            <v>RENT INCOME - LAND &amp; BUILDING</v>
          </cell>
        </row>
        <row r="619">
          <cell r="B619" t="str">
            <v>DIVIDEND INCOME</v>
          </cell>
        </row>
        <row r="621">
          <cell r="B621" t="str">
            <v>PROFIT/LOSS ON SALE OF INVESTMENT</v>
          </cell>
        </row>
        <row r="624">
          <cell r="B624" t="str">
            <v>Rent and hire charges</v>
          </cell>
        </row>
        <row r="625">
          <cell r="B625" t="str">
            <v>RENT INCOME - OTHERS</v>
          </cell>
        </row>
        <row r="626">
          <cell r="B626" t="str">
            <v>HIRE CHARGES INCOME</v>
          </cell>
        </row>
        <row r="628">
          <cell r="B628" t="str">
            <v>Fee And Subscription</v>
          </cell>
        </row>
        <row r="629">
          <cell r="B629" t="str">
            <v>Membership Subscription</v>
          </cell>
        </row>
        <row r="630">
          <cell r="B630" t="str">
            <v>Management Deposit Amortise</v>
          </cell>
        </row>
        <row r="632">
          <cell r="B632" t="str">
            <v>Miscellaneous Income</v>
          </cell>
        </row>
        <row r="633">
          <cell r="B633" t="str">
            <v>DOCUMENTATION CHARGES</v>
          </cell>
        </row>
        <row r="634">
          <cell r="B634" t="str">
            <v>TRANSFER CHARGES</v>
          </cell>
        </row>
        <row r="635">
          <cell r="B635" t="str">
            <v>HOLDING CHARGES</v>
          </cell>
        </row>
        <row r="636">
          <cell r="B636" t="str">
            <v>Management Fees- Rangoli</v>
          </cell>
        </row>
        <row r="637">
          <cell r="B637" t="str">
            <v>Diminution in Value on Investment</v>
          </cell>
        </row>
        <row r="638">
          <cell r="B638" t="str">
            <v>CANCELLATION CHARGES</v>
          </cell>
        </row>
        <row r="640">
          <cell r="B640" t="str">
            <v>Profit/Loss on sale of Fixed Assets</v>
          </cell>
        </row>
        <row r="642">
          <cell r="B642" t="str">
            <v>Share of Profit from Partnership</v>
          </cell>
        </row>
        <row r="645">
          <cell r="B645" t="str">
            <v>Liabilities Written Back</v>
          </cell>
        </row>
        <row r="648">
          <cell r="B648" t="str">
            <v>TOTAL OTHER INCOME</v>
          </cell>
        </row>
        <row r="654">
          <cell r="B654" t="str">
            <v>Salary, Wages, bonus and allowances</v>
          </cell>
        </row>
        <row r="655">
          <cell r="B655" t="str">
            <v>SALARY</v>
          </cell>
        </row>
        <row r="656">
          <cell r="B656" t="str">
            <v>HOUSE RENT ALLOWANCE</v>
          </cell>
        </row>
        <row r="657">
          <cell r="B657" t="str">
            <v>CHILDREN EDUCATION ALLOWANCE</v>
          </cell>
        </row>
        <row r="658">
          <cell r="B658" t="str">
            <v>CITY COMPENSETORY ALLOWANCE</v>
          </cell>
        </row>
        <row r="659">
          <cell r="B659" t="str">
            <v>TRANSPORT ALLOWANCE</v>
          </cell>
        </row>
        <row r="660">
          <cell r="B660" t="str">
            <v>SPECIAL ALLOWANCE</v>
          </cell>
        </row>
        <row r="661">
          <cell r="B661" t="str">
            <v>LEAVE TRAVEL ALLOWANCE</v>
          </cell>
        </row>
        <row r="662">
          <cell r="B662" t="str">
            <v>RELOCATION ALLOWANCE</v>
          </cell>
        </row>
        <row r="663">
          <cell r="B663" t="str">
            <v>LEAVE ENCASHMENT</v>
          </cell>
        </row>
        <row r="664">
          <cell r="B664" t="str">
            <v>BONUS</v>
          </cell>
        </row>
        <row r="665">
          <cell r="B665" t="str">
            <v>GRATUITY PROVIDED</v>
          </cell>
        </row>
        <row r="666">
          <cell r="B666" t="str">
            <v xml:space="preserve">GRATUITY PAID </v>
          </cell>
        </row>
        <row r="667">
          <cell r="B667" t="str">
            <v>GRATUITY PAID - Director</v>
          </cell>
        </row>
        <row r="668">
          <cell r="B668" t="str">
            <v>EXGRATIA</v>
          </cell>
        </row>
        <row r="669">
          <cell r="B669" t="str">
            <v>INCENTIVE TO STAFFS</v>
          </cell>
        </row>
        <row r="672">
          <cell r="B672" t="str">
            <v>Directors’ Commission</v>
          </cell>
        </row>
        <row r="673">
          <cell r="B673" t="str">
            <v>Directors’ Remuneration</v>
          </cell>
        </row>
        <row r="675">
          <cell r="B675" t="str">
            <v>Contribution to Provident &amp; Other Funds</v>
          </cell>
        </row>
        <row r="676">
          <cell r="B676" t="str">
            <v>PROVIDENT FUND EXPENSES</v>
          </cell>
        </row>
        <row r="677">
          <cell r="B677" t="str">
            <v>PF ADMIN CHARGES</v>
          </cell>
        </row>
        <row r="678">
          <cell r="B678" t="str">
            <v>PF PENSION</v>
          </cell>
        </row>
        <row r="679">
          <cell r="B679" t="str">
            <v>PF LINK INSURANCE CHARGES</v>
          </cell>
        </row>
        <row r="680">
          <cell r="B680" t="str">
            <v>EDLI ADMIN CHARGES</v>
          </cell>
        </row>
        <row r="683">
          <cell r="B683" t="str">
            <v>Staff &amp; Labour welfare expenses</v>
          </cell>
        </row>
        <row r="684">
          <cell r="B684" t="str">
            <v>UNIFORM EXPENSES</v>
          </cell>
        </row>
        <row r="685">
          <cell r="B685" t="str">
            <v>EXGRATIA</v>
          </cell>
        </row>
        <row r="686">
          <cell r="B686" t="str">
            <v>SCHOLARSHIP EXPENSES</v>
          </cell>
        </row>
        <row r="687">
          <cell r="B687" t="str">
            <v>MEDICAL EXPENSE</v>
          </cell>
        </row>
        <row r="688">
          <cell r="B688" t="str">
            <v>OTHER STAFF WELFARE EXPS.- OTHERS</v>
          </cell>
        </row>
        <row r="689">
          <cell r="B689" t="str">
            <v>TRAINING &amp; SEMINAR EXPENSES</v>
          </cell>
        </row>
        <row r="690">
          <cell r="B690" t="str">
            <v>MEDICAL REIMBURSEMENT</v>
          </cell>
        </row>
        <row r="693">
          <cell r="B693" t="str">
            <v>TOTAL EXPENSES ON EMPLOYEE</v>
          </cell>
        </row>
        <row r="695">
          <cell r="B695" t="str">
            <v>Rent</v>
          </cell>
        </row>
        <row r="696">
          <cell r="B696" t="str">
            <v>RENT</v>
          </cell>
        </row>
        <row r="697">
          <cell r="B697" t="str">
            <v>LEASE RENT</v>
          </cell>
        </row>
        <row r="698">
          <cell r="B698" t="str">
            <v>RENT FREE ACCOMODATIONS</v>
          </cell>
        </row>
        <row r="700">
          <cell r="B700" t="str">
            <v>Rates and Taxes</v>
          </cell>
        </row>
        <row r="701">
          <cell r="B701" t="str">
            <v>Municipal taxes</v>
          </cell>
        </row>
        <row r="702">
          <cell r="B702" t="str">
            <v>Others</v>
          </cell>
        </row>
        <row r="703">
          <cell r="B703" t="str">
            <v>Securities Transaction Tax</v>
          </cell>
        </row>
        <row r="705">
          <cell r="B705" t="str">
            <v>Insurance</v>
          </cell>
        </row>
        <row r="706">
          <cell r="B706" t="str">
            <v>INSURANCE PREMIUM</v>
          </cell>
        </row>
        <row r="708">
          <cell r="B708" t="str">
            <v>Travelling and Conveyance</v>
          </cell>
        </row>
        <row r="709">
          <cell r="B709" t="str">
            <v>TRAVELING EXPENSES</v>
          </cell>
        </row>
        <row r="710">
          <cell r="B710" t="str">
            <v>CONVEYANCE EXP.</v>
          </cell>
        </row>
        <row r="711">
          <cell r="B711" t="str">
            <v>EXPENSES FOR INTERNAL AUDITORS</v>
          </cell>
        </row>
        <row r="712">
          <cell r="B712" t="str">
            <v>AUDITORS EXPENSES</v>
          </cell>
        </row>
        <row r="713">
          <cell r="B713" t="str">
            <v>CONSULTANT/PROFESSIONALS REIMBURSEMENT</v>
          </cell>
        </row>
        <row r="714">
          <cell r="B714" t="str">
            <v>CONVEYANCE REIMBURSEMENT</v>
          </cell>
        </row>
        <row r="716">
          <cell r="B716" t="str">
            <v>Legal and Professional expenses</v>
          </cell>
        </row>
        <row r="717">
          <cell r="B717" t="str">
            <v>CONSULTANTS &amp; PROFESSIONAL FEES</v>
          </cell>
        </row>
        <row r="719">
          <cell r="B719" t="str">
            <v>Advertisement and Business Promotion</v>
          </cell>
        </row>
        <row r="720">
          <cell r="B720" t="str">
            <v>ADVERTISEMENT &amp; PUBLICITY</v>
          </cell>
        </row>
        <row r="721">
          <cell r="B721" t="str">
            <v>EXHIBITION EXPENSES</v>
          </cell>
        </row>
        <row r="722">
          <cell r="B722" t="str">
            <v>SPONSORSHIP FEES</v>
          </cell>
        </row>
        <row r="723">
          <cell r="B723" t="str">
            <v>BUSINESS PROMOTION</v>
          </cell>
        </row>
        <row r="724">
          <cell r="B724" t="str">
            <v>TRAVELLING &amp; CONVEYANCE EXP- CUSTOMER.</v>
          </cell>
        </row>
        <row r="725">
          <cell r="B725" t="str">
            <v>REFERRAL FEES</v>
          </cell>
        </row>
        <row r="726">
          <cell r="B726" t="str">
            <v>PROMOTIONAL GIFT/ GIFT VOUCHER</v>
          </cell>
        </row>
        <row r="729">
          <cell r="B729" t="str">
            <v>Commission</v>
          </cell>
        </row>
        <row r="731">
          <cell r="B731" t="str">
            <v>Telephone, Telex &amp; Fax</v>
          </cell>
        </row>
        <row r="732">
          <cell r="B732" t="str">
            <v>TELEPHONE</v>
          </cell>
        </row>
        <row r="733">
          <cell r="B733" t="str">
            <v>INTERNET/BROAD BAND</v>
          </cell>
        </row>
        <row r="734">
          <cell r="B734" t="str">
            <v>TELEPHONE REIMBURSEMENT</v>
          </cell>
        </row>
        <row r="735">
          <cell r="B735" t="str">
            <v>MOBILE EXPENSES</v>
          </cell>
        </row>
        <row r="737">
          <cell r="B737" t="str">
            <v>Printing &amp; Stationery</v>
          </cell>
        </row>
        <row r="738">
          <cell r="B738" t="str">
            <v>PRINTING &amp; STATIONARY</v>
          </cell>
        </row>
        <row r="739">
          <cell r="B739" t="str">
            <v>STAMP PAPER</v>
          </cell>
        </row>
        <row r="742">
          <cell r="B742" t="str">
            <v>Repairs and Maintenance :</v>
          </cell>
        </row>
        <row r="743">
          <cell r="B743" t="str">
            <v xml:space="preserve">  To Machineries</v>
          </cell>
        </row>
        <row r="744">
          <cell r="B744" t="str">
            <v>REPAIR &amp; MAINTENANCE -PLANT &amp; MACHINERY</v>
          </cell>
        </row>
        <row r="746">
          <cell r="B746" t="str">
            <v xml:space="preserve">  To Building</v>
          </cell>
        </row>
        <row r="747">
          <cell r="B747" t="str">
            <v>MAINTAINANCE CHARGES (STAFF ACCOMODATION)</v>
          </cell>
        </row>
        <row r="748">
          <cell r="B748" t="str">
            <v>REPAIR &amp; MAINTENANCE -BUILDING</v>
          </cell>
        </row>
        <row r="750">
          <cell r="B750" t="str">
            <v xml:space="preserve">  To Others</v>
          </cell>
        </row>
        <row r="751">
          <cell r="B751" t="str">
            <v>REPAIR &amp; MAINTENANCE -OFFICE EQUIPMENTS</v>
          </cell>
        </row>
        <row r="752">
          <cell r="B752" t="str">
            <v>REPAIR &amp; MAINTENANCE -OTHERS</v>
          </cell>
        </row>
        <row r="754">
          <cell r="B754" t="str">
            <v>Directors' Fees</v>
          </cell>
        </row>
        <row r="755">
          <cell r="B755" t="str">
            <v>DIRECTORS SITTING FEES</v>
          </cell>
        </row>
        <row r="758">
          <cell r="B758" t="str">
            <v>Auditors' Remuneration :</v>
          </cell>
        </row>
        <row r="759">
          <cell r="B759" t="str">
            <v xml:space="preserve">  For Statutory Audit</v>
          </cell>
        </row>
        <row r="760">
          <cell r="B760" t="str">
            <v>STATUTORY AUDIT FEES</v>
          </cell>
        </row>
        <row r="762">
          <cell r="B762" t="str">
            <v xml:space="preserve">  For Internal Audit </v>
          </cell>
        </row>
        <row r="763">
          <cell r="B763" t="str">
            <v>INTERNAL AUDIT FEES</v>
          </cell>
        </row>
        <row r="765">
          <cell r="B765" t="str">
            <v xml:space="preserve">  For Tax Audit</v>
          </cell>
        </row>
        <row r="766">
          <cell r="B766" t="str">
            <v>TAX AUDIT FESS</v>
          </cell>
        </row>
        <row r="768">
          <cell r="B768" t="str">
            <v xml:space="preserve">  For Other Services</v>
          </cell>
        </row>
        <row r="769">
          <cell r="B769" t="str">
            <v>FEES FOR OTHER SERVICES</v>
          </cell>
        </row>
        <row r="771">
          <cell r="B771" t="str">
            <v>Miscellaneous expenses</v>
          </cell>
        </row>
        <row r="772">
          <cell r="B772" t="str">
            <v>ELECTRICITY &amp; WATER</v>
          </cell>
        </row>
        <row r="773">
          <cell r="B773" t="str">
            <v>POSTAGE &amp; COURIER EXP</v>
          </cell>
        </row>
        <row r="774">
          <cell r="B774" t="str">
            <v>FESTIVAL &amp; PUJA EXPENSES</v>
          </cell>
        </row>
        <row r="775">
          <cell r="B775" t="str">
            <v>BANK CHARGES</v>
          </cell>
        </row>
        <row r="776">
          <cell r="B776" t="str">
            <v>CHARITY &amp; DONATIONS</v>
          </cell>
        </row>
        <row r="777">
          <cell r="B777" t="str">
            <v>MISC. EXPENSES</v>
          </cell>
        </row>
        <row r="778">
          <cell r="B778" t="str">
            <v>Establishment Charges</v>
          </cell>
        </row>
        <row r="779">
          <cell r="B779" t="str">
            <v xml:space="preserve">       Amalgamation Exp.</v>
          </cell>
        </row>
        <row r="780">
          <cell r="B780" t="str">
            <v xml:space="preserve">       Advisory Fees</v>
          </cell>
        </row>
        <row r="781">
          <cell r="B781" t="str">
            <v>Expenses - Completed Project</v>
          </cell>
        </row>
        <row r="782">
          <cell r="B782" t="str">
            <v>OFFICE EXPENSES</v>
          </cell>
        </row>
        <row r="783">
          <cell r="B783" t="str">
            <v>CONFERRENCE &amp; MEETING EXPENSES</v>
          </cell>
        </row>
        <row r="784">
          <cell r="B784" t="str">
            <v>COMPENSATION ON CANCELLATION</v>
          </cell>
        </row>
        <row r="785">
          <cell r="B785" t="str">
            <v>RECRUITMENT EXPENSES</v>
          </cell>
        </row>
        <row r="786">
          <cell r="B786" t="str">
            <v>BOOKS &amp; PERIODICALS</v>
          </cell>
        </row>
        <row r="787">
          <cell r="B787" t="str">
            <v>FEES &amp; MEMBERSHIP EXPENSES</v>
          </cell>
        </row>
        <row r="789">
          <cell r="B789" t="str">
            <v>Irrecoverable Balances Written off</v>
          </cell>
        </row>
        <row r="790">
          <cell r="B790" t="str">
            <v>BAD DEBTS WRITTEN OFF</v>
          </cell>
        </row>
        <row r="791">
          <cell r="B791" t="str">
            <v>SUNDRY BALANCES WRITTEN OFF</v>
          </cell>
        </row>
        <row r="793">
          <cell r="B793" t="str">
            <v>Fixed Assets Written Off</v>
          </cell>
        </row>
        <row r="794">
          <cell r="B794" t="str">
            <v>FIXED ASSETS WRITTEN OFF</v>
          </cell>
        </row>
        <row r="796">
          <cell r="B796" t="str">
            <v>Items relating to previous year (Net)</v>
          </cell>
        </row>
        <row r="797">
          <cell r="B797" t="str">
            <v>PRIOR PERIOD EXPENSES</v>
          </cell>
        </row>
        <row r="799">
          <cell r="B799" t="str">
            <v>Interest Expenses</v>
          </cell>
        </row>
        <row r="800">
          <cell r="B800" t="str">
            <v>INTEREST ON VEHICLE LOAN</v>
          </cell>
        </row>
        <row r="801">
          <cell r="B801" t="str">
            <v>INTEREST ON OD FACILITY</v>
          </cell>
        </row>
        <row r="802">
          <cell r="B802" t="str">
            <v>INTEREST ON PROOJECT LOAN</v>
          </cell>
        </row>
        <row r="803">
          <cell r="B803" t="str">
            <v>LOAN PROCESSING FEES</v>
          </cell>
        </row>
        <row r="804">
          <cell r="B804" t="str">
            <v>INTEREST ON Late TDS</v>
          </cell>
        </row>
        <row r="805">
          <cell r="B805" t="str">
            <v>INTEREST ON SERVICE TAX</v>
          </cell>
        </row>
        <row r="806">
          <cell r="B806" t="str">
            <v>OTHER INTERESTS</v>
          </cell>
        </row>
        <row r="809">
          <cell r="B809" t="str">
            <v>TOTAL OTHER EXPENSES</v>
          </cell>
        </row>
        <row r="814">
          <cell r="B814" t="str">
            <v>DEPRECIATION</v>
          </cell>
        </row>
        <row r="816">
          <cell r="B816" t="str">
            <v>EXTRA ORDINARY ITEMS</v>
          </cell>
        </row>
        <row r="817">
          <cell r="B817" t="str">
            <v>Add: Profit on sale of share</v>
          </cell>
        </row>
        <row r="819">
          <cell r="B819" t="str">
            <v>DEFERRED TAX</v>
          </cell>
        </row>
        <row r="822">
          <cell r="B822" t="str">
            <v>PROVISION FOR INCOME TAX/ WEALTH TAX</v>
          </cell>
        </row>
        <row r="825">
          <cell r="B825" t="str">
            <v>Wealth Tax adjustment</v>
          </cell>
        </row>
        <row r="826">
          <cell r="B826" t="str">
            <v>Asst. Year  2006-2007</v>
          </cell>
        </row>
        <row r="827">
          <cell r="B827" t="str">
            <v>Asst. Year  2007-2008</v>
          </cell>
        </row>
        <row r="828">
          <cell r="B828" t="str">
            <v>Asst. Year  2008-2009</v>
          </cell>
        </row>
        <row r="829">
          <cell r="B829" t="str">
            <v>Asst. Year  2009-2010</v>
          </cell>
        </row>
        <row r="832">
          <cell r="B832" t="str">
            <v>Income Tax adjustment</v>
          </cell>
        </row>
        <row r="833">
          <cell r="B833" t="str">
            <v>Asst. Year  2008-2009</v>
          </cell>
        </row>
        <row r="834">
          <cell r="B834" t="str">
            <v>Asst. Year  2009-2010 (Tr. Co. ARVL)</v>
          </cell>
        </row>
        <row r="835">
          <cell r="B835" t="str">
            <v>Asst. Year  2009-2010</v>
          </cell>
        </row>
        <row r="837">
          <cell r="B837" t="str">
            <v>Income Tax adjustment</v>
          </cell>
        </row>
        <row r="838">
          <cell r="B838" t="str">
            <v>Asst. Year  2008-2009</v>
          </cell>
        </row>
        <row r="839">
          <cell r="B839" t="str">
            <v>Asst. Year  2008-2009 (Tr. Co. ARVL)</v>
          </cell>
        </row>
        <row r="840">
          <cell r="B840" t="str">
            <v>Asst. Year  2009-2010</v>
          </cell>
        </row>
        <row r="841">
          <cell r="B841" t="str">
            <v>Asst. Year  2009-2010 (Tr. Co. ARVL)</v>
          </cell>
        </row>
        <row r="845">
          <cell r="B845" t="str">
            <v>DIVIDEND EXPENSES (including Tax)</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sheetName val="P&amp;L"/>
      <sheetName val="SCHE &amp; Details"/>
      <sheetName val="Sch-4 Dep"/>
      <sheetName val="Sch-5 Invest"/>
      <sheetName val="Sch-14 Abstract"/>
      <sheetName val="FBT"/>
      <sheetName val="Details"/>
      <sheetName val="14A"/>
      <sheetName val="Computation"/>
      <sheetName val="Dep IT"/>
      <sheetName val="Deferrd Tax"/>
      <sheetName val="M. Value"/>
      <sheetName val="Grouping"/>
    </sheetNames>
    <sheetDataSet>
      <sheetData sheetId="0"/>
      <sheetData sheetId="1"/>
      <sheetData sheetId="2"/>
      <sheetData sheetId="3">
        <row r="3">
          <cell r="A3" t="str">
            <v>SCHEDULES TO THE ACCOUNTS</v>
          </cell>
        </row>
        <row r="5">
          <cell r="A5" t="str">
            <v>SCHEDULE - 4</v>
          </cell>
        </row>
        <row r="7">
          <cell r="A7" t="str">
            <v>FIXED ASSETS</v>
          </cell>
        </row>
        <row r="9">
          <cell r="B9" t="str">
            <v xml:space="preserve">     GROSS BLOCK</v>
          </cell>
          <cell r="F9" t="str">
            <v xml:space="preserve">  DEPRECIATION</v>
          </cell>
          <cell r="J9" t="str">
            <v xml:space="preserve">           NET BLOCK</v>
          </cell>
        </row>
        <row r="10">
          <cell r="A10" t="str">
            <v>Particulars</v>
          </cell>
          <cell r="B10" t="str">
            <v>AS AT</v>
          </cell>
          <cell r="C10" t="str">
            <v>Addition</v>
          </cell>
          <cell r="D10" t="str">
            <v>AS AT</v>
          </cell>
          <cell r="E10" t="str">
            <v>Transfer</v>
          </cell>
          <cell r="F10" t="str">
            <v>UPTO</v>
          </cell>
          <cell r="G10" t="str">
            <v xml:space="preserve">Upon </v>
          </cell>
          <cell r="H10" t="str">
            <v>For  the</v>
          </cell>
          <cell r="I10" t="str">
            <v>UPTO</v>
          </cell>
          <cell r="J10" t="str">
            <v>AS AT</v>
          </cell>
          <cell r="K10" t="str">
            <v>AS AT</v>
          </cell>
        </row>
        <row r="11">
          <cell r="B11" t="str">
            <v>01.04.2005</v>
          </cell>
          <cell r="C11" t="str">
            <v>During The  Yr</v>
          </cell>
          <cell r="D11" t="str">
            <v>31.03.2006</v>
          </cell>
          <cell r="F11" t="str">
            <v>31.03.2005</v>
          </cell>
          <cell r="G11" t="str">
            <v>Amalgamation</v>
          </cell>
          <cell r="H11" t="str">
            <v>Year</v>
          </cell>
          <cell r="I11" t="str">
            <v>31.03.2006</v>
          </cell>
          <cell r="J11" t="str">
            <v>31.03.2006</v>
          </cell>
          <cell r="K11" t="str">
            <v>31.03.2005</v>
          </cell>
        </row>
        <row r="12">
          <cell r="B12" t="str">
            <v>Rs.</v>
          </cell>
          <cell r="C12" t="str">
            <v>Rs.</v>
          </cell>
          <cell r="D12" t="str">
            <v>Rs.</v>
          </cell>
          <cell r="F12" t="str">
            <v>Rs.</v>
          </cell>
          <cell r="H12" t="str">
            <v>Rs.</v>
          </cell>
          <cell r="I12" t="str">
            <v>Rs.</v>
          </cell>
          <cell r="J12" t="str">
            <v>Rs.</v>
          </cell>
          <cell r="K12" t="str">
            <v>Rs.</v>
          </cell>
        </row>
        <row r="14">
          <cell r="A14" t="str">
            <v>Computers</v>
          </cell>
          <cell r="B14">
            <v>112850</v>
          </cell>
          <cell r="C14">
            <v>0</v>
          </cell>
          <cell r="D14">
            <v>112850</v>
          </cell>
          <cell r="F14">
            <v>90121</v>
          </cell>
          <cell r="G14">
            <v>0</v>
          </cell>
          <cell r="H14">
            <v>9092</v>
          </cell>
          <cell r="I14">
            <v>99213</v>
          </cell>
          <cell r="J14">
            <v>13637</v>
          </cell>
          <cell r="K14">
            <v>22729</v>
          </cell>
        </row>
        <row r="16">
          <cell r="A16" t="str">
            <v>Furniture &amp; Fixtures</v>
          </cell>
          <cell r="B16">
            <v>11188</v>
          </cell>
          <cell r="C16">
            <v>0</v>
          </cell>
          <cell r="D16">
            <v>11188</v>
          </cell>
          <cell r="F16">
            <v>11188</v>
          </cell>
          <cell r="G16">
            <v>0</v>
          </cell>
          <cell r="H16" t="str">
            <v>-</v>
          </cell>
          <cell r="I16">
            <v>11188</v>
          </cell>
          <cell r="J16" t="str">
            <v>-</v>
          </cell>
          <cell r="K16" t="str">
            <v>-</v>
          </cell>
        </row>
        <row r="18">
          <cell r="A18" t="str">
            <v>Air Conditioners</v>
          </cell>
          <cell r="B18">
            <v>43500</v>
          </cell>
          <cell r="C18">
            <v>0</v>
          </cell>
          <cell r="D18">
            <v>43500</v>
          </cell>
          <cell r="F18">
            <v>15534</v>
          </cell>
          <cell r="G18">
            <v>0</v>
          </cell>
          <cell r="H18">
            <v>3890</v>
          </cell>
          <cell r="I18">
            <v>19424</v>
          </cell>
          <cell r="J18">
            <v>24076</v>
          </cell>
          <cell r="K18">
            <v>27966</v>
          </cell>
        </row>
        <row r="20">
          <cell r="A20" t="str">
            <v>Fogger Machine</v>
          </cell>
          <cell r="B20">
            <v>62440</v>
          </cell>
          <cell r="C20">
            <v>0</v>
          </cell>
          <cell r="D20">
            <v>62440</v>
          </cell>
          <cell r="F20">
            <v>17027</v>
          </cell>
          <cell r="G20">
            <v>0</v>
          </cell>
          <cell r="H20">
            <v>6317</v>
          </cell>
          <cell r="I20">
            <v>23344</v>
          </cell>
          <cell r="J20">
            <v>39096</v>
          </cell>
          <cell r="K20">
            <v>45413</v>
          </cell>
        </row>
        <row r="22">
          <cell r="A22" t="str">
            <v xml:space="preserve"> </v>
          </cell>
        </row>
        <row r="23">
          <cell r="A23" t="str">
            <v>Total</v>
          </cell>
          <cell r="B23">
            <v>229978</v>
          </cell>
          <cell r="C23">
            <v>0</v>
          </cell>
          <cell r="D23">
            <v>229978</v>
          </cell>
          <cell r="F23">
            <v>133870</v>
          </cell>
          <cell r="G23">
            <v>0</v>
          </cell>
          <cell r="H23">
            <v>19299</v>
          </cell>
          <cell r="I23">
            <v>153169</v>
          </cell>
          <cell r="J23">
            <v>76809</v>
          </cell>
          <cell r="K23">
            <v>0</v>
          </cell>
        </row>
        <row r="24">
          <cell r="A24" t="str">
            <v>Previous Year</v>
          </cell>
          <cell r="B24">
            <v>124038</v>
          </cell>
          <cell r="C24">
            <v>105940</v>
          </cell>
          <cell r="D24">
            <v>229978</v>
          </cell>
          <cell r="F24">
            <v>86157</v>
          </cell>
          <cell r="G24">
            <v>20704</v>
          </cell>
          <cell r="H24">
            <v>27009</v>
          </cell>
          <cell r="I24">
            <v>133870</v>
          </cell>
          <cell r="J24">
            <v>0</v>
          </cell>
          <cell r="K24">
            <v>96108</v>
          </cell>
        </row>
        <row r="32">
          <cell r="A32" t="str">
            <v>SCHEDULES TO THE ACCOUNTS</v>
          </cell>
        </row>
        <row r="34">
          <cell r="A34" t="str">
            <v>SCHEDULE - 4</v>
          </cell>
        </row>
        <row r="36">
          <cell r="A36" t="str">
            <v>FIXED ASSETS</v>
          </cell>
        </row>
        <row r="38">
          <cell r="B38" t="str">
            <v xml:space="preserve">     GROSS BLOCK</v>
          </cell>
          <cell r="F38" t="str">
            <v xml:space="preserve">  DEPRECIATION</v>
          </cell>
          <cell r="J38" t="str">
            <v xml:space="preserve">           NET BLOCK</v>
          </cell>
        </row>
        <row r="39">
          <cell r="A39" t="str">
            <v>Particulars</v>
          </cell>
          <cell r="B39" t="str">
            <v>AS AT</v>
          </cell>
          <cell r="C39" t="str">
            <v>Addition</v>
          </cell>
          <cell r="D39" t="str">
            <v>AS AT</v>
          </cell>
          <cell r="E39" t="str">
            <v>Transfer</v>
          </cell>
          <cell r="F39" t="str">
            <v>UPTO</v>
          </cell>
          <cell r="G39" t="str">
            <v xml:space="preserve">Upon </v>
          </cell>
          <cell r="H39" t="str">
            <v>For  the</v>
          </cell>
          <cell r="I39" t="str">
            <v>UPTO</v>
          </cell>
          <cell r="J39" t="str">
            <v>AS AT</v>
          </cell>
          <cell r="K39" t="str">
            <v>AS AT</v>
          </cell>
        </row>
        <row r="40">
          <cell r="B40" t="str">
            <v>01.04.2006</v>
          </cell>
          <cell r="C40" t="str">
            <v>During The  Yr</v>
          </cell>
          <cell r="D40" t="str">
            <v>31.03.2007</v>
          </cell>
          <cell r="F40" t="str">
            <v>31.03.2006</v>
          </cell>
          <cell r="G40" t="str">
            <v>Addition</v>
          </cell>
          <cell r="H40" t="str">
            <v>Year</v>
          </cell>
          <cell r="I40" t="str">
            <v>31.03.2007</v>
          </cell>
          <cell r="J40" t="str">
            <v>31.03.2007</v>
          </cell>
          <cell r="K40" t="str">
            <v>31.03.2006</v>
          </cell>
        </row>
        <row r="41">
          <cell r="B41" t="str">
            <v>Rs.</v>
          </cell>
          <cell r="C41" t="str">
            <v>Rs.</v>
          </cell>
          <cell r="D41" t="str">
            <v>Rs.</v>
          </cell>
          <cell r="F41" t="str">
            <v>Rs.</v>
          </cell>
          <cell r="H41" t="str">
            <v>Rs.</v>
          </cell>
          <cell r="I41" t="str">
            <v>Rs.</v>
          </cell>
          <cell r="J41" t="str">
            <v>Rs.</v>
          </cell>
          <cell r="K41" t="str">
            <v>Rs.</v>
          </cell>
        </row>
        <row r="43">
          <cell r="A43" t="str">
            <v>Computers</v>
          </cell>
          <cell r="B43">
            <v>112850</v>
          </cell>
          <cell r="C43">
            <v>2132</v>
          </cell>
          <cell r="D43">
            <v>114982</v>
          </cell>
          <cell r="F43">
            <v>99213</v>
          </cell>
          <cell r="G43">
            <v>0</v>
          </cell>
          <cell r="H43">
            <v>7587</v>
          </cell>
          <cell r="I43">
            <v>106800</v>
          </cell>
          <cell r="J43">
            <v>8182</v>
          </cell>
          <cell r="K43">
            <v>13637</v>
          </cell>
          <cell r="L43">
            <v>40</v>
          </cell>
        </row>
        <row r="45">
          <cell r="A45" t="str">
            <v>Office Equipment</v>
          </cell>
          <cell r="B45" t="str">
            <v>-</v>
          </cell>
          <cell r="C45">
            <v>115000</v>
          </cell>
          <cell r="D45">
            <v>115000</v>
          </cell>
          <cell r="F45" t="str">
            <v>-</v>
          </cell>
          <cell r="H45">
            <v>3024</v>
          </cell>
          <cell r="I45">
            <v>3024</v>
          </cell>
          <cell r="J45">
            <v>111976</v>
          </cell>
          <cell r="K45" t="str">
            <v>-</v>
          </cell>
        </row>
        <row r="47">
          <cell r="A47" t="str">
            <v>Furniture &amp; Fixtures</v>
          </cell>
          <cell r="B47">
            <v>11188</v>
          </cell>
          <cell r="C47">
            <v>0</v>
          </cell>
          <cell r="D47">
            <v>11188</v>
          </cell>
          <cell r="F47">
            <v>11188</v>
          </cell>
          <cell r="G47">
            <v>0</v>
          </cell>
          <cell r="H47" t="str">
            <v>-</v>
          </cell>
          <cell r="I47">
            <v>11188</v>
          </cell>
          <cell r="J47" t="str">
            <v>-</v>
          </cell>
          <cell r="K47" t="str">
            <v>-</v>
          </cell>
          <cell r="L47">
            <v>18.100000000000001</v>
          </cell>
        </row>
        <row r="49">
          <cell r="A49" t="str">
            <v>Air Conditioners</v>
          </cell>
          <cell r="B49">
            <v>43500</v>
          </cell>
          <cell r="C49">
            <v>630208</v>
          </cell>
          <cell r="D49">
            <v>673708</v>
          </cell>
          <cell r="F49">
            <v>19424</v>
          </cell>
          <cell r="G49">
            <v>0</v>
          </cell>
          <cell r="H49">
            <v>22563</v>
          </cell>
          <cell r="I49">
            <v>41987</v>
          </cell>
          <cell r="J49">
            <v>631721</v>
          </cell>
          <cell r="K49">
            <v>24076</v>
          </cell>
          <cell r="L49">
            <v>13.91</v>
          </cell>
        </row>
        <row r="51">
          <cell r="A51" t="str">
            <v>Fogger Machine</v>
          </cell>
          <cell r="B51">
            <v>62440</v>
          </cell>
          <cell r="C51">
            <v>0</v>
          </cell>
          <cell r="D51">
            <v>62440</v>
          </cell>
          <cell r="F51">
            <v>23344</v>
          </cell>
          <cell r="G51">
            <v>0</v>
          </cell>
          <cell r="H51">
            <v>5438.2536</v>
          </cell>
          <cell r="I51">
            <v>28782.2536</v>
          </cell>
          <cell r="J51">
            <v>33657.746400000004</v>
          </cell>
          <cell r="K51">
            <v>39096</v>
          </cell>
          <cell r="L51">
            <v>13.91</v>
          </cell>
        </row>
        <row r="53">
          <cell r="A53" t="str">
            <v xml:space="preserve"> </v>
          </cell>
        </row>
        <row r="54">
          <cell r="A54" t="str">
            <v>Total</v>
          </cell>
          <cell r="B54">
            <v>229978</v>
          </cell>
          <cell r="C54">
            <v>747340</v>
          </cell>
          <cell r="D54">
            <v>977318</v>
          </cell>
          <cell r="F54">
            <v>153169</v>
          </cell>
          <cell r="G54">
            <v>0</v>
          </cell>
          <cell r="H54">
            <v>38612.253599999996</v>
          </cell>
          <cell r="I54">
            <v>191781.2536</v>
          </cell>
          <cell r="J54">
            <v>785536.74640000006</v>
          </cell>
          <cell r="K54" t="str">
            <v>-</v>
          </cell>
        </row>
        <row r="55">
          <cell r="A55" t="str">
            <v>Previous Year</v>
          </cell>
          <cell r="B55">
            <v>229978</v>
          </cell>
          <cell r="C55" t="str">
            <v>-</v>
          </cell>
          <cell r="D55">
            <v>229978</v>
          </cell>
          <cell r="F55">
            <v>133870</v>
          </cell>
          <cell r="G55">
            <v>0</v>
          </cell>
          <cell r="H55">
            <v>19299</v>
          </cell>
          <cell r="I55">
            <v>153169</v>
          </cell>
          <cell r="J55" t="str">
            <v>-</v>
          </cell>
          <cell r="K55">
            <v>76809</v>
          </cell>
        </row>
        <row r="59">
          <cell r="G59" t="str">
            <v>Days</v>
          </cell>
          <cell r="H59" t="str">
            <v>Dep</v>
          </cell>
        </row>
        <row r="60">
          <cell r="B60" t="str">
            <v>Air Condition</v>
          </cell>
          <cell r="C60" t="str">
            <v>11.1.2007</v>
          </cell>
          <cell r="D60">
            <v>630208</v>
          </cell>
          <cell r="F60" t="str">
            <v>@13.91</v>
          </cell>
          <cell r="G60">
            <v>80</v>
          </cell>
          <cell r="H60">
            <v>19213.574312328765</v>
          </cell>
        </row>
        <row r="61">
          <cell r="C61" t="str">
            <v xml:space="preserve"> </v>
          </cell>
        </row>
        <row r="62">
          <cell r="B62" t="str">
            <v>furniture</v>
          </cell>
          <cell r="C62" t="str">
            <v>22.01.2007</v>
          </cell>
          <cell r="D62">
            <v>115000</v>
          </cell>
          <cell r="F62" t="str">
            <v>@18.10</v>
          </cell>
          <cell r="G62">
            <v>69</v>
          </cell>
          <cell r="H62">
            <v>3934.8904109589043</v>
          </cell>
        </row>
        <row r="64">
          <cell r="B64" t="str">
            <v>upS</v>
          </cell>
          <cell r="C64" t="str">
            <v>19.09.2006</v>
          </cell>
          <cell r="D64">
            <v>2132</v>
          </cell>
          <cell r="F64" t="str">
            <v>@40</v>
          </cell>
          <cell r="G64">
            <v>194</v>
          </cell>
          <cell r="H64">
            <v>453.26904109589043</v>
          </cell>
        </row>
        <row r="70">
          <cell r="A70" t="str">
            <v>SCHEDULES TO THE ACCOUNTS</v>
          </cell>
        </row>
        <row r="72">
          <cell r="A72" t="str">
            <v>SCHEDULE - 4</v>
          </cell>
        </row>
        <row r="74">
          <cell r="A74" t="str">
            <v>FIXED ASSETS</v>
          </cell>
        </row>
        <row r="76">
          <cell r="B76" t="str">
            <v xml:space="preserve">     GROSS BLOCK</v>
          </cell>
          <cell r="F76" t="str">
            <v xml:space="preserve">  DEPRECIATION</v>
          </cell>
          <cell r="J76" t="str">
            <v xml:space="preserve">           NET BLOCK</v>
          </cell>
        </row>
        <row r="77">
          <cell r="A77" t="str">
            <v>Particulars</v>
          </cell>
          <cell r="B77" t="str">
            <v>AS AT</v>
          </cell>
          <cell r="C77" t="str">
            <v>Addition</v>
          </cell>
          <cell r="D77" t="str">
            <v>AS AT</v>
          </cell>
          <cell r="E77" t="str">
            <v>Transfer</v>
          </cell>
          <cell r="F77" t="str">
            <v>UPTO</v>
          </cell>
          <cell r="H77" t="str">
            <v>For  the</v>
          </cell>
          <cell r="I77" t="str">
            <v>UPTO</v>
          </cell>
          <cell r="J77" t="str">
            <v>AS AT</v>
          </cell>
          <cell r="K77" t="str">
            <v>AS AT</v>
          </cell>
        </row>
        <row r="78">
          <cell r="B78" t="str">
            <v>01.04.2007</v>
          </cell>
          <cell r="D78" t="str">
            <v>31.03.2008</v>
          </cell>
          <cell r="F78" t="str">
            <v>31.03.2007</v>
          </cell>
          <cell r="H78" t="str">
            <v>Year</v>
          </cell>
          <cell r="I78" t="str">
            <v>31.03.2008</v>
          </cell>
          <cell r="J78" t="str">
            <v>31.03.2008</v>
          </cell>
          <cell r="K78" t="str">
            <v>31.03.2007</v>
          </cell>
        </row>
        <row r="79">
          <cell r="B79" t="str">
            <v>Rs.</v>
          </cell>
          <cell r="C79" t="str">
            <v>Rs.</v>
          </cell>
          <cell r="D79" t="str">
            <v>Rs.</v>
          </cell>
          <cell r="F79" t="str">
            <v>Rs.</v>
          </cell>
          <cell r="H79" t="str">
            <v>Rs.</v>
          </cell>
          <cell r="I79" t="str">
            <v>Rs.</v>
          </cell>
          <cell r="J79" t="str">
            <v>Rs.</v>
          </cell>
          <cell r="K79" t="str">
            <v>Rs.</v>
          </cell>
        </row>
        <row r="81">
          <cell r="A81" t="str">
            <v>Computers</v>
          </cell>
          <cell r="B81">
            <v>114982</v>
          </cell>
          <cell r="C81">
            <v>29824</v>
          </cell>
          <cell r="D81">
            <v>144806</v>
          </cell>
          <cell r="F81">
            <v>106800</v>
          </cell>
          <cell r="G81">
            <v>0</v>
          </cell>
          <cell r="H81">
            <v>5301</v>
          </cell>
          <cell r="I81">
            <v>112101</v>
          </cell>
          <cell r="J81">
            <v>32705</v>
          </cell>
          <cell r="K81">
            <v>8182</v>
          </cell>
          <cell r="L81">
            <v>40</v>
          </cell>
        </row>
        <row r="83">
          <cell r="A83" t="str">
            <v>Office Equipment</v>
          </cell>
          <cell r="B83">
            <v>115000</v>
          </cell>
          <cell r="C83">
            <v>0</v>
          </cell>
          <cell r="D83">
            <v>115000</v>
          </cell>
          <cell r="F83">
            <v>3024</v>
          </cell>
          <cell r="H83">
            <v>15576</v>
          </cell>
          <cell r="I83">
            <v>18600</v>
          </cell>
          <cell r="J83">
            <v>96400</v>
          </cell>
          <cell r="K83">
            <v>111976</v>
          </cell>
          <cell r="L83">
            <v>13.91</v>
          </cell>
        </row>
        <row r="85">
          <cell r="A85" t="str">
            <v>Furniture &amp; Fixtures</v>
          </cell>
          <cell r="B85">
            <v>11188</v>
          </cell>
          <cell r="C85">
            <v>0</v>
          </cell>
          <cell r="D85">
            <v>11188</v>
          </cell>
          <cell r="F85">
            <v>11188</v>
          </cell>
          <cell r="G85">
            <v>0</v>
          </cell>
          <cell r="H85">
            <v>0</v>
          </cell>
          <cell r="I85">
            <v>11188</v>
          </cell>
          <cell r="J85">
            <v>0</v>
          </cell>
          <cell r="K85">
            <v>0</v>
          </cell>
          <cell r="L85">
            <v>18.100000000000001</v>
          </cell>
        </row>
        <row r="87">
          <cell r="A87" t="str">
            <v>Air Conditioners</v>
          </cell>
          <cell r="B87">
            <v>673708</v>
          </cell>
          <cell r="C87">
            <v>0</v>
          </cell>
          <cell r="D87">
            <v>673708</v>
          </cell>
          <cell r="F87">
            <v>41987</v>
          </cell>
          <cell r="G87">
            <v>0</v>
          </cell>
          <cell r="H87">
            <v>87872</v>
          </cell>
          <cell r="I87">
            <v>129859</v>
          </cell>
          <cell r="J87">
            <v>543849</v>
          </cell>
          <cell r="K87">
            <v>631721</v>
          </cell>
          <cell r="L87">
            <v>13.91</v>
          </cell>
        </row>
        <row r="89">
          <cell r="A89" t="str">
            <v>Fogger Machine</v>
          </cell>
          <cell r="B89">
            <v>62440</v>
          </cell>
          <cell r="C89">
            <v>0</v>
          </cell>
          <cell r="D89">
            <v>62440</v>
          </cell>
          <cell r="F89">
            <v>28782</v>
          </cell>
          <cell r="G89">
            <v>0</v>
          </cell>
          <cell r="H89">
            <v>4682</v>
          </cell>
          <cell r="I89">
            <v>33464</v>
          </cell>
          <cell r="J89">
            <v>28976</v>
          </cell>
          <cell r="K89">
            <v>33658</v>
          </cell>
          <cell r="L89">
            <v>13.91</v>
          </cell>
        </row>
        <row r="91">
          <cell r="A91" t="str">
            <v xml:space="preserve"> </v>
          </cell>
        </row>
        <row r="92">
          <cell r="A92" t="str">
            <v>Total</v>
          </cell>
          <cell r="B92">
            <v>977318</v>
          </cell>
          <cell r="C92">
            <v>29824</v>
          </cell>
          <cell r="D92">
            <v>1007142</v>
          </cell>
          <cell r="F92">
            <v>191781</v>
          </cell>
          <cell r="G92">
            <v>0</v>
          </cell>
          <cell r="H92">
            <v>113431</v>
          </cell>
          <cell r="I92">
            <v>305212</v>
          </cell>
          <cell r="J92">
            <v>701930</v>
          </cell>
          <cell r="K92">
            <v>0</v>
          </cell>
        </row>
        <row r="93">
          <cell r="A93" t="str">
            <v>Previous Year</v>
          </cell>
          <cell r="B93">
            <v>229978</v>
          </cell>
          <cell r="C93">
            <v>747340</v>
          </cell>
          <cell r="D93">
            <v>977318</v>
          </cell>
          <cell r="F93">
            <v>153169</v>
          </cell>
          <cell r="G93">
            <v>0</v>
          </cell>
          <cell r="H93">
            <v>38612</v>
          </cell>
          <cell r="I93">
            <v>191781</v>
          </cell>
          <cell r="J93">
            <v>0</v>
          </cell>
          <cell r="K93">
            <v>785537</v>
          </cell>
        </row>
        <row r="101">
          <cell r="A101" t="str">
            <v>Computers</v>
          </cell>
          <cell r="B101">
            <v>8182</v>
          </cell>
          <cell r="C101">
            <v>40</v>
          </cell>
          <cell r="D101" t="str">
            <v>1.4.2007</v>
          </cell>
          <cell r="F101" t="str">
            <v>Full Year</v>
          </cell>
          <cell r="H101">
            <v>3272.8</v>
          </cell>
        </row>
        <row r="102">
          <cell r="B102">
            <v>6136</v>
          </cell>
          <cell r="C102">
            <v>40</v>
          </cell>
          <cell r="D102" t="str">
            <v>05.11.2007</v>
          </cell>
          <cell r="F102">
            <v>148</v>
          </cell>
          <cell r="H102">
            <v>992.48961748633883</v>
          </cell>
        </row>
        <row r="103">
          <cell r="B103">
            <v>23688</v>
          </cell>
          <cell r="C103">
            <v>40</v>
          </cell>
          <cell r="D103" t="str">
            <v>21.02.2008</v>
          </cell>
          <cell r="F103">
            <v>40</v>
          </cell>
          <cell r="H103">
            <v>1035.5409836065573</v>
          </cell>
        </row>
        <row r="104">
          <cell r="C104" t="str">
            <v xml:space="preserve"> </v>
          </cell>
          <cell r="H104">
            <v>5300.8306010928964</v>
          </cell>
        </row>
        <row r="106">
          <cell r="C106" t="str">
            <v xml:space="preserve"> </v>
          </cell>
        </row>
        <row r="108">
          <cell r="C108" t="str">
            <v xml:space="preserve"> </v>
          </cell>
        </row>
        <row r="110">
          <cell r="C110" t="str">
            <v xml:space="preserve"> </v>
          </cell>
        </row>
      </sheetData>
      <sheetData sheetId="4">
        <row r="2">
          <cell r="A2" t="str">
            <v>SCHEDULES TO THE ACCOUNTS</v>
          </cell>
        </row>
        <row r="4">
          <cell r="A4" t="str">
            <v>SCHEDULE - 5</v>
          </cell>
        </row>
        <row r="6">
          <cell r="A6" t="str">
            <v>INVESTMENTS - LONG TERM</v>
          </cell>
        </row>
        <row r="9">
          <cell r="D9" t="str">
            <v>Face Value</v>
          </cell>
          <cell r="F9" t="str">
            <v>As At 31.03.2008</v>
          </cell>
          <cell r="J9" t="str">
            <v xml:space="preserve"> As  At  31.03.2007</v>
          </cell>
        </row>
        <row r="10">
          <cell r="D10" t="str">
            <v>Rs.</v>
          </cell>
          <cell r="F10" t="str">
            <v>Number/Unit</v>
          </cell>
          <cell r="H10" t="str">
            <v>Value (Rs.)</v>
          </cell>
          <cell r="J10" t="str">
            <v>Number/Unit</v>
          </cell>
          <cell r="L10" t="str">
            <v>Value (Rs.)</v>
          </cell>
        </row>
        <row r="11">
          <cell r="A11" t="str">
            <v>I. QUOTED INVESTMENTS</v>
          </cell>
        </row>
        <row r="12">
          <cell r="B12" t="str">
            <v>A.</v>
          </cell>
          <cell r="C12" t="str">
            <v xml:space="preserve">IN FULLY PAID UP EQUITY SHARES </v>
          </cell>
        </row>
        <row r="13">
          <cell r="C13" t="str">
            <v>Alfa Laval India Ltd.</v>
          </cell>
          <cell r="D13">
            <v>10</v>
          </cell>
          <cell r="F13" t="str">
            <v>-</v>
          </cell>
          <cell r="H13">
            <v>0</v>
          </cell>
          <cell r="J13">
            <v>5684</v>
          </cell>
          <cell r="L13">
            <v>4575132</v>
          </cell>
          <cell r="M13">
            <v>5859</v>
          </cell>
          <cell r="N13">
            <v>100</v>
          </cell>
        </row>
        <row r="14">
          <cell r="C14" t="str">
            <v>Abbott India Ltd.</v>
          </cell>
          <cell r="D14">
            <v>10</v>
          </cell>
          <cell r="F14">
            <v>11622</v>
          </cell>
          <cell r="H14">
            <v>6542454</v>
          </cell>
          <cell r="J14" t="str">
            <v>-</v>
          </cell>
          <cell r="L14" t="str">
            <v>-</v>
          </cell>
        </row>
        <row r="15">
          <cell r="C15" t="str">
            <v>Asahi India Safety Glass Limited</v>
          </cell>
          <cell r="D15">
            <v>1</v>
          </cell>
          <cell r="F15">
            <v>58279</v>
          </cell>
          <cell r="H15">
            <v>6229571</v>
          </cell>
          <cell r="J15" t="str">
            <v>-</v>
          </cell>
          <cell r="L15" t="str">
            <v>-</v>
          </cell>
        </row>
        <row r="16">
          <cell r="C16" t="str">
            <v>Atlas Copco Ltd.</v>
          </cell>
          <cell r="D16">
            <v>10</v>
          </cell>
          <cell r="F16">
            <v>1350</v>
          </cell>
          <cell r="H16">
            <v>1218147</v>
          </cell>
          <cell r="J16" t="str">
            <v>-</v>
          </cell>
          <cell r="L16" t="str">
            <v>-</v>
          </cell>
        </row>
        <row r="17">
          <cell r="C17" t="str">
            <v>Bosch  Ltd (Formerly MICO)</v>
          </cell>
          <cell r="D17">
            <v>10</v>
          </cell>
          <cell r="F17">
            <v>1080</v>
          </cell>
          <cell r="H17">
            <v>2525940</v>
          </cell>
          <cell r="J17">
            <v>1080</v>
          </cell>
          <cell r="L17">
            <v>2525940</v>
          </cell>
        </row>
        <row r="18">
          <cell r="C18" t="str">
            <v>Bosch Chasis Systems Ltd (Includes 899 Bonus Shares)</v>
          </cell>
          <cell r="D18">
            <v>10</v>
          </cell>
          <cell r="F18">
            <v>1798</v>
          </cell>
          <cell r="H18">
            <v>743148</v>
          </cell>
          <cell r="J18">
            <v>899</v>
          </cell>
          <cell r="L18">
            <v>743148</v>
          </cell>
          <cell r="M18" t="str">
            <v xml:space="preserve">Includes 899 Bonus shares </v>
          </cell>
        </row>
        <row r="19">
          <cell r="C19" t="str">
            <v>Castrol India Limited</v>
          </cell>
          <cell r="D19">
            <v>10</v>
          </cell>
          <cell r="F19">
            <v>8000</v>
          </cell>
          <cell r="H19">
            <v>1911319</v>
          </cell>
          <cell r="J19">
            <v>8000</v>
          </cell>
          <cell r="L19">
            <v>1911319</v>
          </cell>
        </row>
        <row r="20">
          <cell r="C20" t="str">
            <v>Cummins India Ltd.</v>
          </cell>
          <cell r="D20">
            <v>2</v>
          </cell>
          <cell r="F20">
            <v>23371</v>
          </cell>
          <cell r="H20">
            <v>8273181</v>
          </cell>
          <cell r="J20" t="str">
            <v>-</v>
          </cell>
          <cell r="L20" t="str">
            <v>-</v>
          </cell>
        </row>
        <row r="21">
          <cell r="C21" t="str">
            <v>D P S C Limited</v>
          </cell>
          <cell r="D21">
            <v>10</v>
          </cell>
          <cell r="F21">
            <v>4100</v>
          </cell>
          <cell r="H21">
            <v>197784</v>
          </cell>
          <cell r="J21">
            <v>4100</v>
          </cell>
          <cell r="L21">
            <v>197784</v>
          </cell>
        </row>
        <row r="22">
          <cell r="C22" t="str">
            <v>Fag Bearing India Ltd.</v>
          </cell>
          <cell r="D22">
            <v>10</v>
          </cell>
          <cell r="F22">
            <v>25</v>
          </cell>
          <cell r="H22">
            <v>13562</v>
          </cell>
          <cell r="J22" t="str">
            <v>-</v>
          </cell>
          <cell r="L22" t="str">
            <v>-</v>
          </cell>
        </row>
        <row r="23">
          <cell r="C23" t="str">
            <v>Fort Gloster Industries Ltd.</v>
          </cell>
          <cell r="D23">
            <v>10</v>
          </cell>
          <cell r="F23">
            <v>39225</v>
          </cell>
          <cell r="H23">
            <v>736747</v>
          </cell>
          <cell r="J23">
            <v>39225</v>
          </cell>
          <cell r="L23">
            <v>736747</v>
          </cell>
        </row>
        <row r="24">
          <cell r="C24" t="str">
            <v>Federal Bank Ltd.</v>
          </cell>
          <cell r="D24">
            <v>10</v>
          </cell>
          <cell r="F24">
            <v>20600</v>
          </cell>
          <cell r="H24">
            <v>6804629</v>
          </cell>
          <cell r="J24" t="str">
            <v>-</v>
          </cell>
          <cell r="L24" t="str">
            <v>-</v>
          </cell>
        </row>
        <row r="25">
          <cell r="C25" t="str">
            <v>Foseco India LTd.</v>
          </cell>
          <cell r="D25">
            <v>10</v>
          </cell>
          <cell r="F25">
            <v>713</v>
          </cell>
          <cell r="H25">
            <v>258367</v>
          </cell>
          <cell r="J25" t="str">
            <v>-</v>
          </cell>
          <cell r="L25" t="str">
            <v>-</v>
          </cell>
        </row>
        <row r="26">
          <cell r="C26" t="str">
            <v>Gujarat Gas Co. Limited</v>
          </cell>
          <cell r="D26">
            <v>2</v>
          </cell>
          <cell r="F26">
            <v>27144</v>
          </cell>
          <cell r="H26">
            <v>6234351</v>
          </cell>
          <cell r="J26">
            <v>4402</v>
          </cell>
          <cell r="L26">
            <v>4654493</v>
          </cell>
          <cell r="M26" t="str">
            <v xml:space="preserve">Includes 17618 Converted Shares </v>
          </cell>
        </row>
        <row r="27">
          <cell r="C27" t="str">
            <v>G.R.Magnets Ltd.</v>
          </cell>
          <cell r="D27">
            <v>10</v>
          </cell>
          <cell r="F27">
            <v>15000</v>
          </cell>
          <cell r="H27">
            <v>28500</v>
          </cell>
          <cell r="J27">
            <v>15000</v>
          </cell>
          <cell r="L27">
            <v>28500</v>
          </cell>
        </row>
        <row r="28">
          <cell r="C28" t="str">
            <v>GSK Consumer Health Care Ltd.</v>
          </cell>
          <cell r="D28">
            <v>10</v>
          </cell>
          <cell r="F28">
            <v>577</v>
          </cell>
          <cell r="H28">
            <v>308006</v>
          </cell>
          <cell r="J28" t="str">
            <v>-</v>
          </cell>
          <cell r="L28" t="str">
            <v>-</v>
          </cell>
        </row>
        <row r="29">
          <cell r="C29" t="str">
            <v>Hindalco Industries Limited</v>
          </cell>
          <cell r="D29">
            <v>1</v>
          </cell>
          <cell r="F29">
            <v>7177</v>
          </cell>
          <cell r="H29">
            <v>688992</v>
          </cell>
          <cell r="J29" t="str">
            <v>-</v>
          </cell>
          <cell r="L29" t="str">
            <v>-</v>
          </cell>
        </row>
        <row r="30">
          <cell r="C30" t="str">
            <v>Industrial Development Bank Ltd.</v>
          </cell>
          <cell r="D30">
            <v>10</v>
          </cell>
          <cell r="F30" t="str">
            <v>-</v>
          </cell>
          <cell r="H30">
            <v>0</v>
          </cell>
          <cell r="J30">
            <v>50000</v>
          </cell>
          <cell r="L30">
            <v>3656854</v>
          </cell>
        </row>
        <row r="31">
          <cell r="C31" t="str">
            <v>Indian Hotels Co. Ltd.</v>
          </cell>
          <cell r="D31">
            <v>1</v>
          </cell>
          <cell r="F31">
            <v>16500</v>
          </cell>
          <cell r="H31">
            <v>1900624</v>
          </cell>
          <cell r="J31" t="str">
            <v>-</v>
          </cell>
          <cell r="L31" t="str">
            <v>-</v>
          </cell>
        </row>
        <row r="32">
          <cell r="C32" t="str">
            <v>Honda Siel Power Products Ltd</v>
          </cell>
          <cell r="D32">
            <v>10</v>
          </cell>
          <cell r="F32">
            <v>9636</v>
          </cell>
          <cell r="H32">
            <v>2015227</v>
          </cell>
          <cell r="J32" t="str">
            <v>-</v>
          </cell>
          <cell r="L32" t="str">
            <v>-</v>
          </cell>
        </row>
        <row r="33">
          <cell r="C33" t="str">
            <v xml:space="preserve">J.K.Pharmachem Ltd. </v>
          </cell>
          <cell r="D33">
            <v>10</v>
          </cell>
          <cell r="F33">
            <v>17300</v>
          </cell>
          <cell r="H33">
            <v>79200</v>
          </cell>
          <cell r="J33">
            <v>17300</v>
          </cell>
          <cell r="L33">
            <v>79200</v>
          </cell>
        </row>
        <row r="34">
          <cell r="C34" t="str">
            <v>Kennametal India Limited</v>
          </cell>
          <cell r="D34">
            <v>10</v>
          </cell>
          <cell r="F34" t="str">
            <v>-</v>
          </cell>
          <cell r="H34">
            <v>0</v>
          </cell>
          <cell r="J34">
            <v>747</v>
          </cell>
          <cell r="L34">
            <v>310192</v>
          </cell>
        </row>
        <row r="35">
          <cell r="C35" t="str">
            <v>Mather &amp; Platt ( India ) Ltd</v>
          </cell>
          <cell r="D35">
            <v>10</v>
          </cell>
          <cell r="F35" t="str">
            <v>-</v>
          </cell>
          <cell r="H35">
            <v>0</v>
          </cell>
          <cell r="J35">
            <v>4</v>
          </cell>
          <cell r="L35">
            <v>48</v>
          </cell>
        </row>
        <row r="36">
          <cell r="C36" t="str">
            <v>Mather &amp; Platt Pumps Ltd.</v>
          </cell>
          <cell r="D36">
            <v>10</v>
          </cell>
          <cell r="F36">
            <v>1064</v>
          </cell>
          <cell r="H36">
            <v>169919</v>
          </cell>
          <cell r="J36">
            <v>1064</v>
          </cell>
          <cell r="L36">
            <v>169919</v>
          </cell>
        </row>
        <row r="37">
          <cell r="C37" t="str">
            <v>Merck Ltd.</v>
          </cell>
          <cell r="D37">
            <v>10</v>
          </cell>
          <cell r="F37">
            <v>14447</v>
          </cell>
          <cell r="H37">
            <v>6227171</v>
          </cell>
          <cell r="J37">
            <v>14447</v>
          </cell>
          <cell r="L37">
            <v>6227171</v>
          </cell>
        </row>
        <row r="38">
          <cell r="C38" t="str">
            <v>Modella Wollen Ltd.</v>
          </cell>
          <cell r="D38">
            <v>10</v>
          </cell>
          <cell r="F38">
            <v>100</v>
          </cell>
          <cell r="H38">
            <v>850</v>
          </cell>
          <cell r="J38">
            <v>100</v>
          </cell>
          <cell r="L38">
            <v>850</v>
          </cell>
        </row>
        <row r="39">
          <cell r="C39" t="str">
            <v>Monsanto India Limited</v>
          </cell>
          <cell r="D39">
            <v>10</v>
          </cell>
          <cell r="F39">
            <v>546</v>
          </cell>
          <cell r="H39">
            <v>923037</v>
          </cell>
          <cell r="J39">
            <v>546</v>
          </cell>
          <cell r="L39">
            <v>923037</v>
          </cell>
        </row>
        <row r="40">
          <cell r="C40" t="str">
            <v>NBI Industrial Finance Co. Ltd</v>
          </cell>
          <cell r="D40">
            <v>10</v>
          </cell>
          <cell r="F40">
            <v>25000</v>
          </cell>
          <cell r="H40">
            <v>175825</v>
          </cell>
          <cell r="J40">
            <v>25000</v>
          </cell>
          <cell r="L40">
            <v>175825</v>
          </cell>
        </row>
        <row r="41">
          <cell r="C41" t="str">
            <v xml:space="preserve">National Cereal Products Ltd. </v>
          </cell>
          <cell r="D41">
            <v>1</v>
          </cell>
          <cell r="F41">
            <v>800</v>
          </cell>
          <cell r="H41">
            <v>1600</v>
          </cell>
          <cell r="J41">
            <v>800</v>
          </cell>
          <cell r="L41">
            <v>1600</v>
          </cell>
        </row>
        <row r="42">
          <cell r="C42" t="str">
            <v>Nestle India Ltd.</v>
          </cell>
          <cell r="D42">
            <v>10</v>
          </cell>
          <cell r="F42">
            <v>1841</v>
          </cell>
          <cell r="H42">
            <v>2115077</v>
          </cell>
          <cell r="J42" t="str">
            <v>-</v>
          </cell>
          <cell r="L42" t="str">
            <v>-</v>
          </cell>
        </row>
        <row r="43">
          <cell r="C43" t="str">
            <v>Oriental Bank of Commerce Ltd.</v>
          </cell>
          <cell r="D43">
            <v>10</v>
          </cell>
          <cell r="F43">
            <v>18500</v>
          </cell>
          <cell r="H43">
            <v>4729595</v>
          </cell>
          <cell r="J43" t="str">
            <v>-</v>
          </cell>
          <cell r="L43" t="str">
            <v>-</v>
          </cell>
        </row>
        <row r="44">
          <cell r="C44" t="str">
            <v>Proctor &amp; Gamble Hygine Healt Care Ltd.</v>
          </cell>
          <cell r="D44">
            <v>10</v>
          </cell>
          <cell r="F44">
            <v>503</v>
          </cell>
          <cell r="H44">
            <v>442417</v>
          </cell>
          <cell r="J44">
            <v>503</v>
          </cell>
          <cell r="L44">
            <v>442417</v>
          </cell>
        </row>
        <row r="45">
          <cell r="C45" t="str">
            <v>Shree Cement Ltd.</v>
          </cell>
          <cell r="D45">
            <v>10</v>
          </cell>
          <cell r="F45">
            <v>2032380</v>
          </cell>
          <cell r="H45">
            <v>60031715</v>
          </cell>
          <cell r="J45">
            <v>2032380</v>
          </cell>
          <cell r="L45">
            <v>60031715</v>
          </cell>
        </row>
        <row r="46">
          <cell r="C46" t="str">
            <v>Shree Capital Services Ltd.</v>
          </cell>
          <cell r="D46">
            <v>10</v>
          </cell>
          <cell r="F46">
            <v>26360</v>
          </cell>
          <cell r="H46">
            <v>3149250</v>
          </cell>
          <cell r="J46">
            <v>26360</v>
          </cell>
          <cell r="L46">
            <v>3149250</v>
          </cell>
        </row>
        <row r="47">
          <cell r="C47" t="str">
            <v>The Paper Products Ltd.</v>
          </cell>
          <cell r="D47">
            <v>2</v>
          </cell>
          <cell r="F47">
            <v>62285</v>
          </cell>
          <cell r="H47">
            <v>4259265</v>
          </cell>
          <cell r="J47">
            <v>2395</v>
          </cell>
          <cell r="L47">
            <v>899775</v>
          </cell>
          <cell r="M47" t="str">
            <v xml:space="preserve">Includes 62285 Converted Shares </v>
          </cell>
        </row>
        <row r="48">
          <cell r="C48" t="str">
            <v>The Didwana Industrial Corporation Ltd</v>
          </cell>
          <cell r="D48">
            <v>10</v>
          </cell>
          <cell r="F48">
            <v>14200</v>
          </cell>
          <cell r="H48">
            <v>185523</v>
          </cell>
          <cell r="J48">
            <v>14200</v>
          </cell>
          <cell r="L48">
            <v>185523</v>
          </cell>
        </row>
        <row r="49">
          <cell r="C49" t="str">
            <v>Tata  Steel  Ltd.</v>
          </cell>
          <cell r="D49">
            <v>10</v>
          </cell>
          <cell r="F49">
            <v>4800</v>
          </cell>
          <cell r="H49">
            <v>3455652</v>
          </cell>
          <cell r="J49">
            <v>1100</v>
          </cell>
          <cell r="L49">
            <v>506363</v>
          </cell>
        </row>
        <row r="50">
          <cell r="C50" t="str">
            <v>Woolworth India Ltd.</v>
          </cell>
          <cell r="D50">
            <v>10</v>
          </cell>
          <cell r="F50">
            <v>50</v>
          </cell>
          <cell r="H50">
            <v>450</v>
          </cell>
          <cell r="J50">
            <v>50</v>
          </cell>
          <cell r="L50">
            <v>450</v>
          </cell>
        </row>
        <row r="51">
          <cell r="H51">
            <v>132577095</v>
          </cell>
          <cell r="L51">
            <v>92133252</v>
          </cell>
        </row>
        <row r="52">
          <cell r="B52" t="str">
            <v>B.</v>
          </cell>
          <cell r="C52" t="str">
            <v>IN PARTLY PAID UP EQUITY SHARES</v>
          </cell>
        </row>
        <row r="53">
          <cell r="C53" t="str">
            <v xml:space="preserve">Hindalco Industries Limited </v>
          </cell>
          <cell r="D53">
            <v>1</v>
          </cell>
          <cell r="F53" t="str">
            <v>-</v>
          </cell>
          <cell r="H53" t="str">
            <v>-</v>
          </cell>
          <cell r="J53">
            <v>7177</v>
          </cell>
          <cell r="L53">
            <v>344496</v>
          </cell>
        </row>
        <row r="54">
          <cell r="C54" t="str">
            <v>(Paid up value per share Rs. 0.50)</v>
          </cell>
        </row>
        <row r="55">
          <cell r="H55" t="str">
            <v>-</v>
          </cell>
          <cell r="L55">
            <v>344496</v>
          </cell>
        </row>
        <row r="57">
          <cell r="B57" t="str">
            <v>C</v>
          </cell>
          <cell r="C57" t="str">
            <v>IN UNITS OF MUTUAL FUND</v>
          </cell>
        </row>
        <row r="58">
          <cell r="C58" t="str">
            <v>Morgan Stanley Growth</v>
          </cell>
          <cell r="D58">
            <v>10</v>
          </cell>
          <cell r="F58">
            <v>168817</v>
          </cell>
          <cell r="H58">
            <v>10208279</v>
          </cell>
          <cell r="J58" t="str">
            <v>-</v>
          </cell>
          <cell r="L58" t="str">
            <v>-</v>
          </cell>
        </row>
        <row r="60">
          <cell r="H60">
            <v>10208279</v>
          </cell>
          <cell r="L60" t="str">
            <v>-</v>
          </cell>
        </row>
        <row r="61">
          <cell r="C61" t="str">
            <v>TOTAL</v>
          </cell>
          <cell r="H61">
            <v>142785374</v>
          </cell>
          <cell r="L61">
            <v>92477748</v>
          </cell>
        </row>
        <row r="63">
          <cell r="D63" t="str">
            <v>Face Value</v>
          </cell>
          <cell r="F63" t="str">
            <v xml:space="preserve"> As  At  31.03.2008</v>
          </cell>
          <cell r="J63" t="str">
            <v xml:space="preserve"> As  At  31.03.2007</v>
          </cell>
        </row>
        <row r="64">
          <cell r="D64" t="str">
            <v>Rs.</v>
          </cell>
          <cell r="F64" t="str">
            <v>Number/Unit</v>
          </cell>
          <cell r="H64" t="str">
            <v>Value (Rs.)</v>
          </cell>
          <cell r="J64" t="str">
            <v>Number/Unit</v>
          </cell>
          <cell r="L64" t="str">
            <v>Value (Rs.)</v>
          </cell>
        </row>
        <row r="66">
          <cell r="A66" t="str">
            <v>II. UNQUOTED INVESTMENTS</v>
          </cell>
        </row>
        <row r="67">
          <cell r="B67" t="str">
            <v>A.</v>
          </cell>
          <cell r="C67" t="str">
            <v xml:space="preserve">IN FULLY PAID UP EQUITY SHARES </v>
          </cell>
        </row>
        <row r="68">
          <cell r="C68" t="str">
            <v>Ashish Exim Pvt. Ltd.</v>
          </cell>
          <cell r="D68">
            <v>10</v>
          </cell>
          <cell r="F68">
            <v>70000</v>
          </cell>
          <cell r="H68">
            <v>8040</v>
          </cell>
          <cell r="J68">
            <v>70000</v>
          </cell>
          <cell r="L68">
            <v>8040</v>
          </cell>
        </row>
        <row r="69">
          <cell r="C69" t="str">
            <v>Alfa Builhome Pvt Ltd.</v>
          </cell>
          <cell r="D69">
            <v>10</v>
          </cell>
          <cell r="F69">
            <v>11750</v>
          </cell>
          <cell r="H69">
            <v>6110000</v>
          </cell>
          <cell r="J69" t="str">
            <v>-</v>
          </cell>
          <cell r="L69" t="str">
            <v>-</v>
          </cell>
        </row>
        <row r="70">
          <cell r="C70" t="str">
            <v>The Calcutta Stock Exchange Association Ltd.</v>
          </cell>
          <cell r="D70">
            <v>10</v>
          </cell>
          <cell r="F70">
            <v>20907</v>
          </cell>
          <cell r="H70">
            <v>41814000</v>
          </cell>
          <cell r="J70" t="str">
            <v>-</v>
          </cell>
          <cell r="L70" t="str">
            <v>-</v>
          </cell>
        </row>
        <row r="71">
          <cell r="C71" t="str">
            <v>Didu Investments Pvt. Ltd.</v>
          </cell>
          <cell r="D71">
            <v>10</v>
          </cell>
          <cell r="F71">
            <v>193610</v>
          </cell>
          <cell r="H71">
            <v>2567783</v>
          </cell>
          <cell r="J71">
            <v>193610</v>
          </cell>
          <cell r="L71">
            <v>2567783</v>
          </cell>
        </row>
        <row r="72">
          <cell r="C72" t="str">
            <v>Digvijay Finlease Ltd</v>
          </cell>
          <cell r="D72">
            <v>10</v>
          </cell>
          <cell r="F72">
            <v>906500</v>
          </cell>
          <cell r="H72">
            <v>9142715</v>
          </cell>
          <cell r="J72">
            <v>906500</v>
          </cell>
          <cell r="L72">
            <v>9142715</v>
          </cell>
        </row>
        <row r="73">
          <cell r="C73" t="str">
            <v>Newa Investments Pvt. Ltd.</v>
          </cell>
          <cell r="D73">
            <v>10</v>
          </cell>
          <cell r="F73">
            <v>1000</v>
          </cell>
          <cell r="H73">
            <v>10151</v>
          </cell>
          <cell r="J73">
            <v>1000</v>
          </cell>
          <cell r="L73">
            <v>10151</v>
          </cell>
        </row>
        <row r="74">
          <cell r="C74" t="str">
            <v>Perfect Refractories Ltd</v>
          </cell>
          <cell r="D74">
            <v>10</v>
          </cell>
          <cell r="F74">
            <v>151</v>
          </cell>
          <cell r="H74">
            <v>1312</v>
          </cell>
          <cell r="J74">
            <v>151</v>
          </cell>
          <cell r="L74">
            <v>1312</v>
          </cell>
        </row>
        <row r="75">
          <cell r="C75" t="str">
            <v>Ragini Finance Ltd.</v>
          </cell>
          <cell r="D75">
            <v>10</v>
          </cell>
          <cell r="F75">
            <v>200460</v>
          </cell>
          <cell r="H75">
            <v>2536995</v>
          </cell>
          <cell r="J75">
            <v>200460</v>
          </cell>
          <cell r="L75">
            <v>2536995</v>
          </cell>
        </row>
        <row r="76">
          <cell r="C76" t="str">
            <v>Ramgopal Holdings Pvt LTd.</v>
          </cell>
          <cell r="D76">
            <v>10</v>
          </cell>
          <cell r="F76">
            <v>19000</v>
          </cell>
          <cell r="H76">
            <v>1900000</v>
          </cell>
          <cell r="J76" t="str">
            <v>-</v>
          </cell>
          <cell r="L76">
            <v>0</v>
          </cell>
        </row>
        <row r="77">
          <cell r="C77" t="str">
            <v>Shree Cement Marketing Limited</v>
          </cell>
          <cell r="D77">
            <v>10</v>
          </cell>
          <cell r="F77">
            <v>12000</v>
          </cell>
          <cell r="H77">
            <v>120600</v>
          </cell>
          <cell r="J77">
            <v>12000</v>
          </cell>
          <cell r="L77">
            <v>120600</v>
          </cell>
        </row>
        <row r="78">
          <cell r="C78" t="str">
            <v>The Laxmi Salt Co. Ltd</v>
          </cell>
          <cell r="D78">
            <v>10</v>
          </cell>
          <cell r="F78">
            <v>20000</v>
          </cell>
          <cell r="H78">
            <v>211050</v>
          </cell>
          <cell r="J78">
            <v>20000</v>
          </cell>
          <cell r="L78">
            <v>211050</v>
          </cell>
        </row>
        <row r="79">
          <cell r="C79" t="str">
            <v>The Venktesh Company Ltd.</v>
          </cell>
          <cell r="D79">
            <v>10</v>
          </cell>
          <cell r="F79">
            <v>68000</v>
          </cell>
          <cell r="H79">
            <v>745711</v>
          </cell>
          <cell r="J79">
            <v>68000</v>
          </cell>
          <cell r="L79">
            <v>745711</v>
          </cell>
        </row>
        <row r="80">
          <cell r="C80" t="str">
            <v>Shree Venkateswara Realcon Pvt. Limited</v>
          </cell>
          <cell r="D80">
            <v>10</v>
          </cell>
          <cell r="F80">
            <v>31200</v>
          </cell>
          <cell r="H80">
            <v>732000</v>
          </cell>
          <cell r="J80" t="str">
            <v>-</v>
          </cell>
          <cell r="L80" t="str">
            <v>-</v>
          </cell>
        </row>
        <row r="81">
          <cell r="H81">
            <v>65900357</v>
          </cell>
          <cell r="L81">
            <v>15344357</v>
          </cell>
        </row>
        <row r="82">
          <cell r="B82" t="str">
            <v>B.</v>
          </cell>
          <cell r="C82" t="str">
            <v>IN FULLY PAID UP DEBENTURES</v>
          </cell>
        </row>
        <row r="83">
          <cell r="C83" t="str">
            <v>Newa Investments Pvt. Ltd 0% FCD</v>
          </cell>
          <cell r="D83">
            <v>10</v>
          </cell>
          <cell r="F83">
            <v>13000</v>
          </cell>
          <cell r="H83">
            <v>149500</v>
          </cell>
          <cell r="J83">
            <v>13000</v>
          </cell>
          <cell r="L83">
            <v>149500</v>
          </cell>
        </row>
        <row r="84">
          <cell r="C84" t="str">
            <v>Woolworth India Ltd.-12.5% NCD</v>
          </cell>
          <cell r="D84">
            <v>50</v>
          </cell>
          <cell r="F84">
            <v>1119</v>
          </cell>
          <cell r="H84">
            <v>56230</v>
          </cell>
          <cell r="J84">
            <v>1119</v>
          </cell>
          <cell r="L84">
            <v>56230</v>
          </cell>
        </row>
        <row r="85">
          <cell r="C85" t="str">
            <v>Hindustan Development Corporation Ltd.</v>
          </cell>
          <cell r="D85">
            <v>50</v>
          </cell>
          <cell r="F85">
            <v>300</v>
          </cell>
          <cell r="H85">
            <v>12000</v>
          </cell>
          <cell r="I85" t="str">
            <v xml:space="preserve"> </v>
          </cell>
          <cell r="J85">
            <v>300</v>
          </cell>
          <cell r="L85">
            <v>12000</v>
          </cell>
        </row>
        <row r="86">
          <cell r="C86" t="str">
            <v>( 14% Secured NCD Part C)</v>
          </cell>
          <cell r="H86">
            <v>217730</v>
          </cell>
          <cell r="L86">
            <v>217730</v>
          </cell>
        </row>
        <row r="90">
          <cell r="B90" t="str">
            <v>C</v>
          </cell>
          <cell r="C90" t="str">
            <v xml:space="preserve">IN UNITS OF MUTUAL FUND </v>
          </cell>
          <cell r="M90" t="str">
            <v xml:space="preserve">Market Value </v>
          </cell>
        </row>
        <row r="91">
          <cell r="C91" t="str">
            <v>ICICI Prudential Gilt Fund Investment Plan - GP</v>
          </cell>
          <cell r="D91">
            <v>10</v>
          </cell>
          <cell r="F91">
            <v>851691.33100000001</v>
          </cell>
          <cell r="H91">
            <v>20000000</v>
          </cell>
          <cell r="J91" t="str">
            <v>-</v>
          </cell>
          <cell r="L91" t="str">
            <v>-</v>
          </cell>
          <cell r="M91">
            <v>24.2623</v>
          </cell>
          <cell r="N91">
            <v>20663990.580121301</v>
          </cell>
        </row>
        <row r="92">
          <cell r="C92" t="str">
            <v xml:space="preserve">Reliance Gilt Securities Fund - Growth </v>
          </cell>
          <cell r="D92">
            <v>10</v>
          </cell>
          <cell r="F92">
            <v>752785.30599999998</v>
          </cell>
          <cell r="H92">
            <v>10000000</v>
          </cell>
          <cell r="J92" t="str">
            <v>-</v>
          </cell>
          <cell r="L92" t="str">
            <v>-</v>
          </cell>
          <cell r="M92">
            <v>13.8361</v>
          </cell>
          <cell r="N92">
            <v>10415612.772346599</v>
          </cell>
        </row>
        <row r="93">
          <cell r="C93" t="str">
            <v>UTI Spread fund- Dividend Plan</v>
          </cell>
          <cell r="D93">
            <v>10</v>
          </cell>
          <cell r="F93">
            <v>3354581.7409999999</v>
          </cell>
          <cell r="H93">
            <v>37496990</v>
          </cell>
          <cell r="J93" t="str">
            <v>-</v>
          </cell>
          <cell r="L93" t="str">
            <v>-</v>
          </cell>
          <cell r="M93">
            <v>10.800599999999999</v>
          </cell>
          <cell r="N93">
            <v>36231495.551844597</v>
          </cell>
        </row>
        <row r="94">
          <cell r="H94">
            <v>67496990</v>
          </cell>
          <cell r="N94">
            <v>67311098.904312491</v>
          </cell>
        </row>
        <row r="96">
          <cell r="C96" t="str">
            <v>TOTAL</v>
          </cell>
          <cell r="H96">
            <v>133615077</v>
          </cell>
          <cell r="L96">
            <v>15562087</v>
          </cell>
        </row>
        <row r="97">
          <cell r="A97" t="str">
            <v>III. OTHERS</v>
          </cell>
        </row>
        <row r="98">
          <cell r="C98" t="str">
            <v>Tenancy Right</v>
          </cell>
          <cell r="H98">
            <v>13500000</v>
          </cell>
          <cell r="L98">
            <v>13500000</v>
          </cell>
        </row>
        <row r="100">
          <cell r="C100" t="str">
            <v>GRAND TOTAL</v>
          </cell>
          <cell r="H100">
            <v>289900451</v>
          </cell>
          <cell r="L100">
            <v>121539835</v>
          </cell>
        </row>
        <row r="102">
          <cell r="A102" t="str">
            <v>Aggregate Book Value Of :</v>
          </cell>
        </row>
        <row r="103">
          <cell r="B103" t="str">
            <v>Quoted Investments</v>
          </cell>
          <cell r="H103">
            <v>142785374</v>
          </cell>
          <cell r="L103">
            <v>92477748</v>
          </cell>
        </row>
        <row r="104">
          <cell r="B104" t="str">
            <v>Unquoted Investments</v>
          </cell>
          <cell r="H104">
            <v>147115077</v>
          </cell>
          <cell r="L104">
            <v>29062087</v>
          </cell>
        </row>
        <row r="105">
          <cell r="H105">
            <v>289900451</v>
          </cell>
          <cell r="L105">
            <v>121539835</v>
          </cell>
        </row>
        <row r="107">
          <cell r="A107" t="str">
            <v>Market Value of Quoted Investments</v>
          </cell>
          <cell r="H107">
            <v>2299359712.1500001</v>
          </cell>
          <cell r="L107">
            <v>1904256896</v>
          </cell>
        </row>
        <row r="108">
          <cell r="A108" t="str">
            <v>Repurchase Value of Units of Mutual Funds (Unquoted)</v>
          </cell>
          <cell r="H108">
            <v>67311098.904312491</v>
          </cell>
          <cell r="L108">
            <v>0</v>
          </cell>
        </row>
        <row r="113">
          <cell r="H113" t="str">
            <v xml:space="preserve"> </v>
          </cell>
        </row>
      </sheetData>
      <sheetData sheetId="5">
        <row r="1">
          <cell r="A1" t="str">
            <v>SCHEDULES TO THE ACCOUNTS</v>
          </cell>
        </row>
        <row r="2">
          <cell r="A2" t="str">
            <v>SCHEDULE - 14</v>
          </cell>
        </row>
        <row r="4">
          <cell r="A4" t="str">
            <v>BALANCE SHEET ABSTRACT AND COMPANY'S GENERAL BUSINESS PROFILE</v>
          </cell>
        </row>
        <row r="6">
          <cell r="A6" t="str">
            <v>I.</v>
          </cell>
          <cell r="B6" t="str">
            <v>Registration Details</v>
          </cell>
        </row>
        <row r="7">
          <cell r="C7" t="str">
            <v>Registration No.</v>
          </cell>
          <cell r="E7" t="str">
            <v>: 51367</v>
          </cell>
          <cell r="G7" t="str">
            <v>State Code</v>
          </cell>
          <cell r="I7" t="str">
            <v>: 21</v>
          </cell>
        </row>
        <row r="8">
          <cell r="C8" t="str">
            <v>Balance Sheet Date</v>
          </cell>
          <cell r="E8" t="str">
            <v>31.03.2008</v>
          </cell>
        </row>
        <row r="10">
          <cell r="A10" t="str">
            <v>II.</v>
          </cell>
          <cell r="B10" t="str">
            <v>Capital Raised during the year (Amount in Rs. Thousands)</v>
          </cell>
        </row>
        <row r="11">
          <cell r="C11" t="str">
            <v>Public Issue</v>
          </cell>
          <cell r="E11" t="str">
            <v>: Nil</v>
          </cell>
          <cell r="G11" t="str">
            <v>Right Issue</v>
          </cell>
          <cell r="I11" t="str">
            <v>: Nil</v>
          </cell>
        </row>
        <row r="12">
          <cell r="C12" t="str">
            <v>Bonus Issue</v>
          </cell>
          <cell r="E12" t="str">
            <v>: Nil</v>
          </cell>
          <cell r="G12" t="str">
            <v>Private Placement</v>
          </cell>
          <cell r="I12">
            <v>1200</v>
          </cell>
        </row>
        <row r="14">
          <cell r="A14" t="str">
            <v>III.</v>
          </cell>
          <cell r="B14" t="str">
            <v>Position of Mobilisation and Deployment of Funds (Amount in Rs. Thousands)</v>
          </cell>
        </row>
        <row r="15">
          <cell r="C15" t="str">
            <v>Total Liabilities</v>
          </cell>
          <cell r="E15">
            <v>298057.12233344995</v>
          </cell>
          <cell r="G15" t="str">
            <v>Total Assets</v>
          </cell>
          <cell r="I15">
            <v>298057.12233344995</v>
          </cell>
        </row>
        <row r="17">
          <cell r="C17" t="str">
            <v>Sources of Funds      : -</v>
          </cell>
        </row>
        <row r="18">
          <cell r="C18" t="str">
            <v>Paid-up Capital</v>
          </cell>
          <cell r="E18">
            <v>19500</v>
          </cell>
          <cell r="G18" t="str">
            <v>Reserves &amp; Surplus</v>
          </cell>
          <cell r="I18">
            <v>275522.48733344994</v>
          </cell>
          <cell r="K18">
            <v>298057.12233344995</v>
          </cell>
        </row>
        <row r="19">
          <cell r="C19" t="str">
            <v>Secured Loans</v>
          </cell>
          <cell r="E19">
            <v>3034.6350000000002</v>
          </cell>
          <cell r="G19" t="str">
            <v>Unsecured Loans</v>
          </cell>
          <cell r="I19" t="str">
            <v>NIL</v>
          </cell>
        </row>
        <row r="21">
          <cell r="C21" t="str">
            <v>Application of Funds : -</v>
          </cell>
        </row>
        <row r="22">
          <cell r="C22" t="str">
            <v>Net Fixed Asset</v>
          </cell>
          <cell r="E22">
            <v>701.93</v>
          </cell>
          <cell r="G22" t="str">
            <v>Investments</v>
          </cell>
          <cell r="I22">
            <v>289900.451</v>
          </cell>
          <cell r="K22">
            <v>298057.12196100003</v>
          </cell>
        </row>
        <row r="23">
          <cell r="C23" t="str">
            <v>Net Current Asset</v>
          </cell>
          <cell r="E23">
            <v>6889.6840000000002</v>
          </cell>
          <cell r="G23" t="str">
            <v>Misc. Expenditure</v>
          </cell>
          <cell r="I23">
            <v>61.427999999999997</v>
          </cell>
        </row>
        <row r="24">
          <cell r="C24" t="str">
            <v>Accumulated Losses</v>
          </cell>
          <cell r="E24" t="str">
            <v>NIL</v>
          </cell>
          <cell r="G24" t="str">
            <v>Deferred Tax - Net</v>
          </cell>
          <cell r="I24">
            <v>503.628961</v>
          </cell>
        </row>
        <row r="26">
          <cell r="A26" t="str">
            <v>IV.</v>
          </cell>
          <cell r="B26" t="str">
            <v>Performance of the Company (Amount in Rs. Thousands)</v>
          </cell>
        </row>
        <row r="27">
          <cell r="C27" t="str">
            <v>Turnover (Total Income)</v>
          </cell>
          <cell r="E27">
            <v>212.78804</v>
          </cell>
          <cell r="G27" t="str">
            <v>Total Expenditure</v>
          </cell>
          <cell r="I27">
            <v>36.51032</v>
          </cell>
        </row>
        <row r="28">
          <cell r="C28" t="str">
            <v xml:space="preserve">Profit/(Loss) before Tax </v>
          </cell>
          <cell r="E28">
            <v>176.27771999999999</v>
          </cell>
          <cell r="G28" t="str">
            <v>Profit/(Loss) after Tax</v>
          </cell>
          <cell r="I28">
            <v>16406.66433345</v>
          </cell>
        </row>
        <row r="29">
          <cell r="C29" t="str">
            <v>Earning per share in Rs.</v>
          </cell>
          <cell r="E29">
            <v>8.8905253214461837</v>
          </cell>
          <cell r="G29" t="str">
            <v>Dividend rate %</v>
          </cell>
          <cell r="I29" t="str">
            <v>NIL</v>
          </cell>
        </row>
        <row r="31">
          <cell r="A31" t="str">
            <v>V.</v>
          </cell>
          <cell r="B31" t="str">
            <v>Generic Names of three principal products/services of the Company (as per monetory terms)</v>
          </cell>
        </row>
        <row r="33">
          <cell r="C33" t="str">
            <v>Item Code No.</v>
          </cell>
          <cell r="E33" t="str">
            <v>: N.A</v>
          </cell>
          <cell r="G33" t="str">
            <v>Product Description</v>
          </cell>
          <cell r="I33" t="str">
            <v>: N.A</v>
          </cell>
        </row>
        <row r="35">
          <cell r="E35" t="str">
            <v>Signature to Schedules 1 to 14</v>
          </cell>
        </row>
        <row r="36">
          <cell r="A36" t="str">
            <v>As per our report of even date attached herewith.</v>
          </cell>
        </row>
        <row r="38">
          <cell r="F38" t="str">
            <v>J.P.Mundra</v>
          </cell>
        </row>
        <row r="39">
          <cell r="I39" t="str">
            <v xml:space="preserve"> </v>
          </cell>
        </row>
        <row r="40">
          <cell r="I40" t="str">
            <v xml:space="preserve"> </v>
          </cell>
        </row>
        <row r="41">
          <cell r="F41" t="str">
            <v>M.M.Mohta</v>
          </cell>
        </row>
        <row r="42">
          <cell r="A42" t="str">
            <v>Place : Kolkata</v>
          </cell>
        </row>
        <row r="43">
          <cell r="A43" t="str">
            <v>Date :   30 th July,2008</v>
          </cell>
          <cell r="I43" t="str">
            <v>DIRECTORS</v>
          </cell>
        </row>
        <row r="45">
          <cell r="F45" t="str">
            <v>S.P.Kumar</v>
          </cell>
        </row>
        <row r="49">
          <cell r="F49" t="str">
            <v>S.K.Singh</v>
          </cell>
        </row>
      </sheetData>
      <sheetData sheetId="6" refreshError="1">
        <row r="1">
          <cell r="A1" t="str">
            <v>MANNAKRISHNA INVESTMENTS PRIVATE LIMITED</v>
          </cell>
        </row>
      </sheetData>
      <sheetData sheetId="7" refreshError="1">
        <row r="1">
          <cell r="A1" t="str">
            <v>MANNAKRISHNA INVESTMENTS PRIVATE LIMITED</v>
          </cell>
        </row>
      </sheetData>
      <sheetData sheetId="8" refreshError="1">
        <row r="1">
          <cell r="A1" t="str">
            <v>MANNAKRISHNA INVESTMENTS PVT. LIMITED</v>
          </cell>
        </row>
      </sheetData>
      <sheetData sheetId="9" refreshError="1">
        <row r="5">
          <cell r="A5" t="str">
            <v>MANNAKRISHNA INVESTMENTS PVT. LIMITED</v>
          </cell>
        </row>
      </sheetData>
      <sheetData sheetId="10" refreshError="1">
        <row r="1">
          <cell r="A1" t="str">
            <v>MANNAKRISHNA INVESTMENTS PRIVATE LTD</v>
          </cell>
        </row>
      </sheetData>
      <sheetData sheetId="11" refreshError="1">
        <row r="1">
          <cell r="A1" t="str">
            <v>MANNAKRISHNA INVESTMENTS LTD.</v>
          </cell>
        </row>
      </sheetData>
      <sheetData sheetId="12" refreshError="1"/>
      <sheetData sheetId="1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sheetName val="PL"/>
      <sheetName val="Schdules"/>
      <sheetName val="Abstract"/>
      <sheetName val="details"/>
      <sheetName val="Comp"/>
      <sheetName val="14A (2)"/>
      <sheetName val="P&amp;L on invt."/>
      <sheetName val="CAl NBFC"/>
      <sheetName val="May-11"/>
      <sheetName val="Apr-11"/>
    </sheetNames>
    <sheetDataSet>
      <sheetData sheetId="0"/>
      <sheetData sheetId="1"/>
      <sheetData sheetId="2"/>
      <sheetData sheetId="3"/>
      <sheetData sheetId="4"/>
      <sheetData sheetId="5"/>
      <sheetData sheetId="6"/>
      <sheetData sheetId="7"/>
      <sheetData sheetId="8"/>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3:U76"/>
  <sheetViews>
    <sheetView showGridLines="0" view="pageBreakPreview" topLeftCell="A46" zoomScaleNormal="100" zoomScaleSheetLayoutView="100" workbookViewId="0">
      <pane xSplit="1" topLeftCell="B1" activePane="topRight" state="frozen"/>
      <selection pane="topRight" activeCell="C50" sqref="C50"/>
    </sheetView>
  </sheetViews>
  <sheetFormatPr defaultRowHeight="14.4" x14ac:dyDescent="0.3"/>
  <cols>
    <col min="1" max="1" width="21.5546875" customWidth="1"/>
    <col min="2" max="2" width="16.6640625" style="4" bestFit="1" customWidth="1"/>
    <col min="3" max="3" width="15.6640625" style="4" customWidth="1"/>
    <col min="4" max="4" width="17.44140625" style="4" customWidth="1"/>
    <col min="5" max="5" width="18.6640625" style="4" bestFit="1" customWidth="1"/>
    <col min="6" max="6" width="16.44140625" style="4" customWidth="1"/>
    <col min="7" max="7" width="14.88671875" style="4" bestFit="1" customWidth="1"/>
    <col min="8" max="8" width="12.109375" style="185" bestFit="1" customWidth="1"/>
    <col min="9" max="9" width="10.33203125" style="185" customWidth="1"/>
    <col min="10" max="10" width="15.6640625" style="4" customWidth="1"/>
    <col min="11" max="12" width="16.5546875" style="4" customWidth="1"/>
    <col min="13" max="13" width="18" style="141" bestFit="1" customWidth="1"/>
    <col min="14" max="14" width="20.6640625" style="141" customWidth="1"/>
    <col min="15" max="15" width="18" style="141" bestFit="1" customWidth="1"/>
    <col min="16" max="16" width="17" style="141" bestFit="1" customWidth="1"/>
    <col min="17" max="17" width="13.5546875" style="141" bestFit="1" customWidth="1"/>
    <col min="18" max="18" width="10.5546875" bestFit="1" customWidth="1"/>
    <col min="20" max="20" width="9.5546875" bestFit="1" customWidth="1"/>
  </cols>
  <sheetData>
    <row r="3" spans="1:17" ht="15.6" x14ac:dyDescent="0.3">
      <c r="A3" s="440" t="s">
        <v>4</v>
      </c>
      <c r="B3" s="440"/>
      <c r="C3" s="440"/>
      <c r="D3" s="440"/>
      <c r="E3" s="440"/>
      <c r="F3" s="440"/>
      <c r="G3" s="440"/>
      <c r="H3" s="440"/>
      <c r="I3" s="440"/>
      <c r="J3" s="440"/>
      <c r="K3" s="440"/>
      <c r="L3" s="440"/>
    </row>
    <row r="4" spans="1:17" x14ac:dyDescent="0.3">
      <c r="A4" s="178"/>
      <c r="B4" s="179"/>
      <c r="C4" s="180"/>
      <c r="D4" s="180"/>
      <c r="E4" s="180"/>
      <c r="F4" s="179"/>
      <c r="G4" s="179"/>
      <c r="H4" s="181"/>
      <c r="I4" s="181"/>
      <c r="J4" s="179"/>
      <c r="K4" s="179"/>
      <c r="L4" s="179"/>
    </row>
    <row r="5" spans="1:17" x14ac:dyDescent="0.3">
      <c r="A5" s="441" t="s">
        <v>413</v>
      </c>
      <c r="B5" s="441"/>
      <c r="C5" s="441"/>
      <c r="D5" s="441"/>
      <c r="E5" s="441"/>
      <c r="F5" s="441"/>
      <c r="G5" s="441"/>
      <c r="H5" s="441"/>
      <c r="I5" s="441"/>
      <c r="J5" s="441"/>
      <c r="K5" s="441"/>
      <c r="L5" s="441"/>
    </row>
    <row r="6" spans="1:17" x14ac:dyDescent="0.3">
      <c r="H6" s="182" t="s">
        <v>502</v>
      </c>
      <c r="I6" s="182"/>
    </row>
    <row r="7" spans="1:17" x14ac:dyDescent="0.3">
      <c r="A7" s="183" t="s">
        <v>414</v>
      </c>
      <c r="C7" s="184"/>
      <c r="H7" s="182" t="s">
        <v>503</v>
      </c>
      <c r="I7" s="182"/>
    </row>
    <row r="8" spans="1:17" x14ac:dyDescent="0.3">
      <c r="A8" s="183" t="s">
        <v>396</v>
      </c>
      <c r="C8" s="184"/>
      <c r="D8" s="184"/>
      <c r="E8" s="184"/>
    </row>
    <row r="9" spans="1:17" ht="86.25" customHeight="1" x14ac:dyDescent="0.3">
      <c r="A9" s="281" t="s">
        <v>415</v>
      </c>
      <c r="B9" s="282" t="s">
        <v>422</v>
      </c>
      <c r="C9" s="283" t="s">
        <v>416</v>
      </c>
      <c r="D9" s="283" t="s">
        <v>417</v>
      </c>
      <c r="E9" s="283" t="s">
        <v>418</v>
      </c>
      <c r="F9" s="283" t="s">
        <v>419</v>
      </c>
      <c r="G9" s="284" t="s">
        <v>445</v>
      </c>
      <c r="H9" s="280" t="s">
        <v>420</v>
      </c>
      <c r="I9" s="280"/>
      <c r="J9" s="284" t="s">
        <v>421</v>
      </c>
      <c r="K9" s="285" t="s">
        <v>487</v>
      </c>
    </row>
    <row r="10" spans="1:17" x14ac:dyDescent="0.3">
      <c r="A10" s="246"/>
      <c r="B10" s="186"/>
      <c r="C10" s="190"/>
      <c r="D10" s="187"/>
      <c r="E10" s="187"/>
      <c r="F10" s="187"/>
      <c r="G10" s="385"/>
      <c r="H10" s="291"/>
      <c r="I10" s="188"/>
      <c r="J10" s="189"/>
      <c r="K10" s="190"/>
      <c r="L10" s="191"/>
    </row>
    <row r="11" spans="1:17" x14ac:dyDescent="0.3">
      <c r="A11" s="155" t="s">
        <v>384</v>
      </c>
      <c r="B11" s="286">
        <v>18740124</v>
      </c>
      <c r="C11" s="287">
        <v>0</v>
      </c>
      <c r="D11" s="287">
        <f>'Depreciation Co''s Act'!D503</f>
        <v>38950500</v>
      </c>
      <c r="E11" s="287"/>
      <c r="F11" s="287">
        <f>B11-C11+D11+E11</f>
        <v>57690624</v>
      </c>
      <c r="G11" s="288"/>
      <c r="H11" s="291" t="s">
        <v>385</v>
      </c>
      <c r="I11" s="289"/>
      <c r="J11" s="287">
        <v>0</v>
      </c>
      <c r="K11" s="290">
        <f>F11+G11-J11</f>
        <v>57690624</v>
      </c>
      <c r="L11" s="191"/>
    </row>
    <row r="12" spans="1:17" x14ac:dyDescent="0.3">
      <c r="A12" s="155"/>
      <c r="B12" s="286"/>
      <c r="C12" s="287"/>
      <c r="D12" s="287"/>
      <c r="E12" s="287"/>
      <c r="F12" s="287"/>
      <c r="G12" s="288"/>
      <c r="H12" s="291"/>
      <c r="I12" s="289"/>
      <c r="J12" s="292"/>
      <c r="K12" s="290"/>
      <c r="L12" s="191"/>
    </row>
    <row r="13" spans="1:17" s="193" customFormat="1" x14ac:dyDescent="0.3">
      <c r="A13" s="155" t="s">
        <v>386</v>
      </c>
      <c r="B13" s="386">
        <v>58206498</v>
      </c>
      <c r="C13" s="293">
        <v>0</v>
      </c>
      <c r="D13" s="294">
        <f>'Depreciation Co''s Act'!D110</f>
        <v>142735363.30999997</v>
      </c>
      <c r="E13" s="295">
        <f>SUM('Depreciation Co''s Act'!D111:D113)</f>
        <v>394086163.57000023</v>
      </c>
      <c r="F13" s="294">
        <f>B13-C13+E13+D13</f>
        <v>595028024.88000023</v>
      </c>
      <c r="G13" s="296"/>
      <c r="H13" s="303">
        <v>0.1</v>
      </c>
      <c r="I13" s="297"/>
      <c r="J13" s="287">
        <f>ROUND((B13+D13-C13)*H13+(E13*H13/2),0)</f>
        <v>39798494</v>
      </c>
      <c r="K13" s="298">
        <f>F13+G13-J13</f>
        <v>555229530.88000023</v>
      </c>
      <c r="L13" s="192"/>
      <c r="M13" s="428"/>
      <c r="N13" s="428"/>
      <c r="O13" s="428"/>
      <c r="P13" s="428"/>
      <c r="Q13" s="428"/>
    </row>
    <row r="14" spans="1:17" x14ac:dyDescent="0.3">
      <c r="A14" s="155"/>
      <c r="B14" s="286"/>
      <c r="C14" s="287"/>
      <c r="D14" s="287"/>
      <c r="E14" s="287"/>
      <c r="F14" s="287"/>
      <c r="G14" s="288"/>
      <c r="H14" s="303"/>
      <c r="I14" s="289"/>
      <c r="J14" s="292"/>
      <c r="K14" s="290"/>
      <c r="L14" s="191"/>
    </row>
    <row r="15" spans="1:17" x14ac:dyDescent="0.3">
      <c r="A15" s="155" t="s">
        <v>387</v>
      </c>
      <c r="B15" s="286">
        <v>1262781729.998081</v>
      </c>
      <c r="C15" s="293">
        <v>0</v>
      </c>
      <c r="D15" s="287">
        <f>'Depreciation Co''s Act'!D301</f>
        <v>954653540.76969934</v>
      </c>
      <c r="E15" s="287">
        <f>SUM('Depreciation Co''s Act'!D302:D305)</f>
        <v>2429549034.5202994</v>
      </c>
      <c r="F15" s="287">
        <f>B15-C15+D15+E15</f>
        <v>4646984305.2880802</v>
      </c>
      <c r="G15" s="288"/>
      <c r="H15" s="303">
        <v>0.15</v>
      </c>
      <c r="I15" s="299"/>
      <c r="J15" s="287">
        <f>ROUND((B15+D15-C15)*H15+(E15*H15/2),0)</f>
        <v>514831468</v>
      </c>
      <c r="K15" s="290">
        <f>F15+G15-J15</f>
        <v>4132152837.2880802</v>
      </c>
      <c r="L15" s="191">
        <f>D15</f>
        <v>954653540.76969934</v>
      </c>
      <c r="M15" s="141">
        <f>B15</f>
        <v>1262781729.998081</v>
      </c>
      <c r="N15" s="141">
        <f>E15</f>
        <v>2429549034.5202994</v>
      </c>
    </row>
    <row r="16" spans="1:17" x14ac:dyDescent="0.3">
      <c r="A16" s="155"/>
      <c r="B16" s="286"/>
      <c r="C16" s="287"/>
      <c r="D16" s="287"/>
      <c r="E16" s="287"/>
      <c r="F16" s="287"/>
      <c r="G16" s="288"/>
      <c r="H16" s="303"/>
      <c r="I16" s="300"/>
      <c r="J16" s="292"/>
      <c r="K16" s="290"/>
      <c r="L16" s="191">
        <f>L15*0.15</f>
        <v>143198031.11545488</v>
      </c>
      <c r="M16" s="141">
        <f>M15*0.15</f>
        <v>189417259.49971214</v>
      </c>
      <c r="N16" s="141">
        <f>N15*0.15/2</f>
        <v>182216177.58902246</v>
      </c>
      <c r="O16" s="141">
        <f>L16+M16+N16</f>
        <v>514831468.20418948</v>
      </c>
    </row>
    <row r="17" spans="1:17" x14ac:dyDescent="0.3">
      <c r="A17" s="155" t="s">
        <v>388</v>
      </c>
      <c r="B17" s="286">
        <v>15285094</v>
      </c>
      <c r="C17" s="293">
        <v>0</v>
      </c>
      <c r="D17" s="287">
        <f>SUM('Depreciation Co''s Act'!D160:D161)</f>
        <v>653008</v>
      </c>
      <c r="E17" s="287">
        <f>SUM('Depreciation Co''s Act'!D162:D167)</f>
        <v>306584.70999999996</v>
      </c>
      <c r="F17" s="287">
        <f>B17-C17+D17+E17</f>
        <v>16244686.710000001</v>
      </c>
      <c r="G17" s="288"/>
      <c r="H17" s="303">
        <v>0.15</v>
      </c>
      <c r="I17" s="299"/>
      <c r="J17" s="287">
        <f>ROUND((B17+D17-C17)*H17+(E17*H17/2),0)</f>
        <v>2413709</v>
      </c>
      <c r="K17" s="290">
        <f>F17+G17-J17</f>
        <v>13830977.710000001</v>
      </c>
      <c r="L17" s="191"/>
    </row>
    <row r="18" spans="1:17" x14ac:dyDescent="0.3">
      <c r="A18" s="155"/>
      <c r="B18" s="286"/>
      <c r="C18" s="287"/>
      <c r="D18" s="287"/>
      <c r="E18" s="287"/>
      <c r="F18" s="287"/>
      <c r="G18" s="288"/>
      <c r="H18" s="303"/>
      <c r="I18" s="299"/>
      <c r="J18" s="287"/>
      <c r="K18" s="290"/>
      <c r="L18" s="191"/>
    </row>
    <row r="19" spans="1:17" x14ac:dyDescent="0.3">
      <c r="A19" s="155" t="s">
        <v>389</v>
      </c>
      <c r="B19" s="286">
        <v>101304</v>
      </c>
      <c r="C19" s="293">
        <v>0</v>
      </c>
      <c r="D19" s="287">
        <f>SUM('Depreciation Co''s Act'!D19:D23)</f>
        <v>187582.82</v>
      </c>
      <c r="E19" s="287">
        <f>SUM('Depreciation Co''s Act'!D24:D26)</f>
        <v>73290.63</v>
      </c>
      <c r="F19" s="287">
        <f>B19-C19+D19+E19</f>
        <v>362177.45</v>
      </c>
      <c r="G19" s="288"/>
      <c r="H19" s="303">
        <v>0.15</v>
      </c>
      <c r="I19" s="300"/>
      <c r="J19" s="287">
        <f>ROUND((B19+D19-C19)*H19+(E19*H19/2),0)</f>
        <v>48830</v>
      </c>
      <c r="K19" s="290">
        <f>F19+G19-J19</f>
        <v>313347.45</v>
      </c>
      <c r="L19" s="191"/>
    </row>
    <row r="20" spans="1:17" x14ac:dyDescent="0.3">
      <c r="A20" s="155"/>
      <c r="B20" s="286"/>
      <c r="C20" s="287"/>
      <c r="D20" s="287"/>
      <c r="E20" s="287"/>
      <c r="F20" s="287"/>
      <c r="G20" s="288"/>
      <c r="H20" s="303"/>
      <c r="I20" s="289"/>
      <c r="J20" s="287"/>
      <c r="K20" s="290"/>
      <c r="L20" s="191"/>
    </row>
    <row r="21" spans="1:17" x14ac:dyDescent="0.3">
      <c r="A21" s="155" t="s">
        <v>390</v>
      </c>
      <c r="B21" s="286">
        <v>213313</v>
      </c>
      <c r="C21" s="293">
        <v>0</v>
      </c>
      <c r="D21" s="287"/>
      <c r="E21" s="287">
        <v>0</v>
      </c>
      <c r="F21" s="287">
        <f>B21-C21+D21+E21</f>
        <v>213313</v>
      </c>
      <c r="G21" s="288"/>
      <c r="H21" s="303">
        <v>0.15</v>
      </c>
      <c r="I21" s="289"/>
      <c r="J21" s="287">
        <f>ROUND((B21+D21-C21)*H21+(E21*H21/2),0)</f>
        <v>31997</v>
      </c>
      <c r="K21" s="290">
        <f>F21+G21-J21</f>
        <v>181316</v>
      </c>
      <c r="L21" s="191"/>
    </row>
    <row r="22" spans="1:17" x14ac:dyDescent="0.3">
      <c r="A22" s="155"/>
      <c r="B22" s="286"/>
      <c r="C22" s="287"/>
      <c r="D22" s="287"/>
      <c r="E22" s="287"/>
      <c r="F22" s="287"/>
      <c r="G22" s="288"/>
      <c r="H22" s="303"/>
      <c r="I22" s="299"/>
      <c r="J22" s="287"/>
      <c r="K22" s="290"/>
      <c r="L22" s="191"/>
    </row>
    <row r="23" spans="1:17" x14ac:dyDescent="0.3">
      <c r="A23" s="155" t="s">
        <v>393</v>
      </c>
      <c r="B23" s="286">
        <v>18978433.530000001</v>
      </c>
      <c r="C23" s="293">
        <v>0</v>
      </c>
      <c r="D23" s="287">
        <f>SUM('Depreciation Co''s Act'!D391:D400)</f>
        <v>33794463.039999999</v>
      </c>
      <c r="E23" s="287">
        <f>SUM('Depreciation Co''s Act'!D401:D404)</f>
        <v>29548384.770000003</v>
      </c>
      <c r="F23" s="287">
        <f>B23-C23+D23+E23</f>
        <v>82321281.340000004</v>
      </c>
      <c r="G23" s="288"/>
      <c r="H23" s="303">
        <v>0.15</v>
      </c>
      <c r="I23" s="299"/>
      <c r="J23" s="287">
        <f>ROUND((B23+D23-C23)*H23+(E23*H23/2),0)</f>
        <v>10132063</v>
      </c>
      <c r="K23" s="290">
        <f>F23+G23-J23</f>
        <v>72189218.340000004</v>
      </c>
      <c r="L23" s="191"/>
    </row>
    <row r="24" spans="1:17" x14ac:dyDescent="0.3">
      <c r="A24" s="157"/>
      <c r="B24" s="286"/>
      <c r="C24" s="287"/>
      <c r="D24" s="287"/>
      <c r="E24" s="287"/>
      <c r="F24" s="287"/>
      <c r="G24" s="288"/>
      <c r="H24" s="303"/>
      <c r="I24" s="299"/>
      <c r="J24" s="287"/>
      <c r="K24" s="290"/>
      <c r="L24" s="191"/>
    </row>
    <row r="25" spans="1:17" x14ac:dyDescent="0.3">
      <c r="A25" s="155" t="s">
        <v>394</v>
      </c>
      <c r="B25" s="286">
        <v>1650721</v>
      </c>
      <c r="C25" s="293">
        <v>0</v>
      </c>
      <c r="D25" s="287"/>
      <c r="E25" s="287"/>
      <c r="F25" s="287">
        <f>B25-C25+D25+E25</f>
        <v>1650721</v>
      </c>
      <c r="G25" s="288"/>
      <c r="H25" s="303">
        <v>0.15</v>
      </c>
      <c r="I25" s="299"/>
      <c r="J25" s="287">
        <f>ROUND((B25+D25-C25)*H25+(E25*H25/2),0)</f>
        <v>247608</v>
      </c>
      <c r="K25" s="290">
        <f>F25+G25-J25</f>
        <v>1403113</v>
      </c>
      <c r="L25" s="191"/>
    </row>
    <row r="26" spans="1:17" x14ac:dyDescent="0.3">
      <c r="A26" s="155"/>
      <c r="B26" s="286"/>
      <c r="C26" s="287"/>
      <c r="D26" s="287"/>
      <c r="E26" s="287"/>
      <c r="F26" s="287"/>
      <c r="G26" s="288"/>
      <c r="H26" s="303"/>
      <c r="I26" s="299"/>
      <c r="J26" s="287"/>
      <c r="K26" s="290"/>
      <c r="L26" s="191"/>
    </row>
    <row r="27" spans="1:17" x14ac:dyDescent="0.3">
      <c r="A27" s="155" t="s">
        <v>391</v>
      </c>
      <c r="B27" s="286">
        <v>1214361.4200000002</v>
      </c>
      <c r="C27" s="293">
        <v>0</v>
      </c>
      <c r="D27" s="287">
        <f>SUM('Depreciation Co''s Act'!D455:D470)</f>
        <v>2440872.3400000003</v>
      </c>
      <c r="E27" s="287">
        <f>SUM('Depreciation Co''s Act'!D471:D494)</f>
        <v>2652717.7299999995</v>
      </c>
      <c r="F27" s="287">
        <f>B27-C27+D27+E27</f>
        <v>6307951.4900000002</v>
      </c>
      <c r="G27" s="288"/>
      <c r="H27" s="303">
        <v>0.4</v>
      </c>
      <c r="I27" s="299"/>
      <c r="J27" s="287">
        <f>ROUND((B27+D27-C27)*H27+(E27*H27/2),0)</f>
        <v>1992637</v>
      </c>
      <c r="K27" s="290">
        <f>F27+G27-J27</f>
        <v>4315314.49</v>
      </c>
      <c r="L27" s="191"/>
    </row>
    <row r="28" spans="1:17" x14ac:dyDescent="0.3">
      <c r="A28" s="155"/>
      <c r="B28" s="286"/>
      <c r="C28" s="287"/>
      <c r="D28" s="287"/>
      <c r="E28" s="287"/>
      <c r="F28" s="287"/>
      <c r="G28" s="288"/>
      <c r="H28" s="303"/>
      <c r="I28" s="299"/>
      <c r="J28" s="287"/>
      <c r="K28" s="290"/>
      <c r="L28" s="191"/>
    </row>
    <row r="29" spans="1:17" x14ac:dyDescent="0.3">
      <c r="A29" s="155" t="s">
        <v>392</v>
      </c>
      <c r="B29" s="286">
        <v>624174</v>
      </c>
      <c r="C29" s="293">
        <v>0</v>
      </c>
      <c r="D29" s="287">
        <f>SUM('Depreciation Co''s Act'!D348:D360)</f>
        <v>364146.28</v>
      </c>
      <c r="E29" s="287">
        <f>SUM('Depreciation Co''s Act'!D361:D369)</f>
        <v>301537.06</v>
      </c>
      <c r="F29" s="287">
        <f>B29-C29+D29+E29</f>
        <v>1289857.3400000001</v>
      </c>
      <c r="G29" s="288"/>
      <c r="H29" s="303">
        <v>0.1</v>
      </c>
      <c r="I29" s="299"/>
      <c r="J29" s="287">
        <f>ROUND((B29+D29-C29)*H29+(E29*H29/2),0)</f>
        <v>113909</v>
      </c>
      <c r="K29" s="290">
        <f>F29+G29-J29</f>
        <v>1175948.3400000001</v>
      </c>
      <c r="L29" s="191"/>
    </row>
    <row r="30" spans="1:17" x14ac:dyDescent="0.3">
      <c r="A30" s="155"/>
      <c r="B30" s="286"/>
      <c r="C30" s="293"/>
      <c r="D30" s="287"/>
      <c r="E30" s="287"/>
      <c r="F30" s="287"/>
      <c r="G30" s="288"/>
      <c r="H30" s="303"/>
      <c r="I30" s="299"/>
      <c r="J30" s="287"/>
      <c r="K30" s="290"/>
      <c r="L30" s="191"/>
    </row>
    <row r="31" spans="1:17" s="394" customFormat="1" x14ac:dyDescent="0.3">
      <c r="A31" s="387" t="s">
        <v>388</v>
      </c>
      <c r="B31" s="345">
        <v>96278</v>
      </c>
      <c r="C31" s="388">
        <v>0</v>
      </c>
      <c r="D31" s="389"/>
      <c r="E31" s="389"/>
      <c r="F31" s="389">
        <f>B31-C31+D31+E31</f>
        <v>96278</v>
      </c>
      <c r="G31" s="390"/>
      <c r="H31" s="391">
        <v>0.1</v>
      </c>
      <c r="I31" s="392"/>
      <c r="J31" s="389">
        <f>ROUND((B31+D31-C31)*H31+(E31*H31/2),0)</f>
        <v>9628</v>
      </c>
      <c r="K31" s="393">
        <f>F31+G31-J31</f>
        <v>86650</v>
      </c>
      <c r="L31" s="378" t="s">
        <v>493</v>
      </c>
      <c r="M31" s="429"/>
      <c r="N31" s="429"/>
      <c r="O31" s="429"/>
      <c r="P31" s="429"/>
      <c r="Q31" s="429"/>
    </row>
    <row r="32" spans="1:17" x14ac:dyDescent="0.3">
      <c r="A32" s="155"/>
      <c r="B32" s="286"/>
      <c r="C32" s="287"/>
      <c r="D32" s="287"/>
      <c r="E32" s="287"/>
      <c r="F32" s="287"/>
      <c r="G32" s="288"/>
      <c r="H32" s="304"/>
      <c r="I32" s="299"/>
      <c r="J32" s="287"/>
      <c r="K32" s="290"/>
      <c r="L32" s="191"/>
    </row>
    <row r="33" spans="1:17" ht="15" thickBot="1" x14ac:dyDescent="0.35">
      <c r="A33" s="155"/>
      <c r="B33" s="286"/>
      <c r="C33" s="287"/>
      <c r="D33" s="287"/>
      <c r="E33" s="287"/>
      <c r="F33" s="287"/>
      <c r="G33" s="288"/>
      <c r="H33" s="305"/>
      <c r="I33" s="301"/>
      <c r="J33" s="292"/>
      <c r="K33" s="290"/>
      <c r="L33" s="191"/>
    </row>
    <row r="34" spans="1:17" s="198" customFormat="1" ht="15" thickBot="1" x14ac:dyDescent="0.35">
      <c r="A34" s="245"/>
      <c r="B34" s="302">
        <f>SUM(B11:B31)</f>
        <v>1377892030.948081</v>
      </c>
      <c r="C34" s="302">
        <f t="shared" ref="C34:K34" si="0">SUM(C11:C31)</f>
        <v>0</v>
      </c>
      <c r="D34" s="302">
        <f t="shared" si="0"/>
        <v>1173779476.5596991</v>
      </c>
      <c r="E34" s="302">
        <f t="shared" si="0"/>
        <v>2856517712.9902997</v>
      </c>
      <c r="F34" s="302">
        <f t="shared" si="0"/>
        <v>5408189220.4980803</v>
      </c>
      <c r="G34" s="302">
        <f t="shared" si="0"/>
        <v>0</v>
      </c>
      <c r="H34" s="302"/>
      <c r="I34" s="302">
        <f t="shared" si="0"/>
        <v>0</v>
      </c>
      <c r="J34" s="302">
        <f t="shared" si="0"/>
        <v>569620343</v>
      </c>
      <c r="K34" s="302">
        <f t="shared" si="0"/>
        <v>4838568877.4980803</v>
      </c>
      <c r="L34" s="197"/>
      <c r="M34" s="430"/>
      <c r="N34" s="430"/>
      <c r="O34" s="430"/>
      <c r="P34" s="430"/>
      <c r="Q34" s="430"/>
    </row>
    <row r="35" spans="1:17" x14ac:dyDescent="0.3">
      <c r="A35" s="155"/>
      <c r="B35" s="156"/>
      <c r="C35" s="199"/>
      <c r="D35" s="199"/>
      <c r="E35" s="199">
        <f>E34+D34</f>
        <v>4030297189.5499988</v>
      </c>
      <c r="F35" s="199"/>
      <c r="G35" s="199"/>
      <c r="H35" s="200"/>
      <c r="I35" s="200"/>
      <c r="J35" s="199"/>
      <c r="K35" s="199"/>
      <c r="L35" s="199"/>
    </row>
    <row r="36" spans="1:17" x14ac:dyDescent="0.3">
      <c r="A36" s="155"/>
      <c r="B36" s="156"/>
      <c r="C36" s="199" t="s">
        <v>446</v>
      </c>
      <c r="D36" s="306">
        <f>SUM(D34:E34)-C59</f>
        <v>0</v>
      </c>
      <c r="E36" s="199">
        <f>C59</f>
        <v>4030297189.5499992</v>
      </c>
      <c r="F36" s="199"/>
      <c r="G36" s="199"/>
      <c r="H36" s="200"/>
      <c r="I36" s="200"/>
      <c r="J36" s="199"/>
      <c r="K36" s="199"/>
      <c r="L36" s="199"/>
    </row>
    <row r="37" spans="1:17" x14ac:dyDescent="0.3">
      <c r="A37" s="155"/>
      <c r="B37" s="156"/>
      <c r="C37" s="201"/>
      <c r="D37" s="201"/>
      <c r="E37" s="412">
        <f>E35-E36</f>
        <v>0</v>
      </c>
      <c r="F37" s="201"/>
      <c r="G37" s="201"/>
      <c r="H37" s="200"/>
      <c r="I37" s="200"/>
      <c r="J37" s="201"/>
      <c r="K37" s="201"/>
      <c r="L37" s="201"/>
    </row>
    <row r="38" spans="1:17" x14ac:dyDescent="0.3">
      <c r="A38" s="157"/>
      <c r="B38" s="156"/>
      <c r="C38" s="201"/>
      <c r="D38" s="201"/>
      <c r="E38" s="201"/>
      <c r="F38" s="201"/>
      <c r="G38" s="201"/>
      <c r="H38" s="200"/>
      <c r="I38" s="200"/>
      <c r="J38" s="184"/>
      <c r="K38" s="201"/>
      <c r="L38" s="201"/>
    </row>
    <row r="39" spans="1:17" x14ac:dyDescent="0.3">
      <c r="A39" s="155"/>
      <c r="B39" s="156"/>
      <c r="C39" s="201"/>
      <c r="D39" s="201"/>
      <c r="E39" s="201"/>
      <c r="F39" s="201"/>
      <c r="G39" s="201"/>
      <c r="H39" s="200"/>
      <c r="I39" s="200"/>
      <c r="J39" s="201"/>
      <c r="K39" s="201"/>
      <c r="L39" s="201"/>
    </row>
    <row r="40" spans="1:17" ht="15.6" x14ac:dyDescent="0.3">
      <c r="A40" s="440" t="s">
        <v>4</v>
      </c>
      <c r="B40" s="440"/>
      <c r="C40" s="440"/>
      <c r="D40" s="440"/>
      <c r="E40" s="440"/>
      <c r="F40" s="440"/>
      <c r="G40" s="440"/>
      <c r="H40" s="440"/>
      <c r="I40" s="440"/>
      <c r="J40" s="440"/>
      <c r="K40" s="440"/>
      <c r="L40" s="440"/>
    </row>
    <row r="41" spans="1:17" x14ac:dyDescent="0.3">
      <c r="A41" s="441" t="s">
        <v>494</v>
      </c>
      <c r="B41" s="441"/>
      <c r="C41" s="441"/>
      <c r="D41" s="441"/>
      <c r="E41" s="441"/>
      <c r="F41" s="441"/>
      <c r="G41" s="441"/>
      <c r="H41" s="441"/>
      <c r="I41" s="441"/>
      <c r="J41" s="441"/>
      <c r="K41" s="441"/>
      <c r="L41" s="441"/>
    </row>
    <row r="42" spans="1:17" x14ac:dyDescent="0.3">
      <c r="A42" s="183" t="s">
        <v>423</v>
      </c>
      <c r="C42" s="184"/>
      <c r="D42" s="184"/>
      <c r="E42" s="184"/>
    </row>
    <row r="43" spans="1:17" ht="15" thickBot="1" x14ac:dyDescent="0.35">
      <c r="A43" s="183" t="s">
        <v>424</v>
      </c>
      <c r="C43" s="184"/>
      <c r="D43" s="184"/>
      <c r="E43" s="184"/>
    </row>
    <row r="44" spans="1:17" ht="16.2" thickBot="1" x14ac:dyDescent="0.35">
      <c r="A44" s="271"/>
      <c r="B44" s="442" t="s">
        <v>425</v>
      </c>
      <c r="C44" s="443"/>
      <c r="D44" s="443"/>
      <c r="E44" s="444"/>
      <c r="F44" s="445" t="s">
        <v>426</v>
      </c>
      <c r="G44" s="446"/>
      <c r="H44" s="446"/>
      <c r="I44" s="446"/>
      <c r="J44" s="446"/>
      <c r="K44" s="447" t="s">
        <v>427</v>
      </c>
      <c r="L44" s="448"/>
    </row>
    <row r="45" spans="1:17" ht="40.200000000000003" thickBot="1" x14ac:dyDescent="0.35">
      <c r="A45" s="272" t="s">
        <v>415</v>
      </c>
      <c r="B45" s="273" t="s">
        <v>484</v>
      </c>
      <c r="C45" s="274" t="s">
        <v>428</v>
      </c>
      <c r="D45" s="275" t="s">
        <v>429</v>
      </c>
      <c r="E45" s="276" t="s">
        <v>395</v>
      </c>
      <c r="F45" s="277" t="s">
        <v>485</v>
      </c>
      <c r="G45" s="278" t="s">
        <v>430</v>
      </c>
      <c r="H45" s="279" t="s">
        <v>431</v>
      </c>
      <c r="I45" s="275" t="s">
        <v>432</v>
      </c>
      <c r="J45" s="276" t="s">
        <v>395</v>
      </c>
      <c r="K45" s="273" t="s">
        <v>486</v>
      </c>
      <c r="L45" s="273" t="s">
        <v>433</v>
      </c>
      <c r="M45" s="431"/>
      <c r="N45" s="431"/>
      <c r="O45" s="432" t="s">
        <v>488</v>
      </c>
      <c r="P45" s="432" t="s">
        <v>489</v>
      </c>
    </row>
    <row r="46" spans="1:17" ht="9" customHeight="1" x14ac:dyDescent="0.3">
      <c r="A46" s="202"/>
      <c r="B46" s="264"/>
      <c r="C46" s="203"/>
      <c r="D46" s="204"/>
      <c r="E46" s="205"/>
      <c r="F46" s="209"/>
      <c r="G46" s="206"/>
      <c r="H46" s="207"/>
      <c r="I46" s="208"/>
      <c r="J46" s="205"/>
      <c r="K46" s="209"/>
      <c r="L46" s="209"/>
      <c r="M46" s="428"/>
    </row>
    <row r="47" spans="1:17" s="191" customFormat="1" x14ac:dyDescent="0.3">
      <c r="A47" s="210"/>
      <c r="B47" s="171"/>
      <c r="C47" s="187"/>
      <c r="D47" s="190"/>
      <c r="E47" s="176"/>
      <c r="F47" s="210"/>
      <c r="G47" s="190"/>
      <c r="H47" s="207"/>
      <c r="I47" s="208"/>
      <c r="J47" s="176"/>
      <c r="K47" s="210"/>
      <c r="L47" s="210"/>
      <c r="M47" s="428" t="s">
        <v>447</v>
      </c>
      <c r="N47" s="141"/>
      <c r="O47" s="141"/>
      <c r="P47" s="141"/>
      <c r="Q47" s="141"/>
    </row>
    <row r="48" spans="1:17" s="191" customFormat="1" x14ac:dyDescent="0.3">
      <c r="A48" s="265" t="s">
        <v>7</v>
      </c>
      <c r="B48" s="213">
        <v>19410123.52</v>
      </c>
      <c r="C48" s="420">
        <f>'Depreciation Co''s Act'!D503</f>
        <v>38950500</v>
      </c>
      <c r="D48" s="190"/>
      <c r="E48" s="379">
        <f>B48+C48-D48</f>
        <v>58360623.519999996</v>
      </c>
      <c r="F48" s="210">
        <v>0</v>
      </c>
      <c r="G48" s="218">
        <f>'Depreciation Co''s Act'!V504</f>
        <v>0</v>
      </c>
      <c r="H48" s="207"/>
      <c r="I48" s="208"/>
      <c r="J48" s="176">
        <f>F48+G48-H48-I48</f>
        <v>0</v>
      </c>
      <c r="K48" s="212">
        <f>E48-J48</f>
        <v>58360623.519999996</v>
      </c>
      <c r="L48" s="395">
        <f>B48-F48</f>
        <v>19410123.52</v>
      </c>
      <c r="M48" s="141">
        <v>19410124</v>
      </c>
      <c r="N48" s="141">
        <f t="shared" ref="N48:N56" si="1">M48-L48</f>
        <v>0.48000000044703484</v>
      </c>
      <c r="O48" s="141">
        <f>'Depreciation Co''s Act'!AF504</f>
        <v>58360623.519999996</v>
      </c>
      <c r="P48" s="141">
        <f>K48-O48</f>
        <v>0</v>
      </c>
      <c r="Q48" s="141"/>
    </row>
    <row r="49" spans="1:21" s="217" customFormat="1" x14ac:dyDescent="0.3">
      <c r="A49" s="265" t="s">
        <v>440</v>
      </c>
      <c r="B49" s="213">
        <v>210012676.38999999</v>
      </c>
      <c r="C49" s="420">
        <f>SUM('Depreciation Co''s Act'!D110:D114)</f>
        <v>536821526.88000017</v>
      </c>
      <c r="D49" s="215"/>
      <c r="E49" s="379">
        <f>B49+C49-D49</f>
        <v>746834203.27000022</v>
      </c>
      <c r="F49" s="267">
        <v>84222389.153860688</v>
      </c>
      <c r="G49" s="410">
        <f>'Depreciation Co''s Act'!$V$116</f>
        <v>9741705.8233138639</v>
      </c>
      <c r="H49" s="382"/>
      <c r="I49" s="383"/>
      <c r="J49" s="379">
        <f>F49+G49-H49-I49</f>
        <v>93964094.97717455</v>
      </c>
      <c r="K49" s="381">
        <f>E49-J49</f>
        <v>652870108.2928257</v>
      </c>
      <c r="L49" s="395">
        <f>B49-F49</f>
        <v>125790287.2361393</v>
      </c>
      <c r="M49" s="433">
        <v>132363208</v>
      </c>
      <c r="N49" s="433">
        <f t="shared" si="1"/>
        <v>6572920.7638607025</v>
      </c>
      <c r="O49" s="433">
        <f>'Depreciation Co''s Act'!$AF$116</f>
        <v>652870108.2928257</v>
      </c>
      <c r="P49" s="433">
        <f t="shared" ref="P49:P56" si="2">K49-O49</f>
        <v>0</v>
      </c>
      <c r="Q49" s="433"/>
    </row>
    <row r="50" spans="1:21" s="217" customFormat="1" x14ac:dyDescent="0.3">
      <c r="A50" s="265" t="s">
        <v>368</v>
      </c>
      <c r="B50" s="213">
        <v>2451408147.4080811</v>
      </c>
      <c r="C50" s="420">
        <f>SUM('Depreciation Co''s Act'!D301:D305)</f>
        <v>3384202575.289999</v>
      </c>
      <c r="D50" s="215"/>
      <c r="E50" s="379">
        <f>B50+C50-D50</f>
        <v>5835610722.6980801</v>
      </c>
      <c r="F50" s="267">
        <v>662902876.53761995</v>
      </c>
      <c r="G50" s="410">
        <f>'Depreciation Co''s Act'!V307</f>
        <v>114661258.61600338</v>
      </c>
      <c r="H50" s="384"/>
      <c r="I50" s="216"/>
      <c r="J50" s="379">
        <f>F50+G50-H50-I50</f>
        <v>777564135.15362334</v>
      </c>
      <c r="K50" s="381">
        <f>E50-J50</f>
        <v>5058046587.5444565</v>
      </c>
      <c r="L50" s="395">
        <f>B50-F50</f>
        <v>1788505270.870461</v>
      </c>
      <c r="M50" s="433">
        <v>594870018</v>
      </c>
      <c r="N50" s="433">
        <f t="shared" si="1"/>
        <v>-1193635252.870461</v>
      </c>
      <c r="O50" s="433">
        <f>'Depreciation Co''s Act'!$AF$307</f>
        <v>5059519994.4915133</v>
      </c>
      <c r="P50" s="433">
        <f t="shared" si="2"/>
        <v>-1473406.9470567703</v>
      </c>
      <c r="Q50" s="433"/>
    </row>
    <row r="51" spans="1:21" s="217" customFormat="1" x14ac:dyDescent="0.3">
      <c r="A51" s="265" t="s">
        <v>441</v>
      </c>
      <c r="B51" s="213">
        <v>142172235.19999999</v>
      </c>
      <c r="C51" s="420">
        <f>SUM('Depreciation Co''s Act'!D160:D167)</f>
        <v>959592.71</v>
      </c>
      <c r="D51" s="215"/>
      <c r="E51" s="379">
        <f>B51+C51-D51</f>
        <v>143131827.91</v>
      </c>
      <c r="F51" s="267">
        <v>133803281.00669301</v>
      </c>
      <c r="G51" s="211">
        <f>'Depreciation Co''s Act'!V168</f>
        <v>1169133</v>
      </c>
      <c r="H51" s="382"/>
      <c r="I51" s="216"/>
      <c r="J51" s="379">
        <f>F51+G51-H51-I51</f>
        <v>134972414.00669301</v>
      </c>
      <c r="K51" s="381">
        <f>E51-J51</f>
        <v>8159413.9033069909</v>
      </c>
      <c r="L51" s="395">
        <f>B51-F51</f>
        <v>8368954.1933069825</v>
      </c>
      <c r="M51" s="433">
        <v>16851776.99000001</v>
      </c>
      <c r="N51" s="433">
        <f t="shared" si="1"/>
        <v>8482822.796693027</v>
      </c>
      <c r="O51" s="433">
        <f>'Depreciation Co''s Act'!$AF$168</f>
        <v>8139437.8333069608</v>
      </c>
      <c r="P51" s="433">
        <f t="shared" si="2"/>
        <v>19976.0700000301</v>
      </c>
      <c r="Q51" s="433">
        <f>'Depreciation Co''s Act'!L168</f>
        <v>1189109.0699999998</v>
      </c>
    </row>
    <row r="52" spans="1:21" s="217" customFormat="1" x14ac:dyDescent="0.3">
      <c r="A52" s="265" t="s">
        <v>437</v>
      </c>
      <c r="B52" s="213">
        <v>194218</v>
      </c>
      <c r="C52" s="420">
        <f>SUM('Depreciation Co''s Act'!D19:D28)</f>
        <v>260873.45</v>
      </c>
      <c r="D52" s="215"/>
      <c r="E52" s="379">
        <f>B52+C52-D52</f>
        <v>455091.45</v>
      </c>
      <c r="F52" s="267">
        <v>163364.35678683102</v>
      </c>
      <c r="G52" s="211">
        <f>'Depreciation Co''s Act'!$V$29</f>
        <v>35333.064348302294</v>
      </c>
      <c r="H52" s="380"/>
      <c r="I52" s="214"/>
      <c r="J52" s="379">
        <f>F52+G52-H52-I52</f>
        <v>198697.42113513331</v>
      </c>
      <c r="K52" s="381">
        <f>E52-J52</f>
        <v>256394.0288648667</v>
      </c>
      <c r="L52" s="395">
        <f>B52-F52</f>
        <v>30853.64321316898</v>
      </c>
      <c r="M52" s="434">
        <v>36164.338170865289</v>
      </c>
      <c r="N52" s="433">
        <f t="shared" si="1"/>
        <v>5310.6949576963088</v>
      </c>
      <c r="O52" s="433">
        <f>'Depreciation Co''s Act'!$AF$29</f>
        <v>-158916.96930599853</v>
      </c>
      <c r="P52" s="433">
        <f t="shared" si="2"/>
        <v>415310.99817086523</v>
      </c>
      <c r="Q52" s="433">
        <f>'Depreciation Co''s Act'!$L$29</f>
        <v>415311.41</v>
      </c>
    </row>
    <row r="53" spans="1:21" s="217" customFormat="1" x14ac:dyDescent="0.3">
      <c r="A53" s="265" t="s">
        <v>369</v>
      </c>
      <c r="B53" s="213">
        <v>2412620.7400000002</v>
      </c>
      <c r="C53" s="420">
        <f>SUM('Depreciation Co''s Act'!D348:D369)</f>
        <v>665683.34</v>
      </c>
      <c r="D53" s="215"/>
      <c r="E53" s="379">
        <f t="shared" ref="E53:E56" si="3">B53+C53-D53</f>
        <v>3078304.08</v>
      </c>
      <c r="F53" s="267">
        <v>2060161.1587358906</v>
      </c>
      <c r="G53" s="410">
        <f>'Depreciation Co''s Act'!V373</f>
        <v>67136</v>
      </c>
      <c r="H53" s="380"/>
      <c r="I53" s="216"/>
      <c r="J53" s="379">
        <f t="shared" ref="J53:J56" si="4">F53+G53-H53-I53</f>
        <v>2127297.1587358909</v>
      </c>
      <c r="K53" s="381">
        <f t="shared" ref="K53:K56" si="5">E53-J53</f>
        <v>951006.9212641092</v>
      </c>
      <c r="L53" s="395">
        <f t="shared" ref="L53:L56" si="6">B53-F53</f>
        <v>352459.58126410958</v>
      </c>
      <c r="M53" s="433">
        <v>324585</v>
      </c>
      <c r="N53" s="433">
        <f t="shared" si="1"/>
        <v>-27874.581264109584</v>
      </c>
      <c r="O53" s="433">
        <f>'Depreciation Co''s Act'!AF373</f>
        <v>951006.9212641099</v>
      </c>
      <c r="P53" s="433">
        <f t="shared" si="2"/>
        <v>0</v>
      </c>
      <c r="Q53" s="433"/>
    </row>
    <row r="54" spans="1:21" s="217" customFormat="1" x14ac:dyDescent="0.3">
      <c r="A54" s="265" t="s">
        <v>442</v>
      </c>
      <c r="B54" s="213">
        <v>24826534.530000001</v>
      </c>
      <c r="C54" s="420">
        <f>SUM('Depreciation Co''s Act'!D391:D404)</f>
        <v>63342847.810000002</v>
      </c>
      <c r="D54" s="215"/>
      <c r="E54" s="379">
        <f t="shared" si="3"/>
        <v>88169382.340000004</v>
      </c>
      <c r="F54" s="267">
        <v>5284148.9753038986</v>
      </c>
      <c r="G54" s="410">
        <f>'Depreciation Co''s Act'!V405</f>
        <v>4737292</v>
      </c>
      <c r="H54" s="380"/>
      <c r="I54" s="216"/>
      <c r="J54" s="379">
        <f t="shared" si="4"/>
        <v>10021440.975303899</v>
      </c>
      <c r="K54" s="381">
        <f t="shared" si="5"/>
        <v>78147941.3646961</v>
      </c>
      <c r="L54" s="395">
        <f t="shared" si="6"/>
        <v>19542385.554696102</v>
      </c>
      <c r="M54" s="433">
        <v>4819178.99</v>
      </c>
      <c r="N54" s="433">
        <f t="shared" si="1"/>
        <v>-14723206.564696101</v>
      </c>
      <c r="O54" s="433">
        <f>'Depreciation Co''s Act'!$AF$405</f>
        <v>78109441.35469608</v>
      </c>
      <c r="P54" s="433">
        <f t="shared" si="2"/>
        <v>38500.010000020266</v>
      </c>
      <c r="Q54" s="433">
        <f>'Depreciation Co''s Act'!L405</f>
        <v>38500.009999999776</v>
      </c>
    </row>
    <row r="55" spans="1:21" s="217" customFormat="1" x14ac:dyDescent="0.3">
      <c r="A55" s="265" t="s">
        <v>411</v>
      </c>
      <c r="B55" s="213">
        <v>363582.86</v>
      </c>
      <c r="C55" s="420">
        <v>0</v>
      </c>
      <c r="D55" s="215"/>
      <c r="E55" s="379">
        <f>B55+C55-D55</f>
        <v>363582.86</v>
      </c>
      <c r="F55" s="267">
        <v>308196.530015019</v>
      </c>
      <c r="G55" s="211">
        <f>'Depreciation Co''s Act'!$V$56</f>
        <v>20169.720098576123</v>
      </c>
      <c r="H55" s="380"/>
      <c r="I55" s="216"/>
      <c r="J55" s="379">
        <f>F55+G55-H55-I55</f>
        <v>328366.2501135951</v>
      </c>
      <c r="K55" s="381">
        <f>E55-J55</f>
        <v>35216.609886404884</v>
      </c>
      <c r="L55" s="395">
        <f>B55-F55</f>
        <v>55386.329984980985</v>
      </c>
      <c r="M55" s="433">
        <v>75555.822508214682</v>
      </c>
      <c r="N55" s="433">
        <f t="shared" si="1"/>
        <v>20169.492523233697</v>
      </c>
      <c r="O55" s="433">
        <f>'Depreciation Co''s Act'!$AF$56</f>
        <v>-753573.06262180978</v>
      </c>
      <c r="P55" s="433">
        <f t="shared" si="2"/>
        <v>788789.6725082146</v>
      </c>
      <c r="Q55" s="433"/>
    </row>
    <row r="56" spans="1:21" s="217" customFormat="1" x14ac:dyDescent="0.3">
      <c r="A56" s="265" t="s">
        <v>361</v>
      </c>
      <c r="B56" s="213">
        <v>2478196.29</v>
      </c>
      <c r="C56" s="420">
        <f>SUM('Depreciation Co''s Act'!D455:D494)</f>
        <v>5093590.0699999994</v>
      </c>
      <c r="D56" s="215"/>
      <c r="E56" s="379">
        <f t="shared" si="3"/>
        <v>7571786.3599999994</v>
      </c>
      <c r="F56" s="267">
        <v>1112707.1643999934</v>
      </c>
      <c r="G56" s="211">
        <f>'Depreciation Co''s Act'!V496</f>
        <v>1357111</v>
      </c>
      <c r="H56" s="380"/>
      <c r="I56" s="216"/>
      <c r="J56" s="379">
        <f t="shared" si="4"/>
        <v>2469818.1643999936</v>
      </c>
      <c r="K56" s="381">
        <f t="shared" si="5"/>
        <v>5101968.1956000058</v>
      </c>
      <c r="L56" s="395">
        <f t="shared" si="6"/>
        <v>1365489.1256000067</v>
      </c>
      <c r="M56" s="433">
        <v>630696.72427397268</v>
      </c>
      <c r="N56" s="433">
        <f t="shared" si="1"/>
        <v>-734792.40132603399</v>
      </c>
      <c r="O56" s="433">
        <f>'Depreciation Co''s Act'!AF496</f>
        <v>5082501.6156000048</v>
      </c>
      <c r="P56" s="433">
        <f t="shared" si="2"/>
        <v>19466.580000001006</v>
      </c>
      <c r="Q56" s="433">
        <f>'Depreciation Co''s Act'!L496</f>
        <v>19466.579999999958</v>
      </c>
    </row>
    <row r="57" spans="1:21" s="191" customFormat="1" x14ac:dyDescent="0.3">
      <c r="A57" s="212"/>
      <c r="B57" s="213"/>
      <c r="C57" s="187"/>
      <c r="D57" s="190"/>
      <c r="E57" s="176"/>
      <c r="F57" s="210"/>
      <c r="G57" s="218"/>
      <c r="H57" s="207"/>
      <c r="I57" s="208"/>
      <c r="J57" s="176"/>
      <c r="K57" s="212"/>
      <c r="L57" s="316"/>
      <c r="M57" s="141"/>
      <c r="N57" s="141"/>
      <c r="O57" s="141"/>
      <c r="P57" s="141"/>
      <c r="Q57" s="141"/>
    </row>
    <row r="58" spans="1:21" s="191" customFormat="1" ht="15" thickBot="1" x14ac:dyDescent="0.35">
      <c r="A58" s="266"/>
      <c r="B58" s="171"/>
      <c r="C58" s="194"/>
      <c r="D58" s="190"/>
      <c r="E58" s="176"/>
      <c r="F58" s="210"/>
      <c r="G58" s="218"/>
      <c r="H58" s="207"/>
      <c r="I58" s="208"/>
      <c r="J58" s="176"/>
      <c r="K58" s="210"/>
      <c r="L58" s="219"/>
      <c r="M58" s="141"/>
      <c r="N58" s="141"/>
      <c r="O58" s="141"/>
      <c r="P58" s="141"/>
      <c r="Q58" s="141"/>
    </row>
    <row r="59" spans="1:21" s="224" customFormat="1" thickBot="1" x14ac:dyDescent="0.35">
      <c r="A59" s="220" t="s">
        <v>434</v>
      </c>
      <c r="B59" s="195">
        <f>SUM(B47:B57)</f>
        <v>2853278334.9380808</v>
      </c>
      <c r="C59" s="195">
        <f>SUM(C47:C57)</f>
        <v>4030297189.5499992</v>
      </c>
      <c r="D59" s="195">
        <f>SUM(D47:D57)</f>
        <v>0</v>
      </c>
      <c r="E59" s="196">
        <f>SUM(E47:E57)</f>
        <v>6883575524.4880791</v>
      </c>
      <c r="F59" s="223">
        <f>SUM(F47:F58)</f>
        <v>889857124.88341522</v>
      </c>
      <c r="G59" s="221">
        <f>SUM(G47:G58)</f>
        <v>131789139.22376411</v>
      </c>
      <c r="H59" s="222">
        <f>SUM(H52:H57)</f>
        <v>0</v>
      </c>
      <c r="I59" s="222">
        <f>SUM(I52:I57)</f>
        <v>0</v>
      </c>
      <c r="J59" s="196">
        <f>SUM(J47:J58)</f>
        <v>1021646264.1071794</v>
      </c>
      <c r="K59" s="223">
        <f>SUM(K47:K58)</f>
        <v>5861929260.3809004</v>
      </c>
      <c r="L59" s="223">
        <f>SUM(L47:L58)</f>
        <v>1963421210.0546656</v>
      </c>
      <c r="M59" s="435">
        <v>826352371</v>
      </c>
      <c r="N59" s="436">
        <f>L59-M59</f>
        <v>1137068839.0546656</v>
      </c>
      <c r="O59" s="436"/>
      <c r="P59" s="436"/>
      <c r="Q59" s="436"/>
    </row>
    <row r="60" spans="1:21" s="191" customFormat="1" ht="15.6" x14ac:dyDescent="0.3">
      <c r="A60" s="225"/>
      <c r="B60" s="199"/>
      <c r="C60" s="199"/>
      <c r="D60" s="199"/>
      <c r="E60" s="226"/>
      <c r="F60" s="199"/>
      <c r="H60" s="185"/>
      <c r="I60" s="185"/>
      <c r="J60" s="226"/>
      <c r="K60" s="226"/>
      <c r="L60" s="199"/>
      <c r="M60" s="141"/>
      <c r="N60" s="141"/>
      <c r="O60" s="141"/>
      <c r="P60" s="141"/>
      <c r="Q60" s="141"/>
    </row>
    <row r="61" spans="1:21" s="230" customFormat="1" ht="15.6" x14ac:dyDescent="0.3">
      <c r="A61" s="227" t="s">
        <v>435</v>
      </c>
      <c r="B61" s="228">
        <v>1599844401.6999998</v>
      </c>
      <c r="C61" s="228">
        <v>1253433933.238081</v>
      </c>
      <c r="D61" s="228">
        <v>0</v>
      </c>
      <c r="E61" s="228">
        <v>2853278334.9380808</v>
      </c>
      <c r="F61" s="228">
        <v>830463095.05220032</v>
      </c>
      <c r="G61" s="228">
        <v>59394029.831215017</v>
      </c>
      <c r="H61" s="228">
        <v>0</v>
      </c>
      <c r="I61" s="228">
        <v>0</v>
      </c>
      <c r="J61" s="228">
        <v>889857124.88341522</v>
      </c>
      <c r="K61" s="228">
        <v>1963421210.0546656</v>
      </c>
      <c r="L61" s="229">
        <v>769381306.64779961</v>
      </c>
      <c r="M61" s="437"/>
      <c r="N61" s="437"/>
      <c r="O61" s="437"/>
      <c r="P61" s="437"/>
      <c r="Q61" s="437"/>
    </row>
    <row r="62" spans="1:21" ht="15.6" x14ac:dyDescent="0.3">
      <c r="A62" s="231"/>
      <c r="B62" s="201"/>
      <c r="C62" s="201">
        <f>76475580.13-107579</f>
        <v>76368001.129999995</v>
      </c>
      <c r="D62" s="201">
        <f>C51+C52+C55+C56</f>
        <v>6314056.2299999995</v>
      </c>
      <c r="E62" s="184"/>
      <c r="F62" s="201"/>
      <c r="G62" s="232"/>
      <c r="H62" s="200"/>
      <c r="I62" s="200"/>
      <c r="J62" s="184"/>
      <c r="K62" s="184"/>
      <c r="L62" s="201"/>
      <c r="R62" s="191"/>
      <c r="U62" s="175"/>
    </row>
    <row r="63" spans="1:21" x14ac:dyDescent="0.3">
      <c r="C63" s="141">
        <f>C62-(C59-C50)</f>
        <v>-569726613.13000023</v>
      </c>
      <c r="D63" s="4">
        <v>6488141.1099999994</v>
      </c>
      <c r="E63" s="141">
        <f>D63-D62</f>
        <v>174084.87999999989</v>
      </c>
      <c r="G63" s="233"/>
      <c r="L63" s="233"/>
    </row>
    <row r="64" spans="1:21" x14ac:dyDescent="0.3">
      <c r="D64" s="4">
        <f>C51+C52+C55+C56</f>
        <v>6314056.2299999995</v>
      </c>
      <c r="E64" s="141"/>
      <c r="G64" s="233"/>
      <c r="L64" s="233"/>
    </row>
    <row r="65" spans="3:12" x14ac:dyDescent="0.3">
      <c r="C65" s="233"/>
      <c r="G65" s="233"/>
      <c r="L65" s="233"/>
    </row>
    <row r="66" spans="3:12" x14ac:dyDescent="0.3">
      <c r="C66" s="233"/>
    </row>
    <row r="67" spans="3:12" x14ac:dyDescent="0.3">
      <c r="C67" s="233"/>
      <c r="G67" s="233"/>
    </row>
    <row r="71" spans="3:12" x14ac:dyDescent="0.3">
      <c r="C71" s="4">
        <v>1028622.71</v>
      </c>
      <c r="E71" s="4">
        <v>29296.880000000001</v>
      </c>
      <c r="G71" s="4">
        <v>35953.129999999997</v>
      </c>
    </row>
    <row r="72" spans="3:12" x14ac:dyDescent="0.3">
      <c r="C72" s="4">
        <v>260873.45</v>
      </c>
      <c r="E72" s="4">
        <v>2483353.67</v>
      </c>
      <c r="G72" s="4">
        <v>-65405.020000000004</v>
      </c>
    </row>
    <row r="73" spans="3:12" x14ac:dyDescent="0.3">
      <c r="C73" s="4">
        <v>20850</v>
      </c>
      <c r="E73" s="4">
        <v>2578525.31</v>
      </c>
      <c r="F73" s="427">
        <v>-53899.69</v>
      </c>
      <c r="G73" s="4">
        <v>-6008.47</v>
      </c>
    </row>
    <row r="74" spans="3:12" x14ac:dyDescent="0.3">
      <c r="C74" s="4">
        <v>4314340.92</v>
      </c>
      <c r="E74" s="4">
        <v>30338.98</v>
      </c>
      <c r="G74" s="4">
        <v>0</v>
      </c>
    </row>
    <row r="75" spans="3:12" x14ac:dyDescent="0.3">
      <c r="E75" s="4">
        <v>1289783.22</v>
      </c>
      <c r="G75" s="4">
        <v>-7881.38</v>
      </c>
    </row>
    <row r="76" spans="3:12" x14ac:dyDescent="0.3">
      <c r="E76" s="4">
        <v>956144.16</v>
      </c>
      <c r="G76" s="4">
        <v>-956144.16</v>
      </c>
    </row>
  </sheetData>
  <mergeCells count="7">
    <mergeCell ref="A3:L3"/>
    <mergeCell ref="A5:L5"/>
    <mergeCell ref="A40:L40"/>
    <mergeCell ref="A41:L41"/>
    <mergeCell ref="B44:E44"/>
    <mergeCell ref="F44:J44"/>
    <mergeCell ref="K44:L44"/>
  </mergeCells>
  <pageMargins left="0" right="0" top="0" bottom="0" header="0" footer="0"/>
  <pageSetup paperSize="9" scale="70" orientation="landscape" horizontalDpi="300" verticalDpi="300" r:id="rId1"/>
  <rowBreaks count="1" manualBreakCount="1">
    <brk id="3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T511"/>
  <sheetViews>
    <sheetView tabSelected="1" zoomScale="80" zoomScaleNormal="80" zoomScaleSheetLayoutView="90" workbookViewId="0">
      <pane xSplit="13" ySplit="6" topLeftCell="N151" activePane="bottomRight" state="frozen"/>
      <selection pane="topRight" activeCell="N1" sqref="N1"/>
      <selection pane="bottomLeft" activeCell="A7" sqref="A7"/>
      <selection pane="bottomRight" activeCell="B160" sqref="B160:B167"/>
    </sheetView>
  </sheetViews>
  <sheetFormatPr defaultColWidth="12.88671875" defaultRowHeight="13.2" x14ac:dyDescent="0.25"/>
  <cols>
    <col min="1" max="1" width="14.109375" style="34" customWidth="1"/>
    <col min="2" max="2" width="35" style="33" customWidth="1"/>
    <col min="3" max="3" width="12.88671875" style="137"/>
    <col min="4" max="4" width="17" style="138" bestFit="1" customWidth="1"/>
    <col min="5" max="5" width="12.88671875" style="139"/>
    <col min="6" max="6" width="12.88671875" style="138"/>
    <col min="7" max="7" width="14.5546875" style="138" bestFit="1" customWidth="1"/>
    <col min="8" max="9" width="12.88671875" style="41"/>
    <col min="10" max="10" width="16.6640625" style="139" bestFit="1" customWidth="1"/>
    <col min="11" max="11" width="12.88671875" style="40"/>
    <col min="12" max="13" width="12.88671875" style="40" customWidth="1"/>
    <col min="14" max="16" width="12.88671875" style="41" customWidth="1"/>
    <col min="17" max="17" width="12.88671875" style="41"/>
    <col min="18" max="20" width="12.88671875" style="41" customWidth="1"/>
    <col min="21" max="21" width="12.88671875" style="358" customWidth="1"/>
    <col min="22" max="30" width="12.88671875" style="41" customWidth="1"/>
    <col min="31" max="31" width="13.88671875" style="41" customWidth="1"/>
    <col min="32" max="32" width="17.109375" style="31" customWidth="1"/>
    <col min="33" max="33" width="14.44140625" style="32" bestFit="1" customWidth="1"/>
    <col min="34" max="34" width="12.88671875" style="33" customWidth="1"/>
    <col min="35" max="35" width="15" style="32" customWidth="1"/>
    <col min="36" max="40" width="12.88671875" style="33" customWidth="1"/>
    <col min="41" max="16384" width="12.88671875" style="33"/>
  </cols>
  <sheetData>
    <row r="1" spans="1:43" ht="15" customHeight="1" x14ac:dyDescent="0.25">
      <c r="A1" s="163" t="s">
        <v>4</v>
      </c>
      <c r="B1" s="163"/>
      <c r="C1" s="35"/>
      <c r="D1" s="35"/>
      <c r="E1" s="35"/>
      <c r="F1" s="35"/>
      <c r="G1" s="35" t="s">
        <v>396</v>
      </c>
      <c r="H1" s="35"/>
      <c r="I1" s="35"/>
      <c r="J1" s="35"/>
      <c r="K1" s="35"/>
      <c r="L1" s="35"/>
      <c r="M1" s="35"/>
      <c r="N1" s="35"/>
      <c r="O1" s="35"/>
      <c r="P1" s="35"/>
      <c r="Q1" s="35"/>
      <c r="R1" s="35"/>
      <c r="S1" s="35"/>
      <c r="T1" s="35"/>
      <c r="U1" s="346"/>
      <c r="V1" s="35"/>
      <c r="W1" s="35"/>
      <c r="X1" s="35"/>
      <c r="Y1" s="35"/>
      <c r="Z1" s="35"/>
      <c r="AA1" s="35"/>
      <c r="AB1" s="35"/>
      <c r="AC1" s="35"/>
      <c r="AD1" s="35"/>
      <c r="AE1" s="35"/>
    </row>
    <row r="2" spans="1:43" ht="15" customHeight="1" x14ac:dyDescent="0.25">
      <c r="A2" s="163" t="s">
        <v>397</v>
      </c>
      <c r="B2" s="35"/>
      <c r="C2" s="35"/>
      <c r="D2" s="35"/>
      <c r="E2" s="35"/>
      <c r="F2" s="35"/>
      <c r="G2" s="343">
        <f>F377+F380+N377+O377+P377+N380+O380+P380+Q380+R380+S380</f>
        <v>2554241.3793561645</v>
      </c>
      <c r="H2" s="35"/>
      <c r="I2" s="35"/>
      <c r="J2" s="35"/>
      <c r="K2" s="35">
        <v>1304760</v>
      </c>
      <c r="L2" s="343">
        <f>K2+H380</f>
        <v>1389871</v>
      </c>
      <c r="M2" s="35"/>
      <c r="N2" s="35"/>
      <c r="O2" s="35"/>
      <c r="P2" s="35"/>
      <c r="Q2" s="35"/>
      <c r="R2" s="35"/>
      <c r="S2" s="35"/>
      <c r="T2" s="35"/>
      <c r="U2" s="346"/>
      <c r="V2" s="421"/>
      <c r="W2" s="421"/>
      <c r="X2" s="35"/>
      <c r="Y2" s="35"/>
      <c r="Z2" s="35"/>
      <c r="AA2" s="35"/>
      <c r="AB2" s="35"/>
      <c r="AC2" s="35"/>
      <c r="AD2" s="35"/>
      <c r="AE2" s="35"/>
    </row>
    <row r="3" spans="1:43" x14ac:dyDescent="0.25">
      <c r="B3" s="35"/>
      <c r="C3" s="153"/>
      <c r="D3" s="36"/>
      <c r="E3" s="37"/>
      <c r="F3" s="36"/>
      <c r="G3" s="36"/>
      <c r="H3" s="38"/>
      <c r="I3" s="39">
        <v>41729</v>
      </c>
      <c r="J3" s="37"/>
      <c r="K3" s="38"/>
      <c r="N3" s="38"/>
      <c r="O3" s="38"/>
      <c r="P3" s="38"/>
      <c r="Q3" s="38"/>
      <c r="R3" s="38"/>
      <c r="S3" s="324">
        <v>44286</v>
      </c>
      <c r="T3" s="396">
        <v>44286</v>
      </c>
      <c r="U3" s="347">
        <v>44651</v>
      </c>
      <c r="V3" s="324">
        <v>45016</v>
      </c>
      <c r="W3" s="347">
        <v>45382</v>
      </c>
      <c r="X3" s="324">
        <v>45747</v>
      </c>
      <c r="Y3" s="347">
        <v>46112</v>
      </c>
      <c r="Z3" s="324">
        <v>46477</v>
      </c>
      <c r="AA3" s="347">
        <v>46843</v>
      </c>
      <c r="AB3" s="38" t="s">
        <v>359</v>
      </c>
      <c r="AC3" s="38"/>
      <c r="AD3" s="38"/>
      <c r="AE3" s="38"/>
    </row>
    <row r="4" spans="1:43" s="70" customFormat="1" ht="15" customHeight="1" x14ac:dyDescent="0.3">
      <c r="A4" s="461" t="s">
        <v>0</v>
      </c>
      <c r="B4" s="461" t="s">
        <v>1</v>
      </c>
      <c r="C4" s="461" t="s">
        <v>282</v>
      </c>
      <c r="D4" s="452" t="s">
        <v>283</v>
      </c>
      <c r="E4" s="464" t="s">
        <v>284</v>
      </c>
      <c r="F4" s="452" t="s">
        <v>285</v>
      </c>
      <c r="G4" s="455" t="s">
        <v>286</v>
      </c>
      <c r="H4" s="449" t="s">
        <v>287</v>
      </c>
      <c r="I4" s="458" t="s">
        <v>305</v>
      </c>
      <c r="J4" s="461" t="s">
        <v>288</v>
      </c>
      <c r="K4" s="449" t="s">
        <v>289</v>
      </c>
      <c r="L4" s="449" t="s">
        <v>290</v>
      </c>
      <c r="M4" s="268"/>
      <c r="N4" s="449" t="s">
        <v>357</v>
      </c>
      <c r="O4" s="449" t="s">
        <v>291</v>
      </c>
      <c r="P4" s="449" t="s">
        <v>292</v>
      </c>
      <c r="Q4" s="449" t="s">
        <v>293</v>
      </c>
      <c r="R4" s="449" t="s">
        <v>294</v>
      </c>
      <c r="S4" s="449" t="s">
        <v>295</v>
      </c>
      <c r="T4" s="449" t="s">
        <v>296</v>
      </c>
      <c r="U4" s="465" t="s">
        <v>298</v>
      </c>
      <c r="V4" s="449" t="s">
        <v>297</v>
      </c>
      <c r="W4" s="449" t="s">
        <v>300</v>
      </c>
      <c r="X4" s="449" t="s">
        <v>299</v>
      </c>
      <c r="Y4" s="449" t="s">
        <v>301</v>
      </c>
      <c r="Z4" s="449" t="s">
        <v>302</v>
      </c>
      <c r="AA4" s="449" t="s">
        <v>303</v>
      </c>
      <c r="AB4" s="449" t="s">
        <v>304</v>
      </c>
      <c r="AC4" s="449" t="s">
        <v>348</v>
      </c>
      <c r="AD4" s="449" t="s">
        <v>349</v>
      </c>
      <c r="AE4" s="449" t="s">
        <v>358</v>
      </c>
      <c r="AF4" s="402" t="s">
        <v>347</v>
      </c>
      <c r="AG4" s="75"/>
      <c r="AI4" s="75"/>
    </row>
    <row r="5" spans="1:43" s="70" customFormat="1" ht="52.8" x14ac:dyDescent="0.3">
      <c r="A5" s="462"/>
      <c r="B5" s="462"/>
      <c r="C5" s="462"/>
      <c r="D5" s="453"/>
      <c r="E5" s="464"/>
      <c r="F5" s="453"/>
      <c r="G5" s="456"/>
      <c r="H5" s="450"/>
      <c r="I5" s="459"/>
      <c r="J5" s="462"/>
      <c r="K5" s="450"/>
      <c r="L5" s="450"/>
      <c r="M5" s="269" t="s">
        <v>460</v>
      </c>
      <c r="N5" s="450"/>
      <c r="O5" s="450"/>
      <c r="P5" s="450"/>
      <c r="Q5" s="450"/>
      <c r="R5" s="450"/>
      <c r="S5" s="450"/>
      <c r="T5" s="450"/>
      <c r="U5" s="466"/>
      <c r="V5" s="450"/>
      <c r="W5" s="450"/>
      <c r="X5" s="450"/>
      <c r="Y5" s="450"/>
      <c r="Z5" s="450"/>
      <c r="AA5" s="450"/>
      <c r="AB5" s="450"/>
      <c r="AC5" s="450"/>
      <c r="AD5" s="450"/>
      <c r="AE5" s="450"/>
      <c r="AF5" s="402"/>
      <c r="AG5" s="75"/>
      <c r="AI5" s="75"/>
    </row>
    <row r="6" spans="1:43" s="96" customFormat="1" ht="26.25" customHeight="1" x14ac:dyDescent="0.3">
      <c r="A6" s="463"/>
      <c r="B6" s="463"/>
      <c r="C6" s="463"/>
      <c r="D6" s="454"/>
      <c r="E6" s="464"/>
      <c r="F6" s="454"/>
      <c r="G6" s="457"/>
      <c r="H6" s="451"/>
      <c r="I6" s="460"/>
      <c r="J6" s="463"/>
      <c r="K6" s="451"/>
      <c r="L6" s="451"/>
      <c r="M6" s="270"/>
      <c r="N6" s="451"/>
      <c r="O6" s="451"/>
      <c r="P6" s="451"/>
      <c r="Q6" s="451"/>
      <c r="R6" s="451"/>
      <c r="S6" s="451"/>
      <c r="T6" s="451"/>
      <c r="U6" s="467"/>
      <c r="V6" s="451"/>
      <c r="W6" s="451"/>
      <c r="X6" s="451"/>
      <c r="Y6" s="451"/>
      <c r="Z6" s="451"/>
      <c r="AA6" s="451"/>
      <c r="AB6" s="451"/>
      <c r="AC6" s="451"/>
      <c r="AD6" s="451"/>
      <c r="AE6" s="451"/>
      <c r="AF6" s="82"/>
      <c r="AG6" s="71"/>
      <c r="AI6" s="71"/>
    </row>
    <row r="7" spans="1:43" s="51" customFormat="1" x14ac:dyDescent="0.25">
      <c r="A7" s="43"/>
      <c r="B7" s="44"/>
      <c r="C7" s="44"/>
      <c r="D7" s="45"/>
      <c r="E7" s="46"/>
      <c r="F7" s="45"/>
      <c r="G7" s="45"/>
      <c r="H7" s="47"/>
      <c r="I7" s="48"/>
      <c r="J7" s="44"/>
      <c r="K7" s="47"/>
      <c r="L7" s="47"/>
      <c r="M7" s="47"/>
      <c r="N7" s="47"/>
      <c r="O7" s="47"/>
      <c r="P7" s="47"/>
      <c r="Q7" s="47"/>
      <c r="R7" s="47"/>
      <c r="S7" s="47"/>
      <c r="T7" s="47"/>
      <c r="U7" s="348"/>
      <c r="V7" s="47"/>
      <c r="W7" s="47"/>
      <c r="X7" s="47"/>
      <c r="Y7" s="47"/>
      <c r="Z7" s="47"/>
      <c r="AA7" s="47"/>
      <c r="AB7" s="47"/>
      <c r="AC7" s="47"/>
      <c r="AD7" s="47"/>
      <c r="AE7" s="47"/>
      <c r="AF7" s="49"/>
      <c r="AG7" s="50"/>
      <c r="AI7" s="50"/>
    </row>
    <row r="8" spans="1:43" ht="15.9" customHeight="1" x14ac:dyDescent="0.3">
      <c r="A8" s="468" t="s">
        <v>350</v>
      </c>
      <c r="B8" s="52" t="s">
        <v>314</v>
      </c>
      <c r="C8" s="53"/>
      <c r="D8" s="54">
        <f>623500+6500+69000+24000+50000-38650</f>
        <v>734350</v>
      </c>
      <c r="E8" s="55">
        <v>5</v>
      </c>
      <c r="F8" s="54">
        <f>270987.59+3391+25404+6652+12604</f>
        <v>319038.59000000003</v>
      </c>
      <c r="G8" s="56">
        <f>D8-F8</f>
        <v>415311.41</v>
      </c>
      <c r="H8" s="57">
        <f>38650-38650</f>
        <v>0</v>
      </c>
      <c r="I8" s="58">
        <v>0</v>
      </c>
      <c r="J8" s="58">
        <v>0</v>
      </c>
      <c r="K8" s="58">
        <v>0</v>
      </c>
      <c r="L8" s="58">
        <f>+G8-H8</f>
        <v>415311.41</v>
      </c>
      <c r="M8" s="58"/>
      <c r="N8" s="58">
        <v>0</v>
      </c>
      <c r="O8" s="58">
        <v>0</v>
      </c>
      <c r="P8" s="58">
        <v>0</v>
      </c>
      <c r="Q8" s="58">
        <v>0</v>
      </c>
      <c r="R8" s="58">
        <v>0</v>
      </c>
      <c r="S8" s="58">
        <v>0</v>
      </c>
      <c r="T8" s="58">
        <v>0</v>
      </c>
      <c r="U8" s="349">
        <v>0</v>
      </c>
      <c r="V8" s="58">
        <v>0</v>
      </c>
      <c r="W8" s="58">
        <v>0</v>
      </c>
      <c r="X8" s="58">
        <v>0</v>
      </c>
      <c r="Y8" s="58">
        <v>0</v>
      </c>
      <c r="Z8" s="58">
        <v>0</v>
      </c>
      <c r="AA8" s="58">
        <v>0</v>
      </c>
      <c r="AB8" s="58">
        <v>0</v>
      </c>
      <c r="AC8" s="58">
        <v>0</v>
      </c>
      <c r="AD8" s="58">
        <v>0</v>
      </c>
      <c r="AE8" s="58">
        <v>0</v>
      </c>
      <c r="AF8" s="59">
        <f t="shared" ref="AF8:AF18" si="0">+D8-F8-SUM(N8:U8)-L8</f>
        <v>0</v>
      </c>
      <c r="AP8" s="101"/>
      <c r="AQ8" s="101"/>
    </row>
    <row r="9" spans="1:43" ht="15.9" customHeight="1" x14ac:dyDescent="0.3">
      <c r="A9" s="468"/>
      <c r="B9" s="52" t="s">
        <v>462</v>
      </c>
      <c r="C9" s="53"/>
      <c r="D9" s="54">
        <v>-734350</v>
      </c>
      <c r="E9" s="55"/>
      <c r="F9" s="54">
        <v>-319039</v>
      </c>
      <c r="G9" s="56"/>
      <c r="H9" s="57"/>
      <c r="I9" s="58"/>
      <c r="J9" s="58"/>
      <c r="K9" s="58"/>
      <c r="L9" s="58"/>
      <c r="M9" s="58"/>
      <c r="N9" s="58"/>
      <c r="O9" s="58"/>
      <c r="P9" s="58"/>
      <c r="Q9" s="58"/>
      <c r="R9" s="58"/>
      <c r="S9" s="58"/>
      <c r="T9" s="58"/>
      <c r="U9" s="349"/>
      <c r="V9" s="58"/>
      <c r="W9" s="58"/>
      <c r="X9" s="58"/>
      <c r="Y9" s="58"/>
      <c r="Z9" s="58"/>
      <c r="AA9" s="58"/>
      <c r="AB9" s="58"/>
      <c r="AC9" s="58"/>
      <c r="AD9" s="58"/>
      <c r="AE9" s="58"/>
      <c r="AF9" s="59">
        <v>0</v>
      </c>
      <c r="AP9" s="101"/>
      <c r="AQ9" s="101"/>
    </row>
    <row r="10" spans="1:43" ht="15.9" customHeight="1" x14ac:dyDescent="0.3">
      <c r="A10" s="468"/>
      <c r="B10" s="52" t="s">
        <v>147</v>
      </c>
      <c r="C10" s="53">
        <v>39995</v>
      </c>
      <c r="D10" s="54">
        <v>16300</v>
      </c>
      <c r="E10" s="55">
        <v>5</v>
      </c>
      <c r="F10" s="54">
        <v>3677.4678082191781</v>
      </c>
      <c r="G10" s="56">
        <f>D10-F10</f>
        <v>12622.532191780821</v>
      </c>
      <c r="H10" s="57">
        <f>ROUND(D10*5%,0)</f>
        <v>815</v>
      </c>
      <c r="I10" s="58">
        <f>$I$3-C10+1</f>
        <v>1735</v>
      </c>
      <c r="J10" s="53">
        <f>+C10+1825</f>
        <v>41820</v>
      </c>
      <c r="K10" s="60">
        <f>+J10-C10-I10+1</f>
        <v>91</v>
      </c>
      <c r="L10" s="58">
        <v>0</v>
      </c>
      <c r="M10" s="323"/>
      <c r="N10" s="58">
        <f>ROUND(+G10-H10,0)</f>
        <v>11808</v>
      </c>
      <c r="O10" s="58">
        <v>0</v>
      </c>
      <c r="P10" s="58">
        <v>0</v>
      </c>
      <c r="Q10" s="58">
        <v>0</v>
      </c>
      <c r="R10" s="58">
        <v>0</v>
      </c>
      <c r="S10" s="58">
        <v>0</v>
      </c>
      <c r="T10" s="58">
        <v>0</v>
      </c>
      <c r="U10" s="349">
        <v>0</v>
      </c>
      <c r="V10" s="58">
        <v>0</v>
      </c>
      <c r="W10" s="58">
        <v>0</v>
      </c>
      <c r="X10" s="58">
        <v>0</v>
      </c>
      <c r="Y10" s="58">
        <v>0</v>
      </c>
      <c r="Z10" s="58">
        <v>0</v>
      </c>
      <c r="AA10" s="58">
        <v>0</v>
      </c>
      <c r="AB10" s="58">
        <v>0</v>
      </c>
      <c r="AC10" s="58">
        <v>0</v>
      </c>
      <c r="AD10" s="58">
        <v>0</v>
      </c>
      <c r="AE10" s="58">
        <v>0</v>
      </c>
      <c r="AF10" s="331">
        <f t="shared" si="0"/>
        <v>814.53219178082145</v>
      </c>
      <c r="AP10" s="101"/>
      <c r="AQ10" s="101"/>
    </row>
    <row r="11" spans="1:43" ht="15.9" customHeight="1" x14ac:dyDescent="0.3">
      <c r="A11" s="468"/>
      <c r="B11" s="52" t="s">
        <v>146</v>
      </c>
      <c r="C11" s="53">
        <v>40215</v>
      </c>
      <c r="D11" s="54">
        <v>17060</v>
      </c>
      <c r="E11" s="55">
        <v>5</v>
      </c>
      <c r="F11" s="54">
        <v>3360.2373972602741</v>
      </c>
      <c r="G11" s="56">
        <f t="shared" ref="G11:G17" si="1">D11-F11</f>
        <v>13699.762602739725</v>
      </c>
      <c r="H11" s="57">
        <f t="shared" ref="H11:H20" si="2">ROUND(D11*5%,0)</f>
        <v>853</v>
      </c>
      <c r="I11" s="58">
        <f t="shared" ref="I11:I17" si="3">$I$3-C11+1</f>
        <v>1515</v>
      </c>
      <c r="J11" s="53">
        <f t="shared" ref="J11:J12" si="4">+C11+1825</f>
        <v>42040</v>
      </c>
      <c r="K11" s="60">
        <f t="shared" ref="K11:K17" si="5">+J11-C11-I11+1</f>
        <v>311</v>
      </c>
      <c r="L11" s="58">
        <v>0</v>
      </c>
      <c r="M11" s="323"/>
      <c r="N11" s="58">
        <f>ROUND(+G11-H11,0)</f>
        <v>12847</v>
      </c>
      <c r="O11" s="58">
        <v>0</v>
      </c>
      <c r="P11" s="58">
        <v>0</v>
      </c>
      <c r="Q11" s="58">
        <v>0</v>
      </c>
      <c r="R11" s="58">
        <v>0</v>
      </c>
      <c r="S11" s="58">
        <v>0</v>
      </c>
      <c r="T11" s="58">
        <v>0</v>
      </c>
      <c r="U11" s="349">
        <v>0</v>
      </c>
      <c r="V11" s="58">
        <v>0</v>
      </c>
      <c r="W11" s="58">
        <v>0</v>
      </c>
      <c r="X11" s="58">
        <v>0</v>
      </c>
      <c r="Y11" s="58">
        <v>0</v>
      </c>
      <c r="Z11" s="58">
        <v>0</v>
      </c>
      <c r="AA11" s="58">
        <v>0</v>
      </c>
      <c r="AB11" s="58">
        <v>0</v>
      </c>
      <c r="AC11" s="58">
        <v>0</v>
      </c>
      <c r="AD11" s="58">
        <v>0</v>
      </c>
      <c r="AE11" s="58">
        <v>0</v>
      </c>
      <c r="AF11" s="331">
        <f t="shared" si="0"/>
        <v>852.76260273972548</v>
      </c>
      <c r="AP11" s="101"/>
      <c r="AQ11" s="101"/>
    </row>
    <row r="12" spans="1:43" ht="15.9" customHeight="1" x14ac:dyDescent="0.3">
      <c r="A12" s="468"/>
      <c r="B12" s="52" t="s">
        <v>148</v>
      </c>
      <c r="C12" s="53">
        <v>40297</v>
      </c>
      <c r="D12" s="54">
        <v>14989</v>
      </c>
      <c r="E12" s="55">
        <v>5</v>
      </c>
      <c r="F12" s="54">
        <v>2793.3600479452052</v>
      </c>
      <c r="G12" s="56">
        <f t="shared" si="1"/>
        <v>12195.639952054795</v>
      </c>
      <c r="H12" s="57">
        <f t="shared" si="2"/>
        <v>749</v>
      </c>
      <c r="I12" s="58">
        <f t="shared" si="3"/>
        <v>1433</v>
      </c>
      <c r="J12" s="53">
        <f t="shared" si="4"/>
        <v>42122</v>
      </c>
      <c r="K12" s="60">
        <f t="shared" si="5"/>
        <v>393</v>
      </c>
      <c r="L12" s="58">
        <v>0</v>
      </c>
      <c r="M12" s="323"/>
      <c r="N12" s="57">
        <f t="shared" ref="N12:N17" si="6">+ROUND((G12-H12)*365/K12,0)</f>
        <v>10631</v>
      </c>
      <c r="O12" s="57">
        <f>+ROUND((G12-H12)*(K12-365)/K12,0)</f>
        <v>816</v>
      </c>
      <c r="P12" s="58">
        <v>0</v>
      </c>
      <c r="Q12" s="58">
        <v>0</v>
      </c>
      <c r="R12" s="58">
        <v>0</v>
      </c>
      <c r="S12" s="58">
        <v>0</v>
      </c>
      <c r="T12" s="58">
        <v>0</v>
      </c>
      <c r="U12" s="349">
        <v>0</v>
      </c>
      <c r="V12" s="58">
        <v>0</v>
      </c>
      <c r="W12" s="58">
        <v>0</v>
      </c>
      <c r="X12" s="58">
        <v>0</v>
      </c>
      <c r="Y12" s="58">
        <v>0</v>
      </c>
      <c r="Z12" s="58">
        <v>0</v>
      </c>
      <c r="AA12" s="58">
        <v>0</v>
      </c>
      <c r="AB12" s="58">
        <v>0</v>
      </c>
      <c r="AC12" s="58">
        <v>0</v>
      </c>
      <c r="AD12" s="58">
        <v>0</v>
      </c>
      <c r="AE12" s="58">
        <v>0</v>
      </c>
      <c r="AF12" s="331">
        <f t="shared" si="0"/>
        <v>748.63995205479478</v>
      </c>
      <c r="AP12" s="101"/>
      <c r="AQ12" s="101"/>
    </row>
    <row r="13" spans="1:43" ht="15.9" customHeight="1" x14ac:dyDescent="0.3">
      <c r="A13" s="468"/>
      <c r="B13" s="52" t="s">
        <v>149</v>
      </c>
      <c r="C13" s="53">
        <v>40752</v>
      </c>
      <c r="D13" s="54">
        <v>23200</v>
      </c>
      <c r="E13" s="55">
        <v>5</v>
      </c>
      <c r="F13" s="54">
        <v>2951</v>
      </c>
      <c r="G13" s="56">
        <f t="shared" si="1"/>
        <v>20249</v>
      </c>
      <c r="H13" s="57">
        <f t="shared" si="2"/>
        <v>1160</v>
      </c>
      <c r="I13" s="58">
        <f t="shared" si="3"/>
        <v>978</v>
      </c>
      <c r="J13" s="53">
        <f>+C13+1826</f>
        <v>42578</v>
      </c>
      <c r="K13" s="60">
        <f t="shared" si="5"/>
        <v>849</v>
      </c>
      <c r="L13" s="58">
        <v>0</v>
      </c>
      <c r="M13" s="323"/>
      <c r="N13" s="57">
        <f t="shared" si="6"/>
        <v>8207</v>
      </c>
      <c r="O13" s="57">
        <f>+ROUND((G13-H13)*365/K13,0)</f>
        <v>8207</v>
      </c>
      <c r="P13" s="57">
        <f>+ROUND((G13-H13)*(K13-730)/K13,0)-1</f>
        <v>2675</v>
      </c>
      <c r="Q13" s="58">
        <v>0</v>
      </c>
      <c r="R13" s="58">
        <v>0</v>
      </c>
      <c r="S13" s="58">
        <v>0</v>
      </c>
      <c r="T13" s="58">
        <v>0</v>
      </c>
      <c r="U13" s="349">
        <v>0</v>
      </c>
      <c r="V13" s="58">
        <v>0</v>
      </c>
      <c r="W13" s="58">
        <v>0</v>
      </c>
      <c r="X13" s="58">
        <v>0</v>
      </c>
      <c r="Y13" s="58">
        <v>0</v>
      </c>
      <c r="Z13" s="58">
        <v>0</v>
      </c>
      <c r="AA13" s="58">
        <v>0</v>
      </c>
      <c r="AB13" s="58">
        <v>0</v>
      </c>
      <c r="AC13" s="58">
        <v>0</v>
      </c>
      <c r="AD13" s="58">
        <v>0</v>
      </c>
      <c r="AE13" s="58">
        <v>0</v>
      </c>
      <c r="AF13" s="331">
        <f t="shared" si="0"/>
        <v>1160</v>
      </c>
      <c r="AP13" s="101"/>
      <c r="AQ13" s="101"/>
    </row>
    <row r="14" spans="1:43" ht="15.9" customHeight="1" x14ac:dyDescent="0.3">
      <c r="A14" s="468"/>
      <c r="B14" s="52" t="s">
        <v>150</v>
      </c>
      <c r="C14" s="53">
        <v>40709</v>
      </c>
      <c r="D14" s="54">
        <v>24600</v>
      </c>
      <c r="E14" s="55">
        <v>5</v>
      </c>
      <c r="F14" s="54">
        <v>3267</v>
      </c>
      <c r="G14" s="56">
        <f t="shared" si="1"/>
        <v>21333</v>
      </c>
      <c r="H14" s="57">
        <f t="shared" si="2"/>
        <v>1230</v>
      </c>
      <c r="I14" s="58">
        <f t="shared" si="3"/>
        <v>1021</v>
      </c>
      <c r="J14" s="53">
        <f>+C14+1826</f>
        <v>42535</v>
      </c>
      <c r="K14" s="60">
        <f t="shared" si="5"/>
        <v>806</v>
      </c>
      <c r="L14" s="58">
        <v>0</v>
      </c>
      <c r="M14" s="323"/>
      <c r="N14" s="57">
        <f t="shared" si="6"/>
        <v>9104</v>
      </c>
      <c r="O14" s="57">
        <f>+ROUND((G14-H14)*365/K14,0)</f>
        <v>9104</v>
      </c>
      <c r="P14" s="57">
        <f>+ROUND((G14-H14)*(K14-730)/K14,0)-1</f>
        <v>1895</v>
      </c>
      <c r="Q14" s="58">
        <v>0</v>
      </c>
      <c r="R14" s="58">
        <v>0</v>
      </c>
      <c r="S14" s="58">
        <v>0</v>
      </c>
      <c r="T14" s="58">
        <v>0</v>
      </c>
      <c r="U14" s="349">
        <v>0</v>
      </c>
      <c r="V14" s="58">
        <v>0</v>
      </c>
      <c r="W14" s="58">
        <v>0</v>
      </c>
      <c r="X14" s="58">
        <v>0</v>
      </c>
      <c r="Y14" s="58">
        <v>0</v>
      </c>
      <c r="Z14" s="58">
        <v>0</v>
      </c>
      <c r="AA14" s="58">
        <v>0</v>
      </c>
      <c r="AB14" s="58">
        <v>0</v>
      </c>
      <c r="AC14" s="58">
        <v>0</v>
      </c>
      <c r="AD14" s="58">
        <v>0</v>
      </c>
      <c r="AE14" s="58">
        <v>0</v>
      </c>
      <c r="AF14" s="331">
        <f t="shared" si="0"/>
        <v>1230</v>
      </c>
      <c r="AP14" s="101"/>
      <c r="AQ14" s="101"/>
    </row>
    <row r="15" spans="1:43" ht="15.9" customHeight="1" x14ac:dyDescent="0.3">
      <c r="A15" s="468"/>
      <c r="B15" s="52" t="s">
        <v>150</v>
      </c>
      <c r="C15" s="53">
        <v>40775</v>
      </c>
      <c r="D15" s="54">
        <v>29200</v>
      </c>
      <c r="E15" s="55">
        <v>5</v>
      </c>
      <c r="F15" s="54">
        <v>3627</v>
      </c>
      <c r="G15" s="56">
        <f t="shared" si="1"/>
        <v>25573</v>
      </c>
      <c r="H15" s="57">
        <f t="shared" si="2"/>
        <v>1460</v>
      </c>
      <c r="I15" s="58">
        <f t="shared" si="3"/>
        <v>955</v>
      </c>
      <c r="J15" s="53">
        <f>+C15+1826</f>
        <v>42601</v>
      </c>
      <c r="K15" s="60">
        <f t="shared" si="5"/>
        <v>872</v>
      </c>
      <c r="L15" s="58">
        <v>0</v>
      </c>
      <c r="M15" s="323"/>
      <c r="N15" s="57">
        <f t="shared" si="6"/>
        <v>10093</v>
      </c>
      <c r="O15" s="57">
        <f>+ROUND((G15-H15)*365/K15,0)</f>
        <v>10093</v>
      </c>
      <c r="P15" s="57">
        <f>+ROUND((G15-H15)*(K15-730)/K15,0)</f>
        <v>3927</v>
      </c>
      <c r="Q15" s="58">
        <v>0</v>
      </c>
      <c r="R15" s="58">
        <v>0</v>
      </c>
      <c r="S15" s="58">
        <v>0</v>
      </c>
      <c r="T15" s="58">
        <v>0</v>
      </c>
      <c r="U15" s="349">
        <v>0</v>
      </c>
      <c r="V15" s="58">
        <v>0</v>
      </c>
      <c r="W15" s="58">
        <v>0</v>
      </c>
      <c r="X15" s="58">
        <v>0</v>
      </c>
      <c r="Y15" s="58">
        <v>0</v>
      </c>
      <c r="Z15" s="58">
        <v>0</v>
      </c>
      <c r="AA15" s="58">
        <v>0</v>
      </c>
      <c r="AB15" s="58">
        <v>0</v>
      </c>
      <c r="AC15" s="58">
        <v>0</v>
      </c>
      <c r="AD15" s="58">
        <v>0</v>
      </c>
      <c r="AE15" s="58">
        <v>0</v>
      </c>
      <c r="AF15" s="331">
        <f t="shared" si="0"/>
        <v>1460</v>
      </c>
      <c r="AP15" s="101"/>
      <c r="AQ15" s="101"/>
    </row>
    <row r="16" spans="1:43" ht="15.9" customHeight="1" x14ac:dyDescent="0.3">
      <c r="A16" s="468"/>
      <c r="B16" s="52" t="s">
        <v>150</v>
      </c>
      <c r="C16" s="53">
        <v>40690</v>
      </c>
      <c r="D16" s="54">
        <v>18900</v>
      </c>
      <c r="E16" s="55">
        <v>5</v>
      </c>
      <c r="F16" s="54">
        <v>2556</v>
      </c>
      <c r="G16" s="56">
        <f t="shared" si="1"/>
        <v>16344</v>
      </c>
      <c r="H16" s="57">
        <f t="shared" si="2"/>
        <v>945</v>
      </c>
      <c r="I16" s="58">
        <f t="shared" si="3"/>
        <v>1040</v>
      </c>
      <c r="J16" s="53">
        <f>+C16+1826</f>
        <v>42516</v>
      </c>
      <c r="K16" s="60">
        <f t="shared" si="5"/>
        <v>787</v>
      </c>
      <c r="L16" s="58">
        <v>0</v>
      </c>
      <c r="M16" s="323"/>
      <c r="N16" s="57">
        <f t="shared" si="6"/>
        <v>7142</v>
      </c>
      <c r="O16" s="57">
        <f>+ROUND((G16-H16)*365/K16,0)</f>
        <v>7142</v>
      </c>
      <c r="P16" s="57">
        <f>+ROUND((G16-H16)*(K16-730)/K16,0)</f>
        <v>1115</v>
      </c>
      <c r="Q16" s="58">
        <v>0</v>
      </c>
      <c r="R16" s="58">
        <v>0</v>
      </c>
      <c r="S16" s="58">
        <v>0</v>
      </c>
      <c r="T16" s="58">
        <v>0</v>
      </c>
      <c r="U16" s="349">
        <v>0</v>
      </c>
      <c r="V16" s="58">
        <v>0</v>
      </c>
      <c r="W16" s="58">
        <v>0</v>
      </c>
      <c r="X16" s="58">
        <v>0</v>
      </c>
      <c r="Y16" s="58">
        <v>0</v>
      </c>
      <c r="Z16" s="58">
        <v>0</v>
      </c>
      <c r="AA16" s="58">
        <v>0</v>
      </c>
      <c r="AB16" s="58">
        <v>0</v>
      </c>
      <c r="AC16" s="58">
        <v>0</v>
      </c>
      <c r="AD16" s="58">
        <v>0</v>
      </c>
      <c r="AE16" s="58">
        <v>0</v>
      </c>
      <c r="AF16" s="331">
        <f t="shared" si="0"/>
        <v>945</v>
      </c>
      <c r="AP16" s="101"/>
      <c r="AQ16" s="101"/>
    </row>
    <row r="17" spans="1:43" ht="15.9" customHeight="1" x14ac:dyDescent="0.3">
      <c r="A17" s="468"/>
      <c r="B17" s="52" t="s">
        <v>150</v>
      </c>
      <c r="C17" s="53">
        <v>41463</v>
      </c>
      <c r="D17" s="57">
        <v>22000</v>
      </c>
      <c r="E17" s="55">
        <v>5</v>
      </c>
      <c r="F17" s="54">
        <v>764</v>
      </c>
      <c r="G17" s="56">
        <f t="shared" si="1"/>
        <v>21236</v>
      </c>
      <c r="H17" s="57">
        <f t="shared" si="2"/>
        <v>1100</v>
      </c>
      <c r="I17" s="58">
        <f t="shared" si="3"/>
        <v>267</v>
      </c>
      <c r="J17" s="53">
        <f>+C17+1825</f>
        <v>43288</v>
      </c>
      <c r="K17" s="60">
        <f t="shared" si="5"/>
        <v>1559</v>
      </c>
      <c r="L17" s="58">
        <v>0</v>
      </c>
      <c r="M17" s="323"/>
      <c r="N17" s="57">
        <f t="shared" si="6"/>
        <v>4714</v>
      </c>
      <c r="O17" s="57">
        <f>+N17</f>
        <v>4714</v>
      </c>
      <c r="P17" s="57">
        <f t="shared" ref="P17:Q17" si="7">+O17</f>
        <v>4714</v>
      </c>
      <c r="Q17" s="57">
        <f t="shared" si="7"/>
        <v>4714</v>
      </c>
      <c r="R17" s="57">
        <f>+ROUND((G17-H17)*(K17-1460)/K17,0)</f>
        <v>1279</v>
      </c>
      <c r="T17" s="58">
        <v>0</v>
      </c>
      <c r="U17" s="349">
        <v>0</v>
      </c>
      <c r="V17" s="58">
        <v>0</v>
      </c>
      <c r="W17" s="58">
        <v>0</v>
      </c>
      <c r="X17" s="58">
        <v>0</v>
      </c>
      <c r="Y17" s="58">
        <v>0</v>
      </c>
      <c r="Z17" s="58">
        <v>0</v>
      </c>
      <c r="AA17" s="58">
        <v>0</v>
      </c>
      <c r="AB17" s="58">
        <v>0</v>
      </c>
      <c r="AC17" s="58">
        <v>0</v>
      </c>
      <c r="AD17" s="58">
        <v>0</v>
      </c>
      <c r="AE17" s="58">
        <v>0</v>
      </c>
      <c r="AF17" s="331">
        <f t="shared" si="0"/>
        <v>1101</v>
      </c>
      <c r="AP17" s="101"/>
      <c r="AQ17" s="101"/>
    </row>
    <row r="18" spans="1:43" ht="15.9" customHeight="1" x14ac:dyDescent="0.3">
      <c r="A18" s="468"/>
      <c r="B18" s="52" t="s">
        <v>449</v>
      </c>
      <c r="C18" s="53">
        <v>44278</v>
      </c>
      <c r="D18" s="57">
        <v>27969</v>
      </c>
      <c r="E18" s="55">
        <v>5</v>
      </c>
      <c r="F18" s="54"/>
      <c r="G18" s="56">
        <f t="shared" ref="G18:G26" si="8">D18</f>
        <v>27969</v>
      </c>
      <c r="H18" s="57">
        <f t="shared" si="2"/>
        <v>1398</v>
      </c>
      <c r="I18" s="58">
        <v>0</v>
      </c>
      <c r="J18" s="53">
        <f t="shared" ref="J18:J26" si="9">C18+(E18*365)</f>
        <v>46103</v>
      </c>
      <c r="K18" s="60">
        <f t="shared" ref="K18:K26" si="10">+J18-C18-I18+1</f>
        <v>1826</v>
      </c>
      <c r="L18" s="58">
        <v>0</v>
      </c>
      <c r="M18" s="360"/>
      <c r="N18" s="57">
        <v>0</v>
      </c>
      <c r="O18" s="57">
        <v>0</v>
      </c>
      <c r="P18" s="57">
        <v>0</v>
      </c>
      <c r="Q18" s="57">
        <v>0</v>
      </c>
      <c r="R18" s="57">
        <v>0</v>
      </c>
      <c r="S18" s="41">
        <v>0</v>
      </c>
      <c r="T18" s="58">
        <f>+ROUND(($G$18-$H$18)*8/$K$18,0)</f>
        <v>116</v>
      </c>
      <c r="U18" s="352">
        <f>($D18-$H18)/$K18*(U3-T3)</f>
        <v>5311.2897042716322</v>
      </c>
      <c r="V18" s="58">
        <f t="shared" ref="V18:X18" si="11">($D18-$H18)/$K18*(V3-U3)</f>
        <v>5311.2897042716322</v>
      </c>
      <c r="W18" s="58">
        <f t="shared" si="11"/>
        <v>5325.841182913472</v>
      </c>
      <c r="X18" s="58">
        <f t="shared" si="11"/>
        <v>5311.2897042716322</v>
      </c>
      <c r="Y18" s="58">
        <f>D18-H18-SUM(N18:X18)</f>
        <v>5195.2897042716322</v>
      </c>
      <c r="Z18" s="58"/>
      <c r="AA18" s="58"/>
      <c r="AB18" s="58"/>
      <c r="AC18" s="58"/>
      <c r="AD18" s="58"/>
      <c r="AE18" s="58"/>
      <c r="AF18" s="59">
        <f t="shared" si="0"/>
        <v>22541.710295728368</v>
      </c>
      <c r="AG18" s="32">
        <f>SUM(AF8:AF18)</f>
        <v>30853.645042303709</v>
      </c>
      <c r="AH18" s="101">
        <f>H18-(G18-(SUM(N18:AE18)))</f>
        <v>0</v>
      </c>
      <c r="AP18" s="101"/>
      <c r="AQ18" s="101"/>
    </row>
    <row r="19" spans="1:43" ht="15.9" customHeight="1" x14ac:dyDescent="0.3">
      <c r="A19" s="468"/>
      <c r="B19" s="341" t="s">
        <v>576</v>
      </c>
      <c r="C19" s="263">
        <v>44653</v>
      </c>
      <c r="D19" s="413">
        <v>35953.129999999997</v>
      </c>
      <c r="E19" s="400">
        <v>5</v>
      </c>
      <c r="F19" s="325"/>
      <c r="G19" s="339">
        <f>D19</f>
        <v>35953.129999999997</v>
      </c>
      <c r="H19" s="327">
        <f>ROUND(D19*5%,0)</f>
        <v>1798</v>
      </c>
      <c r="I19" s="328"/>
      <c r="J19" s="263">
        <f>C19+(E19*365)</f>
        <v>46478</v>
      </c>
      <c r="K19" s="329">
        <f>+J19-C19-I19+1</f>
        <v>1826</v>
      </c>
      <c r="L19" s="328"/>
      <c r="M19" s="328">
        <f>$V$3-C19</f>
        <v>363</v>
      </c>
      <c r="N19" s="327"/>
      <c r="O19" s="327"/>
      <c r="P19" s="327"/>
      <c r="Q19" s="327"/>
      <c r="R19" s="327"/>
      <c r="S19" s="401"/>
      <c r="T19" s="401"/>
      <c r="U19" s="328"/>
      <c r="V19" s="328">
        <f>($D19-$H19)/K19*M19</f>
        <v>6789.8752409638546</v>
      </c>
      <c r="W19" s="58">
        <f>($D19-$H19)/$K19*(W3-V3)</f>
        <v>6845.9899123767791</v>
      </c>
      <c r="X19" s="328"/>
      <c r="Y19" s="328"/>
      <c r="Z19" s="328"/>
      <c r="AA19" s="328"/>
      <c r="AB19" s="328"/>
      <c r="AC19" s="328"/>
      <c r="AD19" s="328"/>
      <c r="AE19" s="328"/>
      <c r="AF19" s="59"/>
      <c r="AH19" s="101"/>
      <c r="AP19" s="101"/>
      <c r="AQ19" s="101"/>
    </row>
    <row r="20" spans="1:43" s="333" customFormat="1" ht="15.9" customHeight="1" x14ac:dyDescent="0.3">
      <c r="A20" s="468"/>
      <c r="B20" s="341" t="s">
        <v>514</v>
      </c>
      <c r="C20" s="263">
        <v>44740</v>
      </c>
      <c r="D20" s="327">
        <v>30078.13</v>
      </c>
      <c r="E20" s="400">
        <v>5</v>
      </c>
      <c r="F20" s="325"/>
      <c r="G20" s="339">
        <f t="shared" si="8"/>
        <v>30078.13</v>
      </c>
      <c r="H20" s="327">
        <f t="shared" si="2"/>
        <v>1504</v>
      </c>
      <c r="I20" s="328">
        <v>0</v>
      </c>
      <c r="J20" s="263">
        <f t="shared" si="9"/>
        <v>46565</v>
      </c>
      <c r="K20" s="329">
        <f t="shared" si="10"/>
        <v>1826</v>
      </c>
      <c r="L20" s="328"/>
      <c r="M20" s="328">
        <f t="shared" ref="M20:M26" si="12">$V$3-C20</f>
        <v>276</v>
      </c>
      <c r="N20" s="327"/>
      <c r="O20" s="327"/>
      <c r="P20" s="327"/>
      <c r="Q20" s="327"/>
      <c r="R20" s="327"/>
      <c r="S20" s="401"/>
      <c r="T20" s="401"/>
      <c r="U20" s="328"/>
      <c r="V20" s="328">
        <f t="shared" ref="V20:V26" si="13">($D20-$H20)/K20*M20</f>
        <v>4318.9813143483025</v>
      </c>
      <c r="W20" s="58">
        <f>($D20-$H20)/$K20*(W3-V3)</f>
        <v>5727.3447864184018</v>
      </c>
      <c r="X20" s="328"/>
      <c r="Y20" s="328"/>
      <c r="Z20" s="328"/>
      <c r="AA20" s="328"/>
      <c r="AB20" s="328"/>
      <c r="AC20" s="328"/>
      <c r="AD20" s="328"/>
      <c r="AE20" s="328"/>
      <c r="AF20" s="331"/>
      <c r="AG20" s="332"/>
      <c r="AI20" s="332"/>
      <c r="AP20" s="334"/>
      <c r="AQ20" s="334"/>
    </row>
    <row r="21" spans="1:43" s="333" customFormat="1" ht="15.9" customHeight="1" x14ac:dyDescent="0.3">
      <c r="A21" s="468"/>
      <c r="B21" s="341" t="s">
        <v>516</v>
      </c>
      <c r="C21" s="263">
        <v>44743</v>
      </c>
      <c r="D21" s="332">
        <v>9851.56</v>
      </c>
      <c r="E21" s="400">
        <v>5</v>
      </c>
      <c r="F21" s="325"/>
      <c r="G21" s="339">
        <f>D21</f>
        <v>9851.56</v>
      </c>
      <c r="H21" s="327">
        <f>ROUND(D21*5%,0)</f>
        <v>493</v>
      </c>
      <c r="I21" s="328"/>
      <c r="J21" s="263">
        <f>C21+(E21*365)</f>
        <v>46568</v>
      </c>
      <c r="K21" s="329">
        <f>+J21-C21-I21+1</f>
        <v>1826</v>
      </c>
      <c r="L21" s="328"/>
      <c r="M21" s="328">
        <f>$V$3-C21</f>
        <v>273</v>
      </c>
      <c r="N21" s="327"/>
      <c r="O21" s="327"/>
      <c r="P21" s="327"/>
      <c r="Q21" s="327"/>
      <c r="R21" s="327"/>
      <c r="S21" s="401"/>
      <c r="T21" s="401"/>
      <c r="U21" s="328"/>
      <c r="V21" s="328">
        <f>($D21-$H21)/K21*M21</f>
        <v>1399.1713472070096</v>
      </c>
      <c r="W21" s="58">
        <f>($D21-$H21)/$K21*(W3-V3)</f>
        <v>1875.812135815991</v>
      </c>
      <c r="X21" s="328"/>
      <c r="Y21" s="328"/>
      <c r="Z21" s="328"/>
      <c r="AA21" s="328"/>
      <c r="AB21" s="328"/>
      <c r="AC21" s="328"/>
      <c r="AD21" s="328"/>
      <c r="AE21" s="328"/>
      <c r="AF21" s="331"/>
      <c r="AG21" s="332"/>
      <c r="AI21" s="332"/>
      <c r="AP21" s="334"/>
      <c r="AQ21" s="334"/>
    </row>
    <row r="22" spans="1:43" ht="15.9" customHeight="1" x14ac:dyDescent="0.3">
      <c r="A22" s="468"/>
      <c r="B22" s="341" t="s">
        <v>515</v>
      </c>
      <c r="C22" s="263">
        <v>44754</v>
      </c>
      <c r="D22" s="327">
        <f>48000*2</f>
        <v>96000</v>
      </c>
      <c r="E22" s="400">
        <v>5</v>
      </c>
      <c r="F22" s="325"/>
      <c r="G22" s="339">
        <f t="shared" si="8"/>
        <v>96000</v>
      </c>
      <c r="H22" s="327">
        <f t="shared" ref="H22:H26" si="14">ROUND(D22*5%,0)</f>
        <v>4800</v>
      </c>
      <c r="I22" s="328">
        <v>0</v>
      </c>
      <c r="J22" s="263">
        <f t="shared" si="9"/>
        <v>46579</v>
      </c>
      <c r="K22" s="329">
        <f t="shared" si="10"/>
        <v>1826</v>
      </c>
      <c r="L22" s="328"/>
      <c r="M22" s="328">
        <f t="shared" si="12"/>
        <v>262</v>
      </c>
      <c r="N22" s="327"/>
      <c r="O22" s="327"/>
      <c r="P22" s="327"/>
      <c r="Q22" s="327"/>
      <c r="R22" s="327"/>
      <c r="S22" s="401"/>
      <c r="T22" s="401"/>
      <c r="U22" s="328"/>
      <c r="V22" s="328">
        <f t="shared" si="13"/>
        <v>13085.65169769989</v>
      </c>
      <c r="W22" s="58">
        <f>($D22-$H22)/$K22*(W3-V3)</f>
        <v>18279.956188389922</v>
      </c>
      <c r="X22" s="58"/>
      <c r="Y22" s="58"/>
      <c r="Z22" s="58"/>
      <c r="AA22" s="58"/>
      <c r="AB22" s="58"/>
      <c r="AC22" s="58"/>
      <c r="AD22" s="58"/>
      <c r="AE22" s="58"/>
      <c r="AF22" s="59"/>
      <c r="AP22" s="101"/>
      <c r="AQ22" s="101"/>
    </row>
    <row r="23" spans="1:43" s="333" customFormat="1" ht="15.9" customHeight="1" x14ac:dyDescent="0.3">
      <c r="A23" s="468"/>
      <c r="B23" s="341" t="s">
        <v>516</v>
      </c>
      <c r="C23" s="263">
        <v>44756</v>
      </c>
      <c r="D23" s="327">
        <v>15700</v>
      </c>
      <c r="E23" s="400">
        <v>5</v>
      </c>
      <c r="F23" s="325"/>
      <c r="G23" s="339">
        <f t="shared" si="8"/>
        <v>15700</v>
      </c>
      <c r="H23" s="327">
        <f t="shared" si="14"/>
        <v>785</v>
      </c>
      <c r="I23" s="328"/>
      <c r="J23" s="263">
        <f t="shared" si="9"/>
        <v>46581</v>
      </c>
      <c r="K23" s="329">
        <f t="shared" si="10"/>
        <v>1826</v>
      </c>
      <c r="L23" s="328"/>
      <c r="M23" s="328">
        <f t="shared" si="12"/>
        <v>260</v>
      </c>
      <c r="N23" s="327"/>
      <c r="O23" s="327"/>
      <c r="P23" s="327"/>
      <c r="Q23" s="327"/>
      <c r="R23" s="327"/>
      <c r="S23" s="401"/>
      <c r="T23" s="401"/>
      <c r="U23" s="328"/>
      <c r="V23" s="328">
        <f t="shared" si="13"/>
        <v>2123.7130339539976</v>
      </c>
      <c r="W23" s="58">
        <f>($D23-$H23)/$K23*(W3-V3)</f>
        <v>2989.5345016429351</v>
      </c>
      <c r="X23" s="328"/>
      <c r="Y23" s="328"/>
      <c r="Z23" s="328"/>
      <c r="AA23" s="328"/>
      <c r="AB23" s="328"/>
      <c r="AC23" s="328"/>
      <c r="AD23" s="328"/>
      <c r="AE23" s="328"/>
      <c r="AF23" s="331"/>
      <c r="AG23" s="332"/>
      <c r="AI23" s="332"/>
      <c r="AP23" s="334"/>
      <c r="AQ23" s="334"/>
    </row>
    <row r="24" spans="1:43" s="333" customFormat="1" ht="15.9" customHeight="1" x14ac:dyDescent="0.3">
      <c r="A24" s="468"/>
      <c r="B24" s="341" t="s">
        <v>532</v>
      </c>
      <c r="C24" s="263">
        <v>44935</v>
      </c>
      <c r="D24" s="327">
        <v>37343.75</v>
      </c>
      <c r="E24" s="400">
        <v>5</v>
      </c>
      <c r="F24" s="325"/>
      <c r="G24" s="339">
        <f t="shared" si="8"/>
        <v>37343.75</v>
      </c>
      <c r="H24" s="327">
        <f t="shared" si="14"/>
        <v>1867</v>
      </c>
      <c r="I24" s="328"/>
      <c r="J24" s="263">
        <f t="shared" si="9"/>
        <v>46760</v>
      </c>
      <c r="K24" s="329">
        <f t="shared" si="10"/>
        <v>1826</v>
      </c>
      <c r="L24" s="328"/>
      <c r="M24" s="328">
        <f t="shared" si="12"/>
        <v>81</v>
      </c>
      <c r="N24" s="327"/>
      <c r="O24" s="327"/>
      <c r="P24" s="327"/>
      <c r="Q24" s="327"/>
      <c r="R24" s="327"/>
      <c r="S24" s="401"/>
      <c r="T24" s="401"/>
      <c r="U24" s="328"/>
      <c r="V24" s="328">
        <f t="shared" si="13"/>
        <v>1573.7222070098576</v>
      </c>
      <c r="W24" s="58">
        <f>($D24-$H24)/$K24*(W3-V3)</f>
        <v>7110.8929353778749</v>
      </c>
      <c r="X24" s="328"/>
      <c r="Y24" s="328"/>
      <c r="Z24" s="328"/>
      <c r="AA24" s="328"/>
      <c r="AB24" s="328"/>
      <c r="AC24" s="328"/>
      <c r="AD24" s="328"/>
      <c r="AE24" s="328"/>
      <c r="AF24" s="331"/>
      <c r="AG24" s="332"/>
      <c r="AI24" s="332"/>
      <c r="AP24" s="334"/>
      <c r="AQ24" s="334"/>
    </row>
    <row r="25" spans="1:43" s="333" customFormat="1" ht="15.9" customHeight="1" x14ac:dyDescent="0.3">
      <c r="A25" s="468"/>
      <c r="B25" s="341" t="s">
        <v>516</v>
      </c>
      <c r="C25" s="263">
        <v>44959</v>
      </c>
      <c r="D25" s="327">
        <v>6650</v>
      </c>
      <c r="E25" s="400">
        <v>5</v>
      </c>
      <c r="F25" s="325"/>
      <c r="G25" s="339">
        <f t="shared" si="8"/>
        <v>6650</v>
      </c>
      <c r="H25" s="327">
        <f t="shared" si="14"/>
        <v>333</v>
      </c>
      <c r="I25" s="328"/>
      <c r="J25" s="263">
        <f t="shared" si="9"/>
        <v>46784</v>
      </c>
      <c r="K25" s="329">
        <f t="shared" si="10"/>
        <v>1826</v>
      </c>
      <c r="L25" s="328"/>
      <c r="M25" s="328">
        <f t="shared" si="12"/>
        <v>57</v>
      </c>
      <c r="N25" s="327"/>
      <c r="O25" s="327"/>
      <c r="P25" s="327"/>
      <c r="Q25" s="327"/>
      <c r="R25" s="327"/>
      <c r="S25" s="401"/>
      <c r="T25" s="401"/>
      <c r="U25" s="328"/>
      <c r="V25" s="328">
        <f t="shared" si="13"/>
        <v>197.19003285870755</v>
      </c>
      <c r="W25" s="58">
        <f>($D25-$H25)/$K25*(W3-V3)</f>
        <v>1266.1675794085431</v>
      </c>
      <c r="X25" s="328"/>
      <c r="Y25" s="328"/>
      <c r="Z25" s="328"/>
      <c r="AA25" s="328"/>
      <c r="AB25" s="328"/>
      <c r="AC25" s="328"/>
      <c r="AD25" s="328"/>
      <c r="AE25" s="328"/>
      <c r="AF25" s="331"/>
      <c r="AG25" s="332"/>
      <c r="AI25" s="332"/>
      <c r="AP25" s="334"/>
      <c r="AQ25" s="334"/>
    </row>
    <row r="26" spans="1:43" s="333" customFormat="1" ht="15.9" customHeight="1" x14ac:dyDescent="0.3">
      <c r="A26" s="468"/>
      <c r="B26" s="341" t="s">
        <v>546</v>
      </c>
      <c r="C26" s="263">
        <v>44981</v>
      </c>
      <c r="D26" s="413">
        <v>29296.880000000001</v>
      </c>
      <c r="E26" s="400">
        <v>5</v>
      </c>
      <c r="F26" s="325"/>
      <c r="G26" s="339">
        <f t="shared" si="8"/>
        <v>29296.880000000001</v>
      </c>
      <c r="H26" s="327">
        <f t="shared" si="14"/>
        <v>1465</v>
      </c>
      <c r="I26" s="328"/>
      <c r="J26" s="263">
        <f t="shared" si="9"/>
        <v>46806</v>
      </c>
      <c r="K26" s="329">
        <f t="shared" si="10"/>
        <v>1826</v>
      </c>
      <c r="L26" s="328"/>
      <c r="M26" s="328">
        <f t="shared" si="12"/>
        <v>35</v>
      </c>
      <c r="N26" s="327"/>
      <c r="O26" s="327"/>
      <c r="P26" s="327"/>
      <c r="Q26" s="327"/>
      <c r="R26" s="327"/>
      <c r="S26" s="401"/>
      <c r="T26" s="401"/>
      <c r="U26" s="328"/>
      <c r="V26" s="328">
        <f t="shared" si="13"/>
        <v>533.46976998904711</v>
      </c>
      <c r="W26" s="58">
        <f>($D26-$H26)/$K26*(W3-V3)</f>
        <v>5578.5695947426066</v>
      </c>
      <c r="X26" s="328"/>
      <c r="Y26" s="328"/>
      <c r="Z26" s="328"/>
      <c r="AA26" s="328"/>
      <c r="AB26" s="328"/>
      <c r="AC26" s="328"/>
      <c r="AD26" s="328"/>
      <c r="AE26" s="328"/>
      <c r="AF26" s="331"/>
      <c r="AG26" s="332"/>
      <c r="AI26" s="332"/>
      <c r="AP26" s="334"/>
      <c r="AQ26" s="334"/>
    </row>
    <row r="27" spans="1:43" s="333" customFormat="1" ht="15.9" customHeight="1" x14ac:dyDescent="0.3">
      <c r="A27" s="468"/>
      <c r="X27" s="328"/>
      <c r="Y27" s="328"/>
      <c r="Z27" s="328"/>
      <c r="AA27" s="328"/>
      <c r="AB27" s="328"/>
      <c r="AC27" s="328"/>
      <c r="AD27" s="328"/>
      <c r="AE27" s="328"/>
      <c r="AF27" s="331"/>
      <c r="AG27" s="332"/>
      <c r="AI27" s="332"/>
      <c r="AP27" s="334"/>
      <c r="AQ27" s="334"/>
    </row>
    <row r="28" spans="1:43" s="333" customFormat="1" ht="15.9" customHeight="1" x14ac:dyDescent="0.3">
      <c r="A28" s="468"/>
      <c r="AF28" s="331"/>
      <c r="AG28" s="332"/>
      <c r="AI28" s="332"/>
      <c r="AP28" s="334"/>
      <c r="AQ28" s="334"/>
    </row>
    <row r="29" spans="1:43" s="35" customFormat="1" ht="15.9" customHeight="1" x14ac:dyDescent="0.3">
      <c r="A29" s="468"/>
      <c r="B29" s="61" t="s">
        <v>2</v>
      </c>
      <c r="C29" s="62"/>
      <c r="D29" s="63">
        <f>SUM(D8:D26)</f>
        <v>455091.45</v>
      </c>
      <c r="E29" s="64"/>
      <c r="F29" s="63">
        <f>SUM(F8:F17)</f>
        <v>22995.655253424684</v>
      </c>
      <c r="G29" s="63">
        <f>SUM(G8:G26)</f>
        <v>847406.79474657529</v>
      </c>
      <c r="H29" s="63">
        <f>SUM(H8:H26)</f>
        <v>22755</v>
      </c>
      <c r="I29" s="65"/>
      <c r="J29" s="66"/>
      <c r="K29" s="67"/>
      <c r="L29" s="63">
        <f>SUM(L8:L18)</f>
        <v>415311.41</v>
      </c>
      <c r="M29" s="63"/>
      <c r="N29" s="63">
        <f>SUM(N8:N17)</f>
        <v>74546</v>
      </c>
      <c r="O29" s="63">
        <f>SUM(O8:O17)</f>
        <v>40076</v>
      </c>
      <c r="P29" s="63">
        <f>SUM(P8:P17)</f>
        <v>14326</v>
      </c>
      <c r="Q29" s="63">
        <f>SUM(Q8:Q18)</f>
        <v>4714</v>
      </c>
      <c r="R29" s="63">
        <f>SUM(R8:R18)</f>
        <v>1279</v>
      </c>
      <c r="S29" s="63">
        <f>SUM(S8:S18)</f>
        <v>0</v>
      </c>
      <c r="T29" s="63">
        <f>SUM(T8:T22)</f>
        <v>116</v>
      </c>
      <c r="U29" s="344">
        <f>SUM(U8:U22)</f>
        <v>5311.2897042716322</v>
      </c>
      <c r="V29" s="344">
        <f>SUM(V8:V26)</f>
        <v>35333.064348302294</v>
      </c>
      <c r="W29" s="344">
        <f>SUM(W8:W26)</f>
        <v>55000.108817086526</v>
      </c>
      <c r="X29" s="344">
        <f t="shared" ref="X29:AE29" si="15">SUM(X8:X22)</f>
        <v>5311.2897042716322</v>
      </c>
      <c r="Y29" s="344">
        <f t="shared" si="15"/>
        <v>5195.2897042716322</v>
      </c>
      <c r="Z29" s="344">
        <f t="shared" si="15"/>
        <v>0</v>
      </c>
      <c r="AA29" s="344">
        <f t="shared" si="15"/>
        <v>0</v>
      </c>
      <c r="AB29" s="344">
        <f t="shared" si="15"/>
        <v>0</v>
      </c>
      <c r="AC29" s="344">
        <f t="shared" si="15"/>
        <v>0</v>
      </c>
      <c r="AD29" s="344">
        <f t="shared" si="15"/>
        <v>0</v>
      </c>
      <c r="AE29" s="344">
        <f t="shared" si="15"/>
        <v>0</v>
      </c>
      <c r="AF29" s="59">
        <f t="shared" ref="AF29:AF53" si="16">+D29-F29-SUM(N29:V29)-L29</f>
        <v>-158916.96930599853</v>
      </c>
      <c r="AG29" s="68">
        <f>AG18-AF29</f>
        <v>189770.61434830225</v>
      </c>
      <c r="AI29" s="32"/>
      <c r="AP29" s="101"/>
    </row>
    <row r="30" spans="1:43" ht="15.9" customHeight="1" x14ac:dyDescent="0.3">
      <c r="B30" s="69"/>
      <c r="C30" s="70"/>
      <c r="D30" s="71"/>
      <c r="E30" s="72"/>
      <c r="F30" s="71"/>
      <c r="G30" s="73"/>
      <c r="H30" s="71"/>
      <c r="I30" s="73"/>
      <c r="J30" s="74"/>
      <c r="K30" s="75"/>
      <c r="L30" s="71"/>
      <c r="M30" s="71"/>
      <c r="N30" s="71"/>
      <c r="O30" s="71"/>
      <c r="P30" s="71"/>
      <c r="Q30" s="71"/>
      <c r="R30" s="71"/>
      <c r="S30" s="71"/>
      <c r="T30" s="71"/>
      <c r="U30" s="351"/>
      <c r="V30" s="71"/>
      <c r="W30" s="71"/>
      <c r="X30" s="71"/>
      <c r="Y30" s="71"/>
      <c r="Z30" s="71"/>
      <c r="AA30" s="71"/>
      <c r="AB30" s="71"/>
      <c r="AC30" s="71"/>
      <c r="AD30" s="71"/>
      <c r="AE30" s="71"/>
      <c r="AF30" s="59">
        <f t="shared" si="16"/>
        <v>0</v>
      </c>
      <c r="AP30" s="101"/>
    </row>
    <row r="31" spans="1:43" ht="15.9" customHeight="1" x14ac:dyDescent="0.3">
      <c r="A31" s="471" t="s">
        <v>351</v>
      </c>
      <c r="B31" s="76" t="s">
        <v>314</v>
      </c>
      <c r="C31" s="77"/>
      <c r="D31" s="54">
        <f>1653314-82666</f>
        <v>1570648</v>
      </c>
      <c r="E31" s="78">
        <v>5</v>
      </c>
      <c r="F31" s="54">
        <v>780975</v>
      </c>
      <c r="G31" s="79">
        <f>D31-F31</f>
        <v>789673</v>
      </c>
      <c r="H31" s="57">
        <f>82666-82666</f>
        <v>0</v>
      </c>
      <c r="I31" s="58">
        <v>0</v>
      </c>
      <c r="J31" s="58">
        <v>0</v>
      </c>
      <c r="K31" s="58">
        <v>0</v>
      </c>
      <c r="L31" s="58">
        <f>+G31-H31</f>
        <v>789673</v>
      </c>
      <c r="M31" s="58"/>
      <c r="N31" s="58">
        <v>0</v>
      </c>
      <c r="O31" s="58">
        <v>0</v>
      </c>
      <c r="P31" s="58">
        <v>0</v>
      </c>
      <c r="Q31" s="58">
        <v>0</v>
      </c>
      <c r="R31" s="58">
        <v>0</v>
      </c>
      <c r="S31" s="58">
        <v>0</v>
      </c>
      <c r="T31" s="58">
        <v>0</v>
      </c>
      <c r="U31" s="349">
        <v>0</v>
      </c>
      <c r="V31" s="58">
        <v>0</v>
      </c>
      <c r="W31" s="58">
        <v>0</v>
      </c>
      <c r="X31" s="58">
        <v>0</v>
      </c>
      <c r="Y31" s="58">
        <v>0</v>
      </c>
      <c r="Z31" s="58">
        <v>0</v>
      </c>
      <c r="AA31" s="58">
        <v>0</v>
      </c>
      <c r="AB31" s="58">
        <v>0</v>
      </c>
      <c r="AC31" s="58">
        <v>0</v>
      </c>
      <c r="AD31" s="58">
        <v>0</v>
      </c>
      <c r="AE31" s="58">
        <v>0</v>
      </c>
      <c r="AF31" s="59">
        <f t="shared" si="16"/>
        <v>0</v>
      </c>
      <c r="AP31" s="101"/>
      <c r="AQ31" s="101"/>
    </row>
    <row r="32" spans="1:43" ht="15.9" customHeight="1" x14ac:dyDescent="0.3">
      <c r="A32" s="472"/>
      <c r="B32" s="76" t="s">
        <v>463</v>
      </c>
      <c r="C32" s="77"/>
      <c r="D32" s="54">
        <v>-1570648</v>
      </c>
      <c r="E32" s="78"/>
      <c r="F32" s="54">
        <v>-780975</v>
      </c>
      <c r="G32" s="79"/>
      <c r="H32" s="57"/>
      <c r="I32" s="58"/>
      <c r="J32" s="58"/>
      <c r="K32" s="58"/>
      <c r="L32" s="58"/>
      <c r="M32" s="58"/>
      <c r="N32" s="58"/>
      <c r="O32" s="58"/>
      <c r="P32" s="58"/>
      <c r="Q32" s="58"/>
      <c r="R32" s="58"/>
      <c r="S32" s="58"/>
      <c r="T32" s="58"/>
      <c r="U32" s="349"/>
      <c r="V32" s="58"/>
      <c r="W32" s="58"/>
      <c r="X32" s="58"/>
      <c r="Y32" s="58"/>
      <c r="Z32" s="58"/>
      <c r="AA32" s="58"/>
      <c r="AB32" s="58"/>
      <c r="AC32" s="58"/>
      <c r="AD32" s="58"/>
      <c r="AE32" s="58"/>
      <c r="AF32" s="59">
        <f t="shared" si="16"/>
        <v>-789673</v>
      </c>
      <c r="AP32" s="101"/>
      <c r="AQ32" s="101"/>
    </row>
    <row r="33" spans="1:43" ht="15.9" customHeight="1" x14ac:dyDescent="0.3">
      <c r="A33" s="472"/>
      <c r="B33" s="76" t="s">
        <v>310</v>
      </c>
      <c r="C33" s="53">
        <v>40318</v>
      </c>
      <c r="D33" s="54">
        <v>3300</v>
      </c>
      <c r="E33" s="78">
        <v>5</v>
      </c>
      <c r="F33" s="54">
        <v>3300</v>
      </c>
      <c r="G33" s="79">
        <f>D33-F33</f>
        <v>0</v>
      </c>
      <c r="H33" s="57">
        <v>0</v>
      </c>
      <c r="I33" s="57">
        <v>0</v>
      </c>
      <c r="J33" s="57">
        <v>0</v>
      </c>
      <c r="K33" s="57">
        <v>0</v>
      </c>
      <c r="L33" s="58">
        <v>0</v>
      </c>
      <c r="M33" s="58"/>
      <c r="N33" s="57">
        <v>0</v>
      </c>
      <c r="O33" s="57">
        <v>0</v>
      </c>
      <c r="P33" s="57">
        <v>0</v>
      </c>
      <c r="Q33" s="57">
        <v>0</v>
      </c>
      <c r="R33" s="57">
        <v>0</v>
      </c>
      <c r="S33" s="57">
        <v>0</v>
      </c>
      <c r="T33" s="57">
        <v>0</v>
      </c>
      <c r="U33" s="352">
        <v>0</v>
      </c>
      <c r="V33" s="57">
        <v>0</v>
      </c>
      <c r="W33" s="57">
        <v>0</v>
      </c>
      <c r="X33" s="57">
        <v>0</v>
      </c>
      <c r="Y33" s="57">
        <v>0</v>
      </c>
      <c r="Z33" s="57">
        <v>0</v>
      </c>
      <c r="AA33" s="57">
        <v>0</v>
      </c>
      <c r="AB33" s="57">
        <v>0</v>
      </c>
      <c r="AC33" s="57">
        <v>0</v>
      </c>
      <c r="AD33" s="57">
        <v>0</v>
      </c>
      <c r="AE33" s="57">
        <v>0</v>
      </c>
      <c r="AF33" s="59">
        <f t="shared" si="16"/>
        <v>0</v>
      </c>
      <c r="AP33" s="101"/>
      <c r="AQ33" s="101"/>
    </row>
    <row r="34" spans="1:43" ht="15.9" customHeight="1" x14ac:dyDescent="0.3">
      <c r="A34" s="472"/>
      <c r="B34" s="76" t="s">
        <v>311</v>
      </c>
      <c r="C34" s="53">
        <v>40348</v>
      </c>
      <c r="D34" s="54">
        <v>7875</v>
      </c>
      <c r="E34" s="78">
        <v>5</v>
      </c>
      <c r="F34" s="54">
        <v>7875</v>
      </c>
      <c r="G34" s="79">
        <f t="shared" ref="G34:G36" si="17">D34-F34</f>
        <v>0</v>
      </c>
      <c r="H34" s="57">
        <v>0</v>
      </c>
      <c r="I34" s="57">
        <v>0</v>
      </c>
      <c r="J34" s="57">
        <v>0</v>
      </c>
      <c r="K34" s="57">
        <v>0</v>
      </c>
      <c r="L34" s="58">
        <v>0</v>
      </c>
      <c r="M34" s="58"/>
      <c r="N34" s="57">
        <v>0</v>
      </c>
      <c r="O34" s="57">
        <v>0</v>
      </c>
      <c r="P34" s="57">
        <v>0</v>
      </c>
      <c r="Q34" s="57">
        <v>0</v>
      </c>
      <c r="R34" s="57">
        <v>0</v>
      </c>
      <c r="S34" s="57">
        <v>0</v>
      </c>
      <c r="T34" s="57">
        <v>0</v>
      </c>
      <c r="U34" s="352">
        <v>0</v>
      </c>
      <c r="V34" s="57">
        <v>0</v>
      </c>
      <c r="W34" s="57">
        <v>0</v>
      </c>
      <c r="X34" s="57">
        <v>0</v>
      </c>
      <c r="Y34" s="57">
        <v>0</v>
      </c>
      <c r="Z34" s="57">
        <v>0</v>
      </c>
      <c r="AA34" s="57">
        <v>0</v>
      </c>
      <c r="AB34" s="57">
        <v>0</v>
      </c>
      <c r="AC34" s="57">
        <v>0</v>
      </c>
      <c r="AD34" s="57">
        <v>0</v>
      </c>
      <c r="AE34" s="57">
        <v>0</v>
      </c>
      <c r="AF34" s="59">
        <f t="shared" si="16"/>
        <v>0</v>
      </c>
      <c r="AP34" s="101"/>
      <c r="AQ34" s="101"/>
    </row>
    <row r="35" spans="1:43" ht="15.9" customHeight="1" x14ac:dyDescent="0.3">
      <c r="A35" s="472"/>
      <c r="B35" s="76" t="s">
        <v>312</v>
      </c>
      <c r="C35" s="53">
        <v>40434</v>
      </c>
      <c r="D35" s="54">
        <v>2700</v>
      </c>
      <c r="E35" s="78">
        <v>5</v>
      </c>
      <c r="F35" s="54">
        <v>2700</v>
      </c>
      <c r="G35" s="79">
        <f t="shared" si="17"/>
        <v>0</v>
      </c>
      <c r="H35" s="57">
        <v>0</v>
      </c>
      <c r="I35" s="57">
        <v>0</v>
      </c>
      <c r="J35" s="57">
        <v>0</v>
      </c>
      <c r="K35" s="57">
        <v>0</v>
      </c>
      <c r="L35" s="58">
        <v>0</v>
      </c>
      <c r="M35" s="58"/>
      <c r="N35" s="57">
        <v>0</v>
      </c>
      <c r="O35" s="57">
        <v>0</v>
      </c>
      <c r="P35" s="57">
        <v>0</v>
      </c>
      <c r="Q35" s="57">
        <v>0</v>
      </c>
      <c r="R35" s="57">
        <v>0</v>
      </c>
      <c r="S35" s="57">
        <v>0</v>
      </c>
      <c r="T35" s="57">
        <v>0</v>
      </c>
      <c r="U35" s="352">
        <v>0</v>
      </c>
      <c r="V35" s="57">
        <v>0</v>
      </c>
      <c r="W35" s="57">
        <v>0</v>
      </c>
      <c r="X35" s="57">
        <v>0</v>
      </c>
      <c r="Y35" s="57">
        <v>0</v>
      </c>
      <c r="Z35" s="57">
        <v>0</v>
      </c>
      <c r="AA35" s="57">
        <v>0</v>
      </c>
      <c r="AB35" s="57">
        <v>0</v>
      </c>
      <c r="AC35" s="57">
        <v>0</v>
      </c>
      <c r="AD35" s="57">
        <v>0</v>
      </c>
      <c r="AE35" s="57">
        <v>0</v>
      </c>
      <c r="AF35" s="59">
        <f t="shared" si="16"/>
        <v>0</v>
      </c>
      <c r="AP35" s="101"/>
      <c r="AQ35" s="101"/>
    </row>
    <row r="36" spans="1:43" ht="15.9" customHeight="1" x14ac:dyDescent="0.3">
      <c r="A36" s="472"/>
      <c r="B36" s="76" t="s">
        <v>312</v>
      </c>
      <c r="C36" s="53">
        <v>40478</v>
      </c>
      <c r="D36" s="54">
        <v>4000</v>
      </c>
      <c r="E36" s="78">
        <v>5</v>
      </c>
      <c r="F36" s="54">
        <v>4000</v>
      </c>
      <c r="G36" s="79">
        <f t="shared" si="17"/>
        <v>0</v>
      </c>
      <c r="H36" s="57">
        <v>0</v>
      </c>
      <c r="I36" s="57">
        <v>0</v>
      </c>
      <c r="J36" s="57">
        <v>0</v>
      </c>
      <c r="K36" s="57">
        <v>0</v>
      </c>
      <c r="L36" s="58">
        <v>0</v>
      </c>
      <c r="M36" s="58"/>
      <c r="N36" s="57">
        <v>0</v>
      </c>
      <c r="O36" s="57">
        <v>0</v>
      </c>
      <c r="P36" s="57">
        <v>0</v>
      </c>
      <c r="Q36" s="57">
        <v>0</v>
      </c>
      <c r="R36" s="57">
        <v>0</v>
      </c>
      <c r="S36" s="57">
        <v>0</v>
      </c>
      <c r="T36" s="57">
        <v>0</v>
      </c>
      <c r="U36" s="352">
        <v>0</v>
      </c>
      <c r="V36" s="57">
        <v>0</v>
      </c>
      <c r="W36" s="57">
        <v>0</v>
      </c>
      <c r="X36" s="57">
        <v>0</v>
      </c>
      <c r="Y36" s="57">
        <v>0</v>
      </c>
      <c r="Z36" s="57">
        <v>0</v>
      </c>
      <c r="AA36" s="57">
        <v>0</v>
      </c>
      <c r="AB36" s="57">
        <v>0</v>
      </c>
      <c r="AC36" s="57">
        <v>0</v>
      </c>
      <c r="AD36" s="57">
        <v>0</v>
      </c>
      <c r="AE36" s="57">
        <v>0</v>
      </c>
      <c r="AF36" s="59">
        <f t="shared" si="16"/>
        <v>0</v>
      </c>
      <c r="AP36" s="101"/>
      <c r="AQ36" s="101"/>
    </row>
    <row r="37" spans="1:43" ht="15.9" customHeight="1" x14ac:dyDescent="0.3">
      <c r="A37" s="472"/>
      <c r="B37" s="76" t="s">
        <v>142</v>
      </c>
      <c r="C37" s="53">
        <v>40353</v>
      </c>
      <c r="D37" s="54">
        <v>53566</v>
      </c>
      <c r="E37" s="78">
        <v>5</v>
      </c>
      <c r="F37" s="54">
        <v>9590.8279041095884</v>
      </c>
      <c r="G37" s="79">
        <f t="shared" ref="G37:G50" si="18">D37-F37</f>
        <v>43975.172095890412</v>
      </c>
      <c r="H37" s="57">
        <f>ROUND(D37*5%,0)</f>
        <v>2678</v>
      </c>
      <c r="I37" s="58">
        <f t="shared" ref="I37:I41" si="19">$I$3-C37+1</f>
        <v>1377</v>
      </c>
      <c r="J37" s="53">
        <f t="shared" ref="J37:J38" si="20">+C37+1825</f>
        <v>42178</v>
      </c>
      <c r="K37" s="60">
        <f>+J37-C37-I37+1</f>
        <v>449</v>
      </c>
      <c r="L37" s="58">
        <v>0</v>
      </c>
      <c r="M37" s="58"/>
      <c r="N37" s="57">
        <f>+ROUND((G37-H37)*365/K37,0)</f>
        <v>33571</v>
      </c>
      <c r="O37" s="57">
        <f>+ROUND((G37-H37)*(K37-365)/K37,0)</f>
        <v>7726</v>
      </c>
      <c r="P37" s="80">
        <v>0</v>
      </c>
      <c r="Q37" s="80">
        <v>0</v>
      </c>
      <c r="R37" s="80">
        <v>0</v>
      </c>
      <c r="S37" s="80">
        <v>0</v>
      </c>
      <c r="T37" s="80">
        <v>0</v>
      </c>
      <c r="U37" s="353">
        <v>0</v>
      </c>
      <c r="V37" s="80">
        <v>0</v>
      </c>
      <c r="W37" s="80">
        <v>0</v>
      </c>
      <c r="X37" s="80">
        <v>0</v>
      </c>
      <c r="Y37" s="80">
        <v>0</v>
      </c>
      <c r="Z37" s="80">
        <v>0</v>
      </c>
      <c r="AA37" s="80">
        <v>0</v>
      </c>
      <c r="AB37" s="80">
        <v>0</v>
      </c>
      <c r="AC37" s="80">
        <v>0</v>
      </c>
      <c r="AD37" s="80">
        <v>0</v>
      </c>
      <c r="AE37" s="80">
        <v>0</v>
      </c>
      <c r="AF37" s="59">
        <f t="shared" si="16"/>
        <v>2678.1720958904116</v>
      </c>
      <c r="AP37" s="101"/>
      <c r="AQ37" s="101"/>
    </row>
    <row r="38" spans="1:43" ht="15.9" customHeight="1" x14ac:dyDescent="0.3">
      <c r="A38" s="472"/>
      <c r="B38" s="76" t="s">
        <v>141</v>
      </c>
      <c r="C38" s="53">
        <v>40481</v>
      </c>
      <c r="D38" s="54">
        <v>33080</v>
      </c>
      <c r="E38" s="78">
        <v>5</v>
      </c>
      <c r="F38" s="54">
        <v>5371.6545205479451</v>
      </c>
      <c r="G38" s="79">
        <f t="shared" si="18"/>
        <v>27708.345479452055</v>
      </c>
      <c r="H38" s="57">
        <f>ROUND(D38*5%,0)</f>
        <v>1654</v>
      </c>
      <c r="I38" s="58">
        <f t="shared" si="19"/>
        <v>1249</v>
      </c>
      <c r="J38" s="53">
        <f t="shared" si="20"/>
        <v>42306</v>
      </c>
      <c r="K38" s="60">
        <f>+J38-C38-I38+1</f>
        <v>577</v>
      </c>
      <c r="L38" s="58">
        <v>0</v>
      </c>
      <c r="M38" s="58"/>
      <c r="N38" s="57">
        <f>+ROUND((G38-H38)*365/K38,0)</f>
        <v>16482</v>
      </c>
      <c r="O38" s="57">
        <f>+ROUND((G38-H38)*(K38-365)/K38,0)</f>
        <v>9573</v>
      </c>
      <c r="P38" s="80">
        <v>0</v>
      </c>
      <c r="Q38" s="80">
        <v>0</v>
      </c>
      <c r="R38" s="80">
        <v>0</v>
      </c>
      <c r="S38" s="80">
        <v>0</v>
      </c>
      <c r="T38" s="80">
        <v>0</v>
      </c>
      <c r="U38" s="353">
        <v>0</v>
      </c>
      <c r="V38" s="80">
        <v>0</v>
      </c>
      <c r="W38" s="80">
        <v>0</v>
      </c>
      <c r="X38" s="80">
        <v>0</v>
      </c>
      <c r="Y38" s="80">
        <v>0</v>
      </c>
      <c r="Z38" s="80">
        <v>0</v>
      </c>
      <c r="AA38" s="80">
        <v>0</v>
      </c>
      <c r="AB38" s="80">
        <v>0</v>
      </c>
      <c r="AC38" s="80">
        <v>0</v>
      </c>
      <c r="AD38" s="80">
        <v>0</v>
      </c>
      <c r="AE38" s="80">
        <v>0</v>
      </c>
      <c r="AF38" s="59">
        <f t="shared" si="16"/>
        <v>1653.3454794520549</v>
      </c>
      <c r="AP38" s="101"/>
      <c r="AQ38" s="101"/>
    </row>
    <row r="39" spans="1:43" ht="15.9" customHeight="1" x14ac:dyDescent="0.3">
      <c r="A39" s="472"/>
      <c r="B39" s="76" t="s">
        <v>140</v>
      </c>
      <c r="C39" s="53">
        <v>40659</v>
      </c>
      <c r="D39" s="54">
        <v>8100</v>
      </c>
      <c r="E39" s="78">
        <v>5</v>
      </c>
      <c r="F39" s="54">
        <v>1128</v>
      </c>
      <c r="G39" s="79">
        <f t="shared" si="18"/>
        <v>6972</v>
      </c>
      <c r="H39" s="57">
        <f>ROUND(D39*5%,0)</f>
        <v>405</v>
      </c>
      <c r="I39" s="58">
        <f t="shared" si="19"/>
        <v>1071</v>
      </c>
      <c r="J39" s="53">
        <f>+C39+1826</f>
        <v>42485</v>
      </c>
      <c r="K39" s="60">
        <f>+J39-C39-I39+1</f>
        <v>756</v>
      </c>
      <c r="L39" s="58">
        <v>0</v>
      </c>
      <c r="M39" s="58"/>
      <c r="N39" s="57">
        <f>+ROUND((G39-H39)*365/K39,0)</f>
        <v>3171</v>
      </c>
      <c r="O39" s="57">
        <f>+N39</f>
        <v>3171</v>
      </c>
      <c r="P39" s="57">
        <f>+ROUND((G39-H39)*(K39-730)/K39,0)-1</f>
        <v>225</v>
      </c>
      <c r="Q39" s="80">
        <v>0</v>
      </c>
      <c r="R39" s="80">
        <v>0</v>
      </c>
      <c r="S39" s="80">
        <v>0</v>
      </c>
      <c r="T39" s="80">
        <v>0</v>
      </c>
      <c r="U39" s="353">
        <v>0</v>
      </c>
      <c r="V39" s="80">
        <v>0</v>
      </c>
      <c r="W39" s="80">
        <v>0</v>
      </c>
      <c r="X39" s="80">
        <v>0</v>
      </c>
      <c r="Y39" s="80">
        <v>0</v>
      </c>
      <c r="Z39" s="80">
        <v>0</v>
      </c>
      <c r="AA39" s="80">
        <v>0</v>
      </c>
      <c r="AB39" s="80">
        <v>0</v>
      </c>
      <c r="AC39" s="80">
        <v>0</v>
      </c>
      <c r="AD39" s="80">
        <v>0</v>
      </c>
      <c r="AE39" s="80">
        <v>0</v>
      </c>
      <c r="AF39" s="59">
        <f t="shared" si="16"/>
        <v>405</v>
      </c>
      <c r="AP39" s="101"/>
      <c r="AQ39" s="101"/>
    </row>
    <row r="40" spans="1:43" ht="15.9" customHeight="1" x14ac:dyDescent="0.3">
      <c r="A40" s="472"/>
      <c r="B40" s="76" t="s">
        <v>140</v>
      </c>
      <c r="C40" s="53">
        <v>40635</v>
      </c>
      <c r="D40" s="54">
        <v>18800</v>
      </c>
      <c r="E40" s="78">
        <v>5</v>
      </c>
      <c r="F40" s="54">
        <v>2677</v>
      </c>
      <c r="G40" s="79">
        <f t="shared" si="18"/>
        <v>16123</v>
      </c>
      <c r="H40" s="57">
        <f>ROUND(D40*5%,0)</f>
        <v>940</v>
      </c>
      <c r="I40" s="58">
        <f t="shared" si="19"/>
        <v>1095</v>
      </c>
      <c r="J40" s="53">
        <f>+C40+1826</f>
        <v>42461</v>
      </c>
      <c r="K40" s="60">
        <f>+J40-C40-I40+1</f>
        <v>732</v>
      </c>
      <c r="L40" s="58">
        <v>0</v>
      </c>
      <c r="M40" s="58"/>
      <c r="N40" s="57">
        <f>+ROUND((G40-H40)*365/K40,0)</f>
        <v>7571</v>
      </c>
      <c r="O40" s="57">
        <f>N40</f>
        <v>7571</v>
      </c>
      <c r="P40" s="57">
        <f>+ROUND((G40-H40)*(K40-730)/K40,0)</f>
        <v>41</v>
      </c>
      <c r="Q40" s="80">
        <v>0</v>
      </c>
      <c r="R40" s="80">
        <v>0</v>
      </c>
      <c r="S40" s="80">
        <v>0</v>
      </c>
      <c r="T40" s="80">
        <v>0</v>
      </c>
      <c r="U40" s="353">
        <v>0</v>
      </c>
      <c r="V40" s="80">
        <v>0</v>
      </c>
      <c r="W40" s="80">
        <v>0</v>
      </c>
      <c r="X40" s="80">
        <v>0</v>
      </c>
      <c r="Y40" s="80">
        <v>0</v>
      </c>
      <c r="Z40" s="80">
        <v>0</v>
      </c>
      <c r="AA40" s="80">
        <v>0</v>
      </c>
      <c r="AB40" s="80">
        <v>0</v>
      </c>
      <c r="AC40" s="80">
        <v>0</v>
      </c>
      <c r="AD40" s="80">
        <v>0</v>
      </c>
      <c r="AE40" s="80">
        <v>0</v>
      </c>
      <c r="AF40" s="59">
        <f t="shared" si="16"/>
        <v>940</v>
      </c>
      <c r="AP40" s="101"/>
      <c r="AQ40" s="101"/>
    </row>
    <row r="41" spans="1:43" ht="15.9" customHeight="1" x14ac:dyDescent="0.3">
      <c r="A41" s="472"/>
      <c r="B41" s="76" t="s">
        <v>139</v>
      </c>
      <c r="C41" s="53">
        <v>40642</v>
      </c>
      <c r="D41" s="54">
        <v>5199</v>
      </c>
      <c r="E41" s="78">
        <v>5</v>
      </c>
      <c r="F41" s="54">
        <v>736</v>
      </c>
      <c r="G41" s="79">
        <f t="shared" si="18"/>
        <v>4463</v>
      </c>
      <c r="H41" s="57">
        <f>ROUND(D41*5%,0)</f>
        <v>260</v>
      </c>
      <c r="I41" s="58">
        <f t="shared" si="19"/>
        <v>1088</v>
      </c>
      <c r="J41" s="53">
        <f>+C41+1826</f>
        <v>42468</v>
      </c>
      <c r="K41" s="60">
        <f>+J41-C41-I41+1</f>
        <v>739</v>
      </c>
      <c r="L41" s="58">
        <v>0</v>
      </c>
      <c r="M41" s="58"/>
      <c r="N41" s="57">
        <f>+ROUND((G41-H41)*365/K41,0)</f>
        <v>2076</v>
      </c>
      <c r="O41" s="57">
        <f>+ROUND((G41-H41)*365/K41,0)</f>
        <v>2076</v>
      </c>
      <c r="P41" s="57">
        <f>+ROUND((G41-H41)*(K41-730)/K41,0)</f>
        <v>51</v>
      </c>
      <c r="Q41" s="80">
        <v>0</v>
      </c>
      <c r="R41" s="80">
        <v>0</v>
      </c>
      <c r="S41" s="80">
        <v>0</v>
      </c>
      <c r="T41" s="80">
        <v>0</v>
      </c>
      <c r="U41" s="353">
        <v>0</v>
      </c>
      <c r="V41" s="80">
        <v>0</v>
      </c>
      <c r="W41" s="80">
        <v>0</v>
      </c>
      <c r="X41" s="80">
        <v>0</v>
      </c>
      <c r="Y41" s="80">
        <v>0</v>
      </c>
      <c r="Z41" s="80">
        <v>0</v>
      </c>
      <c r="AA41" s="80">
        <v>0</v>
      </c>
      <c r="AB41" s="80">
        <v>0</v>
      </c>
      <c r="AC41" s="80">
        <v>0</v>
      </c>
      <c r="AD41" s="80">
        <v>0</v>
      </c>
      <c r="AE41" s="80">
        <v>0</v>
      </c>
      <c r="AF41" s="59">
        <f t="shared" si="16"/>
        <v>260</v>
      </c>
      <c r="AP41" s="101"/>
      <c r="AQ41" s="101"/>
    </row>
    <row r="42" spans="1:43" ht="15.9" customHeight="1" x14ac:dyDescent="0.3">
      <c r="A42" s="472"/>
      <c r="B42" s="76" t="s">
        <v>139</v>
      </c>
      <c r="C42" s="53">
        <v>40793</v>
      </c>
      <c r="D42" s="54">
        <v>1499</v>
      </c>
      <c r="E42" s="78">
        <v>5</v>
      </c>
      <c r="F42" s="54">
        <v>1499</v>
      </c>
      <c r="G42" s="79">
        <f>D42-F42</f>
        <v>0</v>
      </c>
      <c r="H42" s="57">
        <v>0</v>
      </c>
      <c r="I42" s="57">
        <v>0</v>
      </c>
      <c r="J42" s="57">
        <v>0</v>
      </c>
      <c r="K42" s="57">
        <v>0</v>
      </c>
      <c r="L42" s="58">
        <v>0</v>
      </c>
      <c r="M42" s="58"/>
      <c r="N42" s="57">
        <v>0</v>
      </c>
      <c r="O42" s="57">
        <v>0</v>
      </c>
      <c r="P42" s="80">
        <v>0</v>
      </c>
      <c r="Q42" s="80">
        <v>0</v>
      </c>
      <c r="R42" s="80">
        <v>0</v>
      </c>
      <c r="S42" s="80">
        <v>0</v>
      </c>
      <c r="T42" s="80">
        <v>0</v>
      </c>
      <c r="U42" s="353">
        <v>0</v>
      </c>
      <c r="V42" s="80">
        <v>0</v>
      </c>
      <c r="W42" s="80">
        <v>0</v>
      </c>
      <c r="X42" s="80">
        <v>0</v>
      </c>
      <c r="Y42" s="80">
        <v>0</v>
      </c>
      <c r="Z42" s="80">
        <v>0</v>
      </c>
      <c r="AA42" s="80">
        <v>0</v>
      </c>
      <c r="AB42" s="80">
        <v>0</v>
      </c>
      <c r="AC42" s="80">
        <v>0</v>
      </c>
      <c r="AD42" s="80">
        <v>0</v>
      </c>
      <c r="AE42" s="80">
        <v>0</v>
      </c>
      <c r="AF42" s="59">
        <f t="shared" si="16"/>
        <v>0</v>
      </c>
      <c r="AP42" s="101"/>
      <c r="AQ42" s="101"/>
    </row>
    <row r="43" spans="1:43" ht="15.9" customHeight="1" x14ac:dyDescent="0.3">
      <c r="A43" s="472"/>
      <c r="B43" s="76" t="s">
        <v>139</v>
      </c>
      <c r="C43" s="53">
        <v>40827</v>
      </c>
      <c r="D43" s="54">
        <v>1200</v>
      </c>
      <c r="E43" s="78">
        <v>5</v>
      </c>
      <c r="F43" s="54">
        <v>1200</v>
      </c>
      <c r="G43" s="79">
        <f t="shared" ref="G43:G46" si="21">D43-F43</f>
        <v>0</v>
      </c>
      <c r="H43" s="57">
        <v>0</v>
      </c>
      <c r="I43" s="57">
        <v>0</v>
      </c>
      <c r="J43" s="57">
        <v>0</v>
      </c>
      <c r="K43" s="57">
        <v>0</v>
      </c>
      <c r="L43" s="58">
        <v>0</v>
      </c>
      <c r="M43" s="58"/>
      <c r="N43" s="57">
        <v>0</v>
      </c>
      <c r="O43" s="57">
        <v>0</v>
      </c>
      <c r="P43" s="80">
        <v>0</v>
      </c>
      <c r="Q43" s="80">
        <v>0</v>
      </c>
      <c r="R43" s="80">
        <v>0</v>
      </c>
      <c r="S43" s="80">
        <v>0</v>
      </c>
      <c r="T43" s="80">
        <v>0</v>
      </c>
      <c r="U43" s="353">
        <v>0</v>
      </c>
      <c r="V43" s="80">
        <v>0</v>
      </c>
      <c r="W43" s="80">
        <v>0</v>
      </c>
      <c r="X43" s="80">
        <v>0</v>
      </c>
      <c r="Y43" s="80">
        <v>0</v>
      </c>
      <c r="Z43" s="80">
        <v>0</v>
      </c>
      <c r="AA43" s="80">
        <v>0</v>
      </c>
      <c r="AB43" s="80">
        <v>0</v>
      </c>
      <c r="AC43" s="80">
        <v>0</v>
      </c>
      <c r="AD43" s="80">
        <v>0</v>
      </c>
      <c r="AE43" s="80">
        <v>0</v>
      </c>
      <c r="AF43" s="59">
        <f t="shared" si="16"/>
        <v>0</v>
      </c>
      <c r="AP43" s="101"/>
      <c r="AQ43" s="101"/>
    </row>
    <row r="44" spans="1:43" ht="15.9" customHeight="1" x14ac:dyDescent="0.3">
      <c r="A44" s="472"/>
      <c r="B44" s="76" t="s">
        <v>139</v>
      </c>
      <c r="C44" s="53">
        <v>40873</v>
      </c>
      <c r="D44" s="54">
        <v>1050</v>
      </c>
      <c r="E44" s="78">
        <v>5</v>
      </c>
      <c r="F44" s="54">
        <v>1050</v>
      </c>
      <c r="G44" s="79">
        <f t="shared" si="21"/>
        <v>0</v>
      </c>
      <c r="H44" s="57">
        <v>0</v>
      </c>
      <c r="I44" s="57">
        <v>0</v>
      </c>
      <c r="J44" s="57">
        <v>0</v>
      </c>
      <c r="K44" s="57">
        <v>0</v>
      </c>
      <c r="L44" s="58">
        <v>0</v>
      </c>
      <c r="M44" s="58"/>
      <c r="N44" s="57">
        <v>0</v>
      </c>
      <c r="O44" s="57">
        <v>0</v>
      </c>
      <c r="P44" s="80">
        <v>0</v>
      </c>
      <c r="Q44" s="80">
        <v>0</v>
      </c>
      <c r="R44" s="80">
        <v>0</v>
      </c>
      <c r="S44" s="80">
        <v>0</v>
      </c>
      <c r="T44" s="80">
        <v>0</v>
      </c>
      <c r="U44" s="353">
        <v>0</v>
      </c>
      <c r="V44" s="80">
        <v>0</v>
      </c>
      <c r="W44" s="80">
        <v>0</v>
      </c>
      <c r="X44" s="80">
        <v>0</v>
      </c>
      <c r="Y44" s="80">
        <v>0</v>
      </c>
      <c r="Z44" s="80">
        <v>0</v>
      </c>
      <c r="AA44" s="80">
        <v>0</v>
      </c>
      <c r="AB44" s="80">
        <v>0</v>
      </c>
      <c r="AC44" s="80">
        <v>0</v>
      </c>
      <c r="AD44" s="80">
        <v>0</v>
      </c>
      <c r="AE44" s="80">
        <v>0</v>
      </c>
      <c r="AF44" s="59">
        <f t="shared" si="16"/>
        <v>0</v>
      </c>
      <c r="AP44" s="101"/>
      <c r="AQ44" s="101"/>
    </row>
    <row r="45" spans="1:43" ht="15.9" customHeight="1" x14ac:dyDescent="0.3">
      <c r="A45" s="472"/>
      <c r="B45" s="76" t="s">
        <v>139</v>
      </c>
      <c r="C45" s="53">
        <v>40877</v>
      </c>
      <c r="D45" s="54">
        <v>4400</v>
      </c>
      <c r="E45" s="78">
        <v>5</v>
      </c>
      <c r="F45" s="54">
        <v>4400</v>
      </c>
      <c r="G45" s="79">
        <f t="shared" si="21"/>
        <v>0</v>
      </c>
      <c r="H45" s="57">
        <v>0</v>
      </c>
      <c r="I45" s="57">
        <v>0</v>
      </c>
      <c r="J45" s="57">
        <v>0</v>
      </c>
      <c r="K45" s="57">
        <v>0</v>
      </c>
      <c r="L45" s="58">
        <v>0</v>
      </c>
      <c r="M45" s="58"/>
      <c r="N45" s="57">
        <v>0</v>
      </c>
      <c r="O45" s="57">
        <v>0</v>
      </c>
      <c r="P45" s="80">
        <v>0</v>
      </c>
      <c r="Q45" s="80">
        <v>0</v>
      </c>
      <c r="R45" s="80">
        <v>0</v>
      </c>
      <c r="S45" s="80">
        <v>0</v>
      </c>
      <c r="T45" s="80">
        <v>0</v>
      </c>
      <c r="U45" s="353">
        <v>0</v>
      </c>
      <c r="V45" s="80">
        <v>0</v>
      </c>
      <c r="W45" s="80">
        <v>0</v>
      </c>
      <c r="X45" s="80">
        <v>0</v>
      </c>
      <c r="Y45" s="80">
        <v>0</v>
      </c>
      <c r="Z45" s="80">
        <v>0</v>
      </c>
      <c r="AA45" s="80">
        <v>0</v>
      </c>
      <c r="AB45" s="80">
        <v>0</v>
      </c>
      <c r="AC45" s="80">
        <v>0</v>
      </c>
      <c r="AD45" s="80">
        <v>0</v>
      </c>
      <c r="AE45" s="80">
        <v>0</v>
      </c>
      <c r="AF45" s="59">
        <f t="shared" si="16"/>
        <v>0</v>
      </c>
      <c r="AP45" s="101"/>
      <c r="AQ45" s="101"/>
    </row>
    <row r="46" spans="1:43" ht="15.9" customHeight="1" x14ac:dyDescent="0.3">
      <c r="A46" s="472"/>
      <c r="B46" s="76" t="s">
        <v>139</v>
      </c>
      <c r="C46" s="53">
        <v>40991</v>
      </c>
      <c r="D46" s="54">
        <v>4400</v>
      </c>
      <c r="E46" s="78">
        <v>5</v>
      </c>
      <c r="F46" s="54">
        <v>4400</v>
      </c>
      <c r="G46" s="79">
        <f t="shared" si="21"/>
        <v>0</v>
      </c>
      <c r="H46" s="57">
        <v>0</v>
      </c>
      <c r="I46" s="57">
        <v>0</v>
      </c>
      <c r="J46" s="57">
        <v>0</v>
      </c>
      <c r="K46" s="57">
        <v>0</v>
      </c>
      <c r="L46" s="58">
        <v>0</v>
      </c>
      <c r="M46" s="58"/>
      <c r="N46" s="57">
        <v>0</v>
      </c>
      <c r="O46" s="57">
        <v>0</v>
      </c>
      <c r="P46" s="80">
        <v>0</v>
      </c>
      <c r="Q46" s="80">
        <v>0</v>
      </c>
      <c r="R46" s="80">
        <v>0</v>
      </c>
      <c r="S46" s="80">
        <v>0</v>
      </c>
      <c r="T46" s="80">
        <v>0</v>
      </c>
      <c r="U46" s="353">
        <v>0</v>
      </c>
      <c r="V46" s="80">
        <v>0</v>
      </c>
      <c r="W46" s="80">
        <v>0</v>
      </c>
      <c r="X46" s="80">
        <v>0</v>
      </c>
      <c r="Y46" s="80">
        <v>0</v>
      </c>
      <c r="Z46" s="80">
        <v>0</v>
      </c>
      <c r="AA46" s="80">
        <v>0</v>
      </c>
      <c r="AB46" s="80">
        <v>0</v>
      </c>
      <c r="AC46" s="80">
        <v>0</v>
      </c>
      <c r="AD46" s="80">
        <v>0</v>
      </c>
      <c r="AE46" s="80">
        <v>0</v>
      </c>
      <c r="AF46" s="59">
        <f t="shared" si="16"/>
        <v>0</v>
      </c>
      <c r="AP46" s="101"/>
      <c r="AQ46" s="101"/>
    </row>
    <row r="47" spans="1:43" ht="15.9" customHeight="1" x14ac:dyDescent="0.3">
      <c r="A47" s="472"/>
      <c r="B47" s="76" t="s">
        <v>139</v>
      </c>
      <c r="C47" s="53">
        <v>41029</v>
      </c>
      <c r="D47" s="54">
        <v>2400</v>
      </c>
      <c r="E47" s="78">
        <v>5</v>
      </c>
      <c r="F47" s="54">
        <v>2400</v>
      </c>
      <c r="G47" s="79">
        <f t="shared" si="18"/>
        <v>0</v>
      </c>
      <c r="H47" s="57">
        <v>0</v>
      </c>
      <c r="I47" s="57">
        <v>0</v>
      </c>
      <c r="J47" s="57">
        <v>0</v>
      </c>
      <c r="K47" s="57">
        <v>0</v>
      </c>
      <c r="L47" s="58">
        <v>0</v>
      </c>
      <c r="M47" s="58"/>
      <c r="N47" s="57">
        <v>0</v>
      </c>
      <c r="O47" s="57">
        <v>0</v>
      </c>
      <c r="P47" s="80">
        <v>0</v>
      </c>
      <c r="Q47" s="80">
        <v>0</v>
      </c>
      <c r="R47" s="80">
        <v>0</v>
      </c>
      <c r="S47" s="80">
        <v>0</v>
      </c>
      <c r="T47" s="80">
        <v>0</v>
      </c>
      <c r="U47" s="353">
        <v>0</v>
      </c>
      <c r="V47" s="80">
        <v>0</v>
      </c>
      <c r="W47" s="80">
        <v>0</v>
      </c>
      <c r="X47" s="80">
        <v>0</v>
      </c>
      <c r="Y47" s="80">
        <v>0</v>
      </c>
      <c r="Z47" s="80">
        <v>0</v>
      </c>
      <c r="AA47" s="80">
        <v>0</v>
      </c>
      <c r="AB47" s="80">
        <v>0</v>
      </c>
      <c r="AC47" s="80">
        <v>0</v>
      </c>
      <c r="AD47" s="80">
        <v>0</v>
      </c>
      <c r="AE47" s="80">
        <v>0</v>
      </c>
      <c r="AF47" s="59">
        <f t="shared" si="16"/>
        <v>0</v>
      </c>
      <c r="AP47" s="101"/>
      <c r="AQ47" s="101"/>
    </row>
    <row r="48" spans="1:43" ht="15.9" customHeight="1" x14ac:dyDescent="0.3">
      <c r="A48" s="472"/>
      <c r="B48" s="76" t="s">
        <v>139</v>
      </c>
      <c r="C48" s="53">
        <v>41033</v>
      </c>
      <c r="D48" s="54">
        <v>3800</v>
      </c>
      <c r="E48" s="78">
        <v>5</v>
      </c>
      <c r="F48" s="54">
        <v>3800</v>
      </c>
      <c r="G48" s="79">
        <f t="shared" si="18"/>
        <v>0</v>
      </c>
      <c r="H48" s="57">
        <v>0</v>
      </c>
      <c r="I48" s="57">
        <v>0</v>
      </c>
      <c r="J48" s="57">
        <v>0</v>
      </c>
      <c r="K48" s="57">
        <v>0</v>
      </c>
      <c r="L48" s="58">
        <v>0</v>
      </c>
      <c r="M48" s="58"/>
      <c r="N48" s="57">
        <v>0</v>
      </c>
      <c r="O48" s="57">
        <v>0</v>
      </c>
      <c r="P48" s="80">
        <v>0</v>
      </c>
      <c r="Q48" s="80">
        <v>0</v>
      </c>
      <c r="R48" s="80">
        <v>0</v>
      </c>
      <c r="S48" s="80">
        <v>0</v>
      </c>
      <c r="T48" s="80">
        <v>0</v>
      </c>
      <c r="U48" s="353">
        <v>0</v>
      </c>
      <c r="V48" s="80">
        <v>0</v>
      </c>
      <c r="W48" s="80">
        <v>0</v>
      </c>
      <c r="X48" s="80">
        <v>0</v>
      </c>
      <c r="Y48" s="80">
        <v>0</v>
      </c>
      <c r="Z48" s="80">
        <v>0</v>
      </c>
      <c r="AA48" s="80">
        <v>0</v>
      </c>
      <c r="AB48" s="80">
        <v>0</v>
      </c>
      <c r="AC48" s="80">
        <v>0</v>
      </c>
      <c r="AD48" s="80">
        <v>0</v>
      </c>
      <c r="AE48" s="80">
        <v>0</v>
      </c>
      <c r="AF48" s="59">
        <f t="shared" si="16"/>
        <v>0</v>
      </c>
      <c r="AP48" s="101"/>
      <c r="AQ48" s="101"/>
    </row>
    <row r="49" spans="1:43" ht="15.9" customHeight="1" x14ac:dyDescent="0.3">
      <c r="A49" s="472"/>
      <c r="B49" s="76" t="s">
        <v>138</v>
      </c>
      <c r="C49" s="53">
        <v>41022</v>
      </c>
      <c r="D49" s="54">
        <v>102000</v>
      </c>
      <c r="E49" s="78">
        <v>5</v>
      </c>
      <c r="F49" s="54">
        <v>9398</v>
      </c>
      <c r="G49" s="79">
        <f t="shared" si="18"/>
        <v>92602</v>
      </c>
      <c r="H49" s="57">
        <f t="shared" ref="H49:H53" si="22">ROUND(D49*5%,0)</f>
        <v>5100</v>
      </c>
      <c r="I49" s="58">
        <f t="shared" ref="I49" si="23">$I$3-C49+1</f>
        <v>708</v>
      </c>
      <c r="J49" s="53">
        <f t="shared" ref="J49:J50" si="24">+C49+1825</f>
        <v>42847</v>
      </c>
      <c r="K49" s="60">
        <f>+J49-C49-I49+1</f>
        <v>1118</v>
      </c>
      <c r="L49" s="58">
        <v>0</v>
      </c>
      <c r="M49" s="58"/>
      <c r="N49" s="57">
        <f>+ROUND((G49-H49)*365/K49,0)</f>
        <v>28567</v>
      </c>
      <c r="O49" s="57">
        <f>+ROUND((G49-H49)*365/K49,0)</f>
        <v>28567</v>
      </c>
      <c r="P49" s="57">
        <f>+ROUND((G49-H49)*365/K49,0)</f>
        <v>28567</v>
      </c>
      <c r="Q49" s="57">
        <f>+ROUND((G49-H49)*(K49-1095)/K49,0)</f>
        <v>1800</v>
      </c>
      <c r="R49" s="80">
        <v>0</v>
      </c>
      <c r="S49" s="80">
        <v>0</v>
      </c>
      <c r="T49" s="80">
        <v>0</v>
      </c>
      <c r="U49" s="353">
        <v>0</v>
      </c>
      <c r="V49" s="80">
        <v>0</v>
      </c>
      <c r="W49" s="80">
        <v>0</v>
      </c>
      <c r="X49" s="80">
        <v>0</v>
      </c>
      <c r="Y49" s="80">
        <v>0</v>
      </c>
      <c r="Z49" s="80">
        <v>0</v>
      </c>
      <c r="AA49" s="80">
        <v>0</v>
      </c>
      <c r="AB49" s="80">
        <v>0</v>
      </c>
      <c r="AC49" s="80">
        <v>0</v>
      </c>
      <c r="AD49" s="80">
        <v>0</v>
      </c>
      <c r="AE49" s="80">
        <v>0</v>
      </c>
      <c r="AF49" s="59">
        <f t="shared" si="16"/>
        <v>5101</v>
      </c>
      <c r="AP49" s="101"/>
      <c r="AQ49" s="101"/>
    </row>
    <row r="50" spans="1:43" ht="15.9" customHeight="1" x14ac:dyDescent="0.3">
      <c r="A50" s="472"/>
      <c r="B50" s="76" t="s">
        <v>139</v>
      </c>
      <c r="C50" s="53">
        <v>43409</v>
      </c>
      <c r="D50" s="54">
        <v>29464</v>
      </c>
      <c r="E50" s="78">
        <v>5</v>
      </c>
      <c r="F50" s="54">
        <v>0</v>
      </c>
      <c r="G50" s="79">
        <f t="shared" si="18"/>
        <v>29464</v>
      </c>
      <c r="H50" s="57">
        <f t="shared" si="22"/>
        <v>1473</v>
      </c>
      <c r="I50" s="58">
        <v>0</v>
      </c>
      <c r="J50" s="53">
        <f t="shared" si="24"/>
        <v>45234</v>
      </c>
      <c r="K50" s="60">
        <f>+J50-C50-I50+1</f>
        <v>1826</v>
      </c>
      <c r="L50" s="58">
        <v>0</v>
      </c>
      <c r="M50" s="58"/>
      <c r="N50" s="57">
        <v>0</v>
      </c>
      <c r="O50" s="57">
        <v>0</v>
      </c>
      <c r="P50" s="80">
        <v>0</v>
      </c>
      <c r="Q50" s="80">
        <v>0</v>
      </c>
      <c r="R50" s="57">
        <f>+ROUND((G50-H50)*147/K50,0)</f>
        <v>2253</v>
      </c>
      <c r="S50" s="57">
        <f>+ROUND((G50-H50)*365/K50,0)</f>
        <v>5595</v>
      </c>
      <c r="T50" s="57">
        <f>+ROUND((G50-H50)*365/K50,0)</f>
        <v>5595</v>
      </c>
      <c r="U50" s="352">
        <f>($D50-$H50)/$K50*(U$3-T$3)</f>
        <v>5595.1341730558597</v>
      </c>
      <c r="V50" s="57">
        <f>($D50-$H50)/$K50*(V$3-U$3)</f>
        <v>5595.1341730558597</v>
      </c>
      <c r="W50" s="57">
        <f>$D50-$H50-SUM($R50:V50)</f>
        <v>3357.7316538882806</v>
      </c>
      <c r="X50" s="80"/>
      <c r="Y50" s="80"/>
      <c r="Z50" s="80"/>
      <c r="AA50" s="80"/>
      <c r="AB50" s="80"/>
      <c r="AC50" s="80"/>
      <c r="AD50" s="80"/>
      <c r="AE50" s="80"/>
      <c r="AF50" s="59">
        <f t="shared" si="16"/>
        <v>4830.7316538882806</v>
      </c>
      <c r="AP50" s="101"/>
      <c r="AQ50" s="101"/>
    </row>
    <row r="51" spans="1:43" ht="15.9" customHeight="1" x14ac:dyDescent="0.3">
      <c r="A51" s="472"/>
      <c r="B51" s="76" t="s">
        <v>382</v>
      </c>
      <c r="C51" s="53">
        <v>43292</v>
      </c>
      <c r="D51" s="54">
        <v>13500</v>
      </c>
      <c r="E51" s="78">
        <v>5</v>
      </c>
      <c r="F51" s="54">
        <v>0</v>
      </c>
      <c r="G51" s="79">
        <f t="shared" ref="G51:G52" si="25">D51-F51</f>
        <v>13500</v>
      </c>
      <c r="H51" s="57">
        <f t="shared" si="22"/>
        <v>675</v>
      </c>
      <c r="I51" s="58">
        <v>0</v>
      </c>
      <c r="J51" s="53">
        <f t="shared" ref="J51:J52" si="26">+C51+1825</f>
        <v>45117</v>
      </c>
      <c r="K51" s="60">
        <f>+J51-C51-I51+1</f>
        <v>1826</v>
      </c>
      <c r="L51" s="58">
        <v>0</v>
      </c>
      <c r="M51" s="58"/>
      <c r="N51" s="57">
        <v>0</v>
      </c>
      <c r="O51" s="57">
        <v>0</v>
      </c>
      <c r="P51" s="80">
        <v>0</v>
      </c>
      <c r="Q51" s="80">
        <v>0</v>
      </c>
      <c r="R51" s="57">
        <f>+ROUND((G51-H51)*263/K51,0)</f>
        <v>1847</v>
      </c>
      <c r="S51" s="57">
        <f>+ROUND((G51-H51)*365/K51,0)</f>
        <v>2564</v>
      </c>
      <c r="T51" s="57">
        <f>+ROUND((G51-H51)*365/K51,0)</f>
        <v>2564</v>
      </c>
      <c r="U51" s="352">
        <f t="shared" ref="U51:V51" si="27">($D51-$H51)/$K51*(U$3-T$3)</f>
        <v>2563.5952902519166</v>
      </c>
      <c r="V51" s="57">
        <f t="shared" si="27"/>
        <v>2563.5952902519166</v>
      </c>
      <c r="W51" s="80">
        <f>$D51-$H51-SUM($R51:V51)</f>
        <v>722.80941949616681</v>
      </c>
      <c r="X51" s="80">
        <v>0</v>
      </c>
      <c r="Y51" s="80">
        <v>0</v>
      </c>
      <c r="Z51" s="80">
        <v>0</v>
      </c>
      <c r="AA51" s="80">
        <v>0</v>
      </c>
      <c r="AB51" s="80">
        <v>0</v>
      </c>
      <c r="AC51" s="80">
        <v>0</v>
      </c>
      <c r="AD51" s="80">
        <v>0</v>
      </c>
      <c r="AE51" s="80">
        <v>0</v>
      </c>
      <c r="AF51" s="59">
        <f t="shared" si="16"/>
        <v>1397.8094194961668</v>
      </c>
      <c r="AP51" s="101"/>
      <c r="AQ51" s="101"/>
    </row>
    <row r="52" spans="1:43" ht="15.9" customHeight="1" x14ac:dyDescent="0.3">
      <c r="A52" s="472"/>
      <c r="B52" s="76" t="s">
        <v>139</v>
      </c>
      <c r="C52" s="53">
        <v>43601</v>
      </c>
      <c r="D52" s="54">
        <v>57142.86</v>
      </c>
      <c r="E52" s="78">
        <v>5</v>
      </c>
      <c r="F52" s="54">
        <v>0</v>
      </c>
      <c r="G52" s="79">
        <f t="shared" si="25"/>
        <v>57142.86</v>
      </c>
      <c r="H52" s="57">
        <f t="shared" si="22"/>
        <v>2857</v>
      </c>
      <c r="I52" s="58">
        <v>0</v>
      </c>
      <c r="J52" s="53">
        <f t="shared" si="26"/>
        <v>45426</v>
      </c>
      <c r="K52" s="60">
        <f>+J52-C52-I52+1</f>
        <v>1826</v>
      </c>
      <c r="L52" s="58">
        <v>0</v>
      </c>
      <c r="M52" s="58"/>
      <c r="N52" s="57"/>
      <c r="O52" s="57">
        <v>0</v>
      </c>
      <c r="P52" s="80">
        <v>0</v>
      </c>
      <c r="Q52" s="80">
        <v>0</v>
      </c>
      <c r="R52" s="57">
        <v>0</v>
      </c>
      <c r="S52" s="57">
        <f>+ROUND((G52-H52)*321/K52,0)</f>
        <v>9543</v>
      </c>
      <c r="T52" s="57">
        <f>+ROUND((G52-H52)*365/K52,0)</f>
        <v>10851</v>
      </c>
      <c r="U52" s="352">
        <f t="shared" ref="U52:W52" si="28">($D52-$H52)/$K52*(U$3-T$3)</f>
        <v>10851.226122672508</v>
      </c>
      <c r="V52" s="57">
        <f t="shared" si="28"/>
        <v>10851.226122672508</v>
      </c>
      <c r="W52" s="57">
        <f t="shared" si="28"/>
        <v>10880.955509309968</v>
      </c>
      <c r="X52" s="57">
        <f>$D52-$H52-SUM($R52:W52)</f>
        <v>1308.4522453450118</v>
      </c>
      <c r="Y52" s="80"/>
      <c r="Z52" s="80"/>
      <c r="AA52" s="80"/>
      <c r="AB52" s="80"/>
      <c r="AC52" s="80"/>
      <c r="AD52" s="80"/>
      <c r="AE52" s="80"/>
      <c r="AF52" s="59">
        <f t="shared" si="16"/>
        <v>15046.407754654982</v>
      </c>
      <c r="AP52" s="101"/>
      <c r="AQ52" s="101"/>
    </row>
    <row r="53" spans="1:43" ht="15.9" customHeight="1" x14ac:dyDescent="0.3">
      <c r="A53" s="472"/>
      <c r="B53" s="167" t="s">
        <v>450</v>
      </c>
      <c r="C53" s="53">
        <v>44008</v>
      </c>
      <c r="D53" s="54">
        <v>6107</v>
      </c>
      <c r="E53" s="78">
        <v>5</v>
      </c>
      <c r="F53" s="54">
        <v>0</v>
      </c>
      <c r="G53" s="79">
        <f>D53</f>
        <v>6107</v>
      </c>
      <c r="H53" s="57">
        <f t="shared" si="22"/>
        <v>305</v>
      </c>
      <c r="I53" s="58">
        <v>0</v>
      </c>
      <c r="J53" s="53">
        <f>C53+(E53*365)</f>
        <v>45833</v>
      </c>
      <c r="K53" s="60">
        <f>+J53-C53-I53+1</f>
        <v>1826</v>
      </c>
      <c r="L53" s="58"/>
      <c r="M53" s="58"/>
      <c r="N53" s="57"/>
      <c r="O53" s="57"/>
      <c r="P53" s="80"/>
      <c r="Q53" s="80"/>
      <c r="R53" s="57"/>
      <c r="S53" s="57"/>
      <c r="T53" s="372">
        <f>(D53-H53)*M53/K53</f>
        <v>0</v>
      </c>
      <c r="U53" s="352">
        <f t="shared" ref="U53:X53" si="29">($D53-$H53)/$K53*(U$3-T$3)</f>
        <v>1159.7645125958379</v>
      </c>
      <c r="V53" s="57">
        <f t="shared" si="29"/>
        <v>1159.7645125958379</v>
      </c>
      <c r="W53" s="57">
        <f t="shared" si="29"/>
        <v>1162.9419496166486</v>
      </c>
      <c r="X53" s="57">
        <f t="shared" si="29"/>
        <v>1159.7645125958379</v>
      </c>
      <c r="Y53" s="57">
        <f>$D53-$H53-SUM($R53:X53)</f>
        <v>1159.7645125958379</v>
      </c>
      <c r="Z53" s="80"/>
      <c r="AA53" s="80"/>
      <c r="AB53" s="80"/>
      <c r="AC53" s="80"/>
      <c r="AD53" s="80"/>
      <c r="AE53" s="80"/>
      <c r="AF53" s="59">
        <f t="shared" si="16"/>
        <v>3787.4709748083242</v>
      </c>
      <c r="AG53" s="32">
        <f>SUM(AF33:AF53)</f>
        <v>36099.937378190218</v>
      </c>
      <c r="AH53" s="397">
        <f>H53-AF53</f>
        <v>-3482.4709748083242</v>
      </c>
      <c r="AP53" s="101"/>
      <c r="AQ53" s="101"/>
    </row>
    <row r="54" spans="1:43" ht="15.9" customHeight="1" x14ac:dyDescent="0.3">
      <c r="A54" s="472"/>
      <c r="B54" s="416"/>
      <c r="C54" s="53"/>
      <c r="D54" s="417"/>
      <c r="E54" s="78"/>
      <c r="F54" s="54"/>
      <c r="G54" s="79"/>
      <c r="H54" s="57"/>
      <c r="I54" s="58"/>
      <c r="J54" s="53"/>
      <c r="K54" s="60"/>
      <c r="L54" s="58"/>
      <c r="M54" s="58"/>
      <c r="N54" s="57"/>
      <c r="O54" s="57"/>
      <c r="P54" s="80"/>
      <c r="Q54" s="80"/>
      <c r="R54" s="57"/>
      <c r="S54" s="57"/>
      <c r="T54" s="372"/>
      <c r="U54" s="352"/>
      <c r="V54" s="57"/>
      <c r="W54" s="57"/>
      <c r="X54" s="57"/>
      <c r="Y54" s="57"/>
      <c r="Z54" s="80"/>
      <c r="AA54" s="80"/>
      <c r="AB54" s="80"/>
      <c r="AC54" s="80"/>
      <c r="AD54" s="80"/>
      <c r="AE54" s="80"/>
      <c r="AF54" s="59"/>
      <c r="AH54" s="397"/>
      <c r="AP54" s="101"/>
      <c r="AQ54" s="101"/>
    </row>
    <row r="55" spans="1:43" ht="15.9" customHeight="1" x14ac:dyDescent="0.3">
      <c r="A55" s="472"/>
      <c r="B55" s="76"/>
      <c r="C55" s="53"/>
      <c r="D55" s="54"/>
      <c r="E55" s="78"/>
      <c r="F55" s="54"/>
      <c r="G55" s="79"/>
      <c r="H55" s="57"/>
      <c r="I55" s="58"/>
      <c r="J55" s="53"/>
      <c r="K55" s="60"/>
      <c r="L55" s="58"/>
      <c r="M55" s="58"/>
      <c r="N55" s="57"/>
      <c r="O55" s="57"/>
      <c r="P55" s="80"/>
      <c r="Q55" s="80"/>
      <c r="R55" s="57"/>
      <c r="S55" s="57"/>
      <c r="T55" s="57"/>
      <c r="U55" s="352"/>
      <c r="V55" s="57"/>
      <c r="W55" s="57"/>
      <c r="X55" s="80"/>
      <c r="Y55" s="80"/>
      <c r="Z55" s="80"/>
      <c r="AA55" s="80"/>
      <c r="AB55" s="80"/>
      <c r="AC55" s="80"/>
      <c r="AD55" s="80"/>
      <c r="AE55" s="80"/>
      <c r="AF55" s="59"/>
      <c r="AP55" s="101"/>
      <c r="AQ55" s="101"/>
    </row>
    <row r="56" spans="1:43" ht="15.9" customHeight="1" x14ac:dyDescent="0.3">
      <c r="A56" s="473"/>
      <c r="B56" s="61" t="s">
        <v>2</v>
      </c>
      <c r="C56" s="77"/>
      <c r="D56" s="63">
        <f>SUM(D31:D53)</f>
        <v>363582.86</v>
      </c>
      <c r="E56" s="81"/>
      <c r="F56" s="63">
        <f>SUM(F31:F53)</f>
        <v>65525.48242465753</v>
      </c>
      <c r="G56" s="63">
        <f>SUM(G31:G55)</f>
        <v>1087730.3775753425</v>
      </c>
      <c r="H56" s="63">
        <f>SUM(H31:H53)</f>
        <v>16347</v>
      </c>
      <c r="I56" s="63"/>
      <c r="J56" s="63"/>
      <c r="K56" s="63"/>
      <c r="L56" s="63">
        <f>SUM(L31:L52)</f>
        <v>789673</v>
      </c>
      <c r="M56" s="63"/>
      <c r="N56" s="63">
        <f t="shared" ref="N56:S56" si="30">SUM(N31:N52)</f>
        <v>91438</v>
      </c>
      <c r="O56" s="63">
        <f t="shared" si="30"/>
        <v>58684</v>
      </c>
      <c r="P56" s="63">
        <f t="shared" si="30"/>
        <v>28884</v>
      </c>
      <c r="Q56" s="63">
        <f t="shared" si="30"/>
        <v>1800</v>
      </c>
      <c r="R56" s="63">
        <f t="shared" si="30"/>
        <v>4100</v>
      </c>
      <c r="S56" s="63">
        <f t="shared" si="30"/>
        <v>17702</v>
      </c>
      <c r="T56" s="63">
        <f>SUM(T31:T55)</f>
        <v>19010</v>
      </c>
      <c r="U56" s="350">
        <f>SUM(U31:U53)</f>
        <v>20169.720098576123</v>
      </c>
      <c r="V56" s="63">
        <f>SUM(V31:V53)</f>
        <v>20169.720098576123</v>
      </c>
      <c r="W56" s="63">
        <f t="shared" ref="W56:AE56" si="31">SUM(W31:W52)</f>
        <v>14961.496582694415</v>
      </c>
      <c r="X56" s="63">
        <f t="shared" si="31"/>
        <v>1308.4522453450118</v>
      </c>
      <c r="Y56" s="63">
        <f t="shared" si="31"/>
        <v>0</v>
      </c>
      <c r="Z56" s="63">
        <f t="shared" si="31"/>
        <v>0</v>
      </c>
      <c r="AA56" s="63">
        <f t="shared" si="31"/>
        <v>0</v>
      </c>
      <c r="AB56" s="63">
        <f t="shared" si="31"/>
        <v>0</v>
      </c>
      <c r="AC56" s="63">
        <f t="shared" si="31"/>
        <v>0</v>
      </c>
      <c r="AD56" s="63">
        <f t="shared" si="31"/>
        <v>0</v>
      </c>
      <c r="AE56" s="63">
        <f t="shared" si="31"/>
        <v>0</v>
      </c>
      <c r="AF56" s="59">
        <f t="shared" ref="AF56" si="32">+D56-F56-SUM(N56:V56)-L56</f>
        <v>-753573.06262180978</v>
      </c>
      <c r="AG56" s="32">
        <f>AF56-AG53</f>
        <v>-789673</v>
      </c>
      <c r="AP56" s="101"/>
    </row>
    <row r="57" spans="1:43" ht="15.9" customHeight="1" x14ac:dyDescent="0.3">
      <c r="B57" s="69"/>
      <c r="C57" s="70"/>
      <c r="D57" s="82"/>
      <c r="E57" s="72">
        <f>G50-H50-R50-S50</f>
        <v>20143</v>
      </c>
      <c r="F57" s="82"/>
      <c r="G57" s="84"/>
      <c r="H57" s="71"/>
      <c r="I57" s="73"/>
      <c r="J57" s="74"/>
      <c r="K57" s="75"/>
      <c r="L57" s="71"/>
      <c r="M57" s="71"/>
      <c r="N57" s="71"/>
      <c r="O57" s="71"/>
      <c r="P57" s="71"/>
      <c r="Q57" s="71"/>
      <c r="R57" s="71"/>
      <c r="S57" s="71"/>
      <c r="T57" s="71"/>
      <c r="U57" s="351"/>
      <c r="V57" s="71"/>
      <c r="W57" s="71"/>
      <c r="X57" s="71"/>
      <c r="Y57" s="71"/>
      <c r="Z57" s="71"/>
      <c r="AA57" s="71"/>
      <c r="AB57" s="71"/>
      <c r="AC57" s="71"/>
      <c r="AD57" s="71"/>
      <c r="AE57" s="71"/>
      <c r="AF57" s="59"/>
      <c r="AP57" s="101"/>
    </row>
    <row r="58" spans="1:43" ht="15.9" customHeight="1" x14ac:dyDescent="0.3">
      <c r="A58" s="468" t="s">
        <v>352</v>
      </c>
      <c r="B58" s="52" t="s">
        <v>94</v>
      </c>
      <c r="C58" s="53">
        <v>38446</v>
      </c>
      <c r="D58" s="54">
        <v>9407842.8800000008</v>
      </c>
      <c r="E58" s="85">
        <v>30</v>
      </c>
      <c r="F58" s="54">
        <f>'wdv building'!C9</f>
        <v>2825414.9595846576</v>
      </c>
      <c r="G58" s="56">
        <f>D58-F58</f>
        <v>6582427.9204153437</v>
      </c>
      <c r="H58" s="57">
        <f>ROUND(D58*5%,0)</f>
        <v>470392</v>
      </c>
      <c r="I58" s="58">
        <f t="shared" ref="I58:I109" si="33">$I$3-C58+1</f>
        <v>3284</v>
      </c>
      <c r="J58" s="53">
        <f>+C58+10956</f>
        <v>49402</v>
      </c>
      <c r="K58" s="60">
        <f t="shared" ref="K58:K63" si="34">+J58-C58-I58+1</f>
        <v>7673</v>
      </c>
      <c r="L58" s="58">
        <v>0</v>
      </c>
      <c r="M58" s="58"/>
      <c r="N58" s="57">
        <f t="shared" ref="N58:N63" si="35">+ROUND((G58-H58)*365/K58,0)</f>
        <v>290746</v>
      </c>
      <c r="O58" s="57">
        <f t="shared" ref="O58:O89" si="36">+N58</f>
        <v>290746</v>
      </c>
      <c r="P58" s="57">
        <f t="shared" ref="P58:AA58" si="37">+O58</f>
        <v>290746</v>
      </c>
      <c r="Q58" s="57">
        <f t="shared" si="37"/>
        <v>290746</v>
      </c>
      <c r="R58" s="57">
        <f t="shared" si="37"/>
        <v>290746</v>
      </c>
      <c r="S58" s="57">
        <f t="shared" si="37"/>
        <v>290746</v>
      </c>
      <c r="T58" s="57">
        <f t="shared" si="37"/>
        <v>290746</v>
      </c>
      <c r="U58" s="352">
        <f t="shared" si="37"/>
        <v>290746</v>
      </c>
      <c r="V58" s="80">
        <f t="shared" si="37"/>
        <v>290746</v>
      </c>
      <c r="W58" s="80">
        <f t="shared" si="37"/>
        <v>290746</v>
      </c>
      <c r="X58" s="80">
        <f t="shared" si="37"/>
        <v>290746</v>
      </c>
      <c r="Y58" s="80">
        <f t="shared" si="37"/>
        <v>290746</v>
      </c>
      <c r="Z58" s="80">
        <f t="shared" si="37"/>
        <v>290746</v>
      </c>
      <c r="AA58" s="80">
        <f t="shared" si="37"/>
        <v>290746</v>
      </c>
      <c r="AB58" s="80">
        <f t="shared" ref="AB58:AE58" si="38">+AA58</f>
        <v>290746</v>
      </c>
      <c r="AC58" s="80">
        <f t="shared" si="38"/>
        <v>290746</v>
      </c>
      <c r="AD58" s="80">
        <f t="shared" si="38"/>
        <v>290746</v>
      </c>
      <c r="AE58" s="80">
        <f t="shared" si="38"/>
        <v>290746</v>
      </c>
      <c r="AF58" s="59">
        <f t="shared" ref="AF58:AF113" si="39">+D58-F58-SUM(N58:V58)-L58</f>
        <v>3965713.9204153437</v>
      </c>
      <c r="AP58" s="101"/>
      <c r="AQ58" s="101"/>
    </row>
    <row r="59" spans="1:43" ht="15.9" customHeight="1" x14ac:dyDescent="0.3">
      <c r="A59" s="468"/>
      <c r="B59" s="52" t="s">
        <v>94</v>
      </c>
      <c r="C59" s="53">
        <v>38798</v>
      </c>
      <c r="D59" s="54">
        <v>55000</v>
      </c>
      <c r="E59" s="85">
        <v>30</v>
      </c>
      <c r="F59" s="54">
        <f>'wdv building'!C17</f>
        <v>14746.328767123288</v>
      </c>
      <c r="G59" s="56">
        <f>D59-F59</f>
        <v>40253.67123287671</v>
      </c>
      <c r="H59" s="57">
        <f t="shared" ref="H59:H63" si="40">ROUND(D59*5%,0)</f>
        <v>2750</v>
      </c>
      <c r="I59" s="58">
        <f t="shared" si="33"/>
        <v>2932</v>
      </c>
      <c r="J59" s="53">
        <f t="shared" ref="J59:J109" si="41">+C59+10956</f>
        <v>49754</v>
      </c>
      <c r="K59" s="60">
        <f t="shared" si="34"/>
        <v>8025</v>
      </c>
      <c r="L59" s="58">
        <v>0</v>
      </c>
      <c r="M59" s="58"/>
      <c r="N59" s="57">
        <f t="shared" si="35"/>
        <v>1706</v>
      </c>
      <c r="O59" s="57">
        <f t="shared" si="36"/>
        <v>1706</v>
      </c>
      <c r="P59" s="57">
        <f t="shared" ref="P59:AA59" si="42">+O59</f>
        <v>1706</v>
      </c>
      <c r="Q59" s="57">
        <f t="shared" si="42"/>
        <v>1706</v>
      </c>
      <c r="R59" s="57">
        <f t="shared" si="42"/>
        <v>1706</v>
      </c>
      <c r="S59" s="57">
        <f t="shared" si="42"/>
        <v>1706</v>
      </c>
      <c r="T59" s="57">
        <f t="shared" si="42"/>
        <v>1706</v>
      </c>
      <c r="U59" s="352">
        <f t="shared" si="42"/>
        <v>1706</v>
      </c>
      <c r="V59" s="80">
        <f t="shared" si="42"/>
        <v>1706</v>
      </c>
      <c r="W59" s="80">
        <f t="shared" si="42"/>
        <v>1706</v>
      </c>
      <c r="X59" s="80">
        <f t="shared" si="42"/>
        <v>1706</v>
      </c>
      <c r="Y59" s="80">
        <f t="shared" si="42"/>
        <v>1706</v>
      </c>
      <c r="Z59" s="80">
        <f t="shared" si="42"/>
        <v>1706</v>
      </c>
      <c r="AA59" s="80">
        <f t="shared" si="42"/>
        <v>1706</v>
      </c>
      <c r="AB59" s="80">
        <f t="shared" ref="AB59:AC59" si="43">+AA59</f>
        <v>1706</v>
      </c>
      <c r="AC59" s="80">
        <f t="shared" si="43"/>
        <v>1706</v>
      </c>
      <c r="AD59" s="80">
        <f t="shared" ref="AD59:AD109" si="44">+AC59</f>
        <v>1706</v>
      </c>
      <c r="AE59" s="80">
        <f t="shared" ref="AE59:AE109" si="45">+AD59</f>
        <v>1706</v>
      </c>
      <c r="AF59" s="59">
        <f t="shared" si="39"/>
        <v>24899.67123287671</v>
      </c>
      <c r="AP59" s="101"/>
      <c r="AQ59" s="101"/>
    </row>
    <row r="60" spans="1:43" ht="15.9" customHeight="1" x14ac:dyDescent="0.3">
      <c r="A60" s="468"/>
      <c r="B60" s="52" t="s">
        <v>95</v>
      </c>
      <c r="C60" s="53">
        <v>37867</v>
      </c>
      <c r="D60" s="54">
        <v>218969</v>
      </c>
      <c r="E60" s="85">
        <v>30</v>
      </c>
      <c r="F60" s="54">
        <v>77352.823799999984</v>
      </c>
      <c r="G60" s="56">
        <f t="shared" ref="G60:G109" si="46">D60-F60</f>
        <v>141616.17620000002</v>
      </c>
      <c r="H60" s="57">
        <f t="shared" si="40"/>
        <v>10948</v>
      </c>
      <c r="I60" s="58">
        <f t="shared" si="33"/>
        <v>3863</v>
      </c>
      <c r="J60" s="53">
        <f t="shared" si="41"/>
        <v>48823</v>
      </c>
      <c r="K60" s="60">
        <f t="shared" si="34"/>
        <v>7094</v>
      </c>
      <c r="L60" s="58">
        <v>0</v>
      </c>
      <c r="M60" s="58"/>
      <c r="N60" s="57">
        <f t="shared" si="35"/>
        <v>6723</v>
      </c>
      <c r="O60" s="57">
        <f t="shared" si="36"/>
        <v>6723</v>
      </c>
      <c r="P60" s="57">
        <f t="shared" ref="P60:AA60" si="47">+O60</f>
        <v>6723</v>
      </c>
      <c r="Q60" s="57">
        <f t="shared" si="47"/>
        <v>6723</v>
      </c>
      <c r="R60" s="57">
        <f t="shared" si="47"/>
        <v>6723</v>
      </c>
      <c r="S60" s="57">
        <f t="shared" si="47"/>
        <v>6723</v>
      </c>
      <c r="T60" s="57">
        <f t="shared" si="47"/>
        <v>6723</v>
      </c>
      <c r="U60" s="352">
        <f t="shared" si="47"/>
        <v>6723</v>
      </c>
      <c r="V60" s="80">
        <f t="shared" si="47"/>
        <v>6723</v>
      </c>
      <c r="W60" s="80">
        <f t="shared" si="47"/>
        <v>6723</v>
      </c>
      <c r="X60" s="80">
        <f t="shared" si="47"/>
        <v>6723</v>
      </c>
      <c r="Y60" s="80">
        <f t="shared" si="47"/>
        <v>6723</v>
      </c>
      <c r="Z60" s="80">
        <f t="shared" si="47"/>
        <v>6723</v>
      </c>
      <c r="AA60" s="80">
        <f t="shared" si="47"/>
        <v>6723</v>
      </c>
      <c r="AB60" s="80">
        <f t="shared" ref="AB60:AC60" si="48">+AA60</f>
        <v>6723</v>
      </c>
      <c r="AC60" s="80">
        <f t="shared" si="48"/>
        <v>6723</v>
      </c>
      <c r="AD60" s="80">
        <f t="shared" si="44"/>
        <v>6723</v>
      </c>
      <c r="AE60" s="80">
        <f t="shared" si="45"/>
        <v>6723</v>
      </c>
      <c r="AF60" s="59">
        <f t="shared" si="39"/>
        <v>81109.176200000016</v>
      </c>
      <c r="AP60" s="101"/>
      <c r="AQ60" s="101"/>
    </row>
    <row r="61" spans="1:43" ht="15.9" customHeight="1" x14ac:dyDescent="0.3">
      <c r="A61" s="468"/>
      <c r="B61" s="52" t="s">
        <v>96</v>
      </c>
      <c r="C61" s="53">
        <v>38446</v>
      </c>
      <c r="D61" s="54">
        <v>4078335.18</v>
      </c>
      <c r="E61" s="85">
        <v>30</v>
      </c>
      <c r="F61" s="54">
        <f>'wdv building'!C27</f>
        <v>1224827.9142410958</v>
      </c>
      <c r="G61" s="56">
        <f t="shared" si="46"/>
        <v>2853507.2657589046</v>
      </c>
      <c r="H61" s="57">
        <f t="shared" si="40"/>
        <v>203917</v>
      </c>
      <c r="I61" s="58">
        <f t="shared" si="33"/>
        <v>3284</v>
      </c>
      <c r="J61" s="53">
        <f t="shared" si="41"/>
        <v>49402</v>
      </c>
      <c r="K61" s="60">
        <f t="shared" si="34"/>
        <v>7673</v>
      </c>
      <c r="L61" s="58">
        <v>0</v>
      </c>
      <c r="M61" s="58"/>
      <c r="N61" s="57">
        <f t="shared" si="35"/>
        <v>126039</v>
      </c>
      <c r="O61" s="57">
        <f t="shared" si="36"/>
        <v>126039</v>
      </c>
      <c r="P61" s="57">
        <f t="shared" ref="P61:AA61" si="49">+O61</f>
        <v>126039</v>
      </c>
      <c r="Q61" s="57">
        <f t="shared" si="49"/>
        <v>126039</v>
      </c>
      <c r="R61" s="57">
        <f t="shared" si="49"/>
        <v>126039</v>
      </c>
      <c r="S61" s="57">
        <f t="shared" si="49"/>
        <v>126039</v>
      </c>
      <c r="T61" s="57">
        <f t="shared" si="49"/>
        <v>126039</v>
      </c>
      <c r="U61" s="352">
        <f t="shared" si="49"/>
        <v>126039</v>
      </c>
      <c r="V61" s="80">
        <f t="shared" si="49"/>
        <v>126039</v>
      </c>
      <c r="W61" s="80">
        <f t="shared" si="49"/>
        <v>126039</v>
      </c>
      <c r="X61" s="80">
        <f t="shared" si="49"/>
        <v>126039</v>
      </c>
      <c r="Y61" s="80">
        <f t="shared" si="49"/>
        <v>126039</v>
      </c>
      <c r="Z61" s="80">
        <f t="shared" si="49"/>
        <v>126039</v>
      </c>
      <c r="AA61" s="80">
        <f t="shared" si="49"/>
        <v>126039</v>
      </c>
      <c r="AB61" s="80">
        <f t="shared" ref="AB61:AC61" si="50">+AA61</f>
        <v>126039</v>
      </c>
      <c r="AC61" s="80">
        <f t="shared" si="50"/>
        <v>126039</v>
      </c>
      <c r="AD61" s="80">
        <f t="shared" si="44"/>
        <v>126039</v>
      </c>
      <c r="AE61" s="80">
        <f t="shared" si="45"/>
        <v>126039</v>
      </c>
      <c r="AF61" s="59">
        <f t="shared" si="39"/>
        <v>1719156.2657589046</v>
      </c>
      <c r="AP61" s="101"/>
      <c r="AQ61" s="101"/>
    </row>
    <row r="62" spans="1:43" ht="15.9" customHeight="1" x14ac:dyDescent="0.3">
      <c r="A62" s="468"/>
      <c r="B62" s="52" t="s">
        <v>96</v>
      </c>
      <c r="C62" s="53">
        <v>37773</v>
      </c>
      <c r="D62" s="54">
        <v>201797</v>
      </c>
      <c r="E62" s="85">
        <v>30</v>
      </c>
      <c r="F62" s="54">
        <f>'wdv building'!C35</f>
        <v>73017.881166666673</v>
      </c>
      <c r="G62" s="56">
        <f t="shared" si="46"/>
        <v>128779.11883333333</v>
      </c>
      <c r="H62" s="57">
        <f t="shared" si="40"/>
        <v>10090</v>
      </c>
      <c r="I62" s="58">
        <f t="shared" si="33"/>
        <v>3957</v>
      </c>
      <c r="J62" s="53">
        <f t="shared" si="41"/>
        <v>48729</v>
      </c>
      <c r="K62" s="60">
        <f t="shared" si="34"/>
        <v>7000</v>
      </c>
      <c r="L62" s="58">
        <v>0</v>
      </c>
      <c r="M62" s="58"/>
      <c r="N62" s="57">
        <f t="shared" si="35"/>
        <v>6189</v>
      </c>
      <c r="O62" s="57">
        <f t="shared" si="36"/>
        <v>6189</v>
      </c>
      <c r="P62" s="57">
        <f t="shared" ref="P62:AA62" si="51">+O62</f>
        <v>6189</v>
      </c>
      <c r="Q62" s="57">
        <f t="shared" si="51"/>
        <v>6189</v>
      </c>
      <c r="R62" s="57">
        <f t="shared" si="51"/>
        <v>6189</v>
      </c>
      <c r="S62" s="57">
        <f t="shared" si="51"/>
        <v>6189</v>
      </c>
      <c r="T62" s="57">
        <f t="shared" si="51"/>
        <v>6189</v>
      </c>
      <c r="U62" s="352">
        <f t="shared" si="51"/>
        <v>6189</v>
      </c>
      <c r="V62" s="80">
        <f t="shared" si="51"/>
        <v>6189</v>
      </c>
      <c r="W62" s="80">
        <f t="shared" si="51"/>
        <v>6189</v>
      </c>
      <c r="X62" s="80">
        <f t="shared" si="51"/>
        <v>6189</v>
      </c>
      <c r="Y62" s="80">
        <f t="shared" si="51"/>
        <v>6189</v>
      </c>
      <c r="Z62" s="80">
        <f t="shared" si="51"/>
        <v>6189</v>
      </c>
      <c r="AA62" s="80">
        <f t="shared" si="51"/>
        <v>6189</v>
      </c>
      <c r="AB62" s="80">
        <f t="shared" ref="AB62:AC62" si="52">+AA62</f>
        <v>6189</v>
      </c>
      <c r="AC62" s="80">
        <f t="shared" si="52"/>
        <v>6189</v>
      </c>
      <c r="AD62" s="80">
        <f t="shared" si="44"/>
        <v>6189</v>
      </c>
      <c r="AE62" s="80">
        <f t="shared" si="45"/>
        <v>6189</v>
      </c>
      <c r="AF62" s="59">
        <f t="shared" si="39"/>
        <v>73078.118833333327</v>
      </c>
      <c r="AP62" s="101"/>
      <c r="AQ62" s="101"/>
    </row>
    <row r="63" spans="1:43" ht="15.9" customHeight="1" x14ac:dyDescent="0.3">
      <c r="A63" s="468"/>
      <c r="B63" s="52" t="s">
        <v>96</v>
      </c>
      <c r="C63" s="53">
        <v>38854</v>
      </c>
      <c r="D63" s="54">
        <v>21552</v>
      </c>
      <c r="E63" s="85">
        <v>30</v>
      </c>
      <c r="F63" s="54">
        <f>'wdv building'!C43</f>
        <v>5666.0030860273964</v>
      </c>
      <c r="G63" s="56">
        <f t="shared" si="46"/>
        <v>15885.996913972604</v>
      </c>
      <c r="H63" s="57">
        <f t="shared" si="40"/>
        <v>1078</v>
      </c>
      <c r="I63" s="58">
        <f t="shared" si="33"/>
        <v>2876</v>
      </c>
      <c r="J63" s="53">
        <f t="shared" si="41"/>
        <v>49810</v>
      </c>
      <c r="K63" s="60">
        <f t="shared" si="34"/>
        <v>8081</v>
      </c>
      <c r="L63" s="58">
        <v>0</v>
      </c>
      <c r="M63" s="58"/>
      <c r="N63" s="57">
        <f t="shared" si="35"/>
        <v>669</v>
      </c>
      <c r="O63" s="57">
        <f t="shared" si="36"/>
        <v>669</v>
      </c>
      <c r="P63" s="57">
        <f t="shared" ref="P63:AA63" si="53">+O63</f>
        <v>669</v>
      </c>
      <c r="Q63" s="57">
        <f t="shared" si="53"/>
        <v>669</v>
      </c>
      <c r="R63" s="57">
        <f t="shared" si="53"/>
        <v>669</v>
      </c>
      <c r="S63" s="57">
        <f t="shared" si="53"/>
        <v>669</v>
      </c>
      <c r="T63" s="57">
        <f t="shared" si="53"/>
        <v>669</v>
      </c>
      <c r="U63" s="352">
        <f t="shared" si="53"/>
        <v>669</v>
      </c>
      <c r="V63" s="80">
        <f t="shared" si="53"/>
        <v>669</v>
      </c>
      <c r="W63" s="80">
        <f t="shared" si="53"/>
        <v>669</v>
      </c>
      <c r="X63" s="80">
        <f t="shared" si="53"/>
        <v>669</v>
      </c>
      <c r="Y63" s="80">
        <f t="shared" si="53"/>
        <v>669</v>
      </c>
      <c r="Z63" s="80">
        <f t="shared" si="53"/>
        <v>669</v>
      </c>
      <c r="AA63" s="80">
        <f t="shared" si="53"/>
        <v>669</v>
      </c>
      <c r="AB63" s="80">
        <f t="shared" ref="AB63:AC63" si="54">+AA63</f>
        <v>669</v>
      </c>
      <c r="AC63" s="80">
        <f t="shared" si="54"/>
        <v>669</v>
      </c>
      <c r="AD63" s="80">
        <f t="shared" si="44"/>
        <v>669</v>
      </c>
      <c r="AE63" s="80">
        <f t="shared" si="45"/>
        <v>669</v>
      </c>
      <c r="AF63" s="59">
        <f t="shared" si="39"/>
        <v>9864.9969139726036</v>
      </c>
      <c r="AP63" s="101"/>
      <c r="AQ63" s="101"/>
    </row>
    <row r="64" spans="1:43" ht="15.9" customHeight="1" x14ac:dyDescent="0.3">
      <c r="A64" s="468"/>
      <c r="B64" s="52" t="s">
        <v>97</v>
      </c>
      <c r="C64" s="53">
        <v>38881</v>
      </c>
      <c r="D64" s="54">
        <v>1973</v>
      </c>
      <c r="E64" s="85">
        <v>30</v>
      </c>
      <c r="F64" s="54">
        <v>1973</v>
      </c>
      <c r="G64" s="56">
        <f>D64-F64</f>
        <v>0</v>
      </c>
      <c r="H64" s="57">
        <v>0</v>
      </c>
      <c r="I64" s="58">
        <v>0</v>
      </c>
      <c r="J64" s="58">
        <v>0</v>
      </c>
      <c r="K64" s="58">
        <v>0</v>
      </c>
      <c r="L64" s="58">
        <v>0</v>
      </c>
      <c r="M64" s="58"/>
      <c r="N64" s="80">
        <v>0</v>
      </c>
      <c r="O64" s="57">
        <f t="shared" si="36"/>
        <v>0</v>
      </c>
      <c r="P64" s="57">
        <f t="shared" ref="P64:AA64" si="55">+O64</f>
        <v>0</v>
      </c>
      <c r="Q64" s="57">
        <f t="shared" si="55"/>
        <v>0</v>
      </c>
      <c r="R64" s="57">
        <f t="shared" si="55"/>
        <v>0</v>
      </c>
      <c r="S64" s="57">
        <f t="shared" si="55"/>
        <v>0</v>
      </c>
      <c r="T64" s="57">
        <f t="shared" si="55"/>
        <v>0</v>
      </c>
      <c r="U64" s="352">
        <f t="shared" si="55"/>
        <v>0</v>
      </c>
      <c r="V64" s="80">
        <f t="shared" si="55"/>
        <v>0</v>
      </c>
      <c r="W64" s="80">
        <f t="shared" si="55"/>
        <v>0</v>
      </c>
      <c r="X64" s="80">
        <f t="shared" si="55"/>
        <v>0</v>
      </c>
      <c r="Y64" s="80">
        <f t="shared" si="55"/>
        <v>0</v>
      </c>
      <c r="Z64" s="80">
        <f t="shared" si="55"/>
        <v>0</v>
      </c>
      <c r="AA64" s="80">
        <f t="shared" si="55"/>
        <v>0</v>
      </c>
      <c r="AB64" s="80">
        <f t="shared" ref="AB64:AC64" si="56">+AA64</f>
        <v>0</v>
      </c>
      <c r="AC64" s="80">
        <f t="shared" si="56"/>
        <v>0</v>
      </c>
      <c r="AD64" s="80">
        <f t="shared" si="44"/>
        <v>0</v>
      </c>
      <c r="AE64" s="80">
        <f t="shared" si="45"/>
        <v>0</v>
      </c>
      <c r="AF64" s="59">
        <f t="shared" si="39"/>
        <v>0</v>
      </c>
      <c r="AP64" s="101"/>
      <c r="AQ64" s="101"/>
    </row>
    <row r="65" spans="1:43" ht="15.9" customHeight="1" x14ac:dyDescent="0.3">
      <c r="A65" s="468"/>
      <c r="B65" s="52" t="s">
        <v>97</v>
      </c>
      <c r="C65" s="53">
        <v>38446</v>
      </c>
      <c r="D65" s="54">
        <f>5178325.49-1973</f>
        <v>5176352.49</v>
      </c>
      <c r="E65" s="85">
        <v>30</v>
      </c>
      <c r="F65" s="54">
        <f>1556633.009498-1973</f>
        <v>1554660.0094979999</v>
      </c>
      <c r="G65" s="56">
        <f t="shared" si="46"/>
        <v>3621692.4805020001</v>
      </c>
      <c r="H65" s="57">
        <f t="shared" ref="H65:H68" si="57">ROUND(D65*5%,0)</f>
        <v>258818</v>
      </c>
      <c r="I65" s="58">
        <f t="shared" si="33"/>
        <v>3284</v>
      </c>
      <c r="J65" s="53">
        <f t="shared" si="41"/>
        <v>49402</v>
      </c>
      <c r="K65" s="60">
        <f>+J65-C65-I65+1</f>
        <v>7673</v>
      </c>
      <c r="L65" s="58">
        <v>0</v>
      </c>
      <c r="M65" s="58"/>
      <c r="N65" s="57">
        <f>+ROUND((G65-H65)*365/K65,0)</f>
        <v>159970</v>
      </c>
      <c r="O65" s="57">
        <f t="shared" si="36"/>
        <v>159970</v>
      </c>
      <c r="P65" s="57">
        <f t="shared" ref="P65:AA65" si="58">+O65</f>
        <v>159970</v>
      </c>
      <c r="Q65" s="57">
        <f t="shared" si="58"/>
        <v>159970</v>
      </c>
      <c r="R65" s="57">
        <f t="shared" si="58"/>
        <v>159970</v>
      </c>
      <c r="S65" s="57">
        <f t="shared" si="58"/>
        <v>159970</v>
      </c>
      <c r="T65" s="57">
        <f t="shared" si="58"/>
        <v>159970</v>
      </c>
      <c r="U65" s="352">
        <f t="shared" si="58"/>
        <v>159970</v>
      </c>
      <c r="V65" s="80">
        <f t="shared" si="58"/>
        <v>159970</v>
      </c>
      <c r="W65" s="80">
        <f t="shared" si="58"/>
        <v>159970</v>
      </c>
      <c r="X65" s="80">
        <f t="shared" si="58"/>
        <v>159970</v>
      </c>
      <c r="Y65" s="80">
        <f t="shared" si="58"/>
        <v>159970</v>
      </c>
      <c r="Z65" s="80">
        <f t="shared" si="58"/>
        <v>159970</v>
      </c>
      <c r="AA65" s="80">
        <f t="shared" si="58"/>
        <v>159970</v>
      </c>
      <c r="AB65" s="80">
        <f t="shared" ref="AB65:AC65" si="59">+AA65</f>
        <v>159970</v>
      </c>
      <c r="AC65" s="80">
        <f t="shared" si="59"/>
        <v>159970</v>
      </c>
      <c r="AD65" s="80">
        <f t="shared" si="44"/>
        <v>159970</v>
      </c>
      <c r="AE65" s="80">
        <f t="shared" si="45"/>
        <v>159970</v>
      </c>
      <c r="AF65" s="59">
        <f t="shared" si="39"/>
        <v>2181962.4805020001</v>
      </c>
      <c r="AP65" s="101"/>
      <c r="AQ65" s="101"/>
    </row>
    <row r="66" spans="1:43" ht="15.9" customHeight="1" x14ac:dyDescent="0.3">
      <c r="A66" s="468"/>
      <c r="B66" s="52" t="s">
        <v>98</v>
      </c>
      <c r="C66" s="53">
        <v>38446</v>
      </c>
      <c r="D66" s="54">
        <v>2659560.41</v>
      </c>
      <c r="E66" s="85">
        <v>30</v>
      </c>
      <c r="F66" s="54">
        <v>798732.80308199988</v>
      </c>
      <c r="G66" s="56">
        <f t="shared" si="46"/>
        <v>1860827.6069180002</v>
      </c>
      <c r="H66" s="57">
        <f t="shared" si="57"/>
        <v>132978</v>
      </c>
      <c r="I66" s="58">
        <f t="shared" si="33"/>
        <v>3284</v>
      </c>
      <c r="J66" s="53">
        <f t="shared" si="41"/>
        <v>49402</v>
      </c>
      <c r="K66" s="60">
        <f>+J66-C66-I66+1</f>
        <v>7673</v>
      </c>
      <c r="L66" s="58">
        <v>0</v>
      </c>
      <c r="M66" s="58"/>
      <c r="N66" s="57">
        <f>+ROUND((G66-H66)*365/K66,0)</f>
        <v>82193</v>
      </c>
      <c r="O66" s="57">
        <f t="shared" si="36"/>
        <v>82193</v>
      </c>
      <c r="P66" s="57">
        <f t="shared" ref="P66:AA66" si="60">+O66</f>
        <v>82193</v>
      </c>
      <c r="Q66" s="57">
        <f t="shared" si="60"/>
        <v>82193</v>
      </c>
      <c r="R66" s="57">
        <f t="shared" si="60"/>
        <v>82193</v>
      </c>
      <c r="S66" s="57">
        <f t="shared" si="60"/>
        <v>82193</v>
      </c>
      <c r="T66" s="57">
        <f t="shared" si="60"/>
        <v>82193</v>
      </c>
      <c r="U66" s="352">
        <f t="shared" si="60"/>
        <v>82193</v>
      </c>
      <c r="V66" s="80">
        <f t="shared" si="60"/>
        <v>82193</v>
      </c>
      <c r="W66" s="80">
        <f t="shared" si="60"/>
        <v>82193</v>
      </c>
      <c r="X66" s="80">
        <f t="shared" si="60"/>
        <v>82193</v>
      </c>
      <c r="Y66" s="80">
        <f t="shared" si="60"/>
        <v>82193</v>
      </c>
      <c r="Z66" s="80">
        <f t="shared" si="60"/>
        <v>82193</v>
      </c>
      <c r="AA66" s="80">
        <f t="shared" si="60"/>
        <v>82193</v>
      </c>
      <c r="AB66" s="80">
        <f t="shared" ref="AB66:AC66" si="61">+AA66</f>
        <v>82193</v>
      </c>
      <c r="AC66" s="80">
        <f t="shared" si="61"/>
        <v>82193</v>
      </c>
      <c r="AD66" s="80">
        <f t="shared" si="44"/>
        <v>82193</v>
      </c>
      <c r="AE66" s="80">
        <f t="shared" si="45"/>
        <v>82193</v>
      </c>
      <c r="AF66" s="59">
        <f t="shared" si="39"/>
        <v>1121090.6069180002</v>
      </c>
      <c r="AP66" s="101"/>
      <c r="AQ66" s="101"/>
    </row>
    <row r="67" spans="1:43" ht="15.9" customHeight="1" x14ac:dyDescent="0.3">
      <c r="A67" s="468"/>
      <c r="B67" s="52" t="s">
        <v>99</v>
      </c>
      <c r="C67" s="53">
        <v>38446</v>
      </c>
      <c r="D67" s="54">
        <v>1684879.16</v>
      </c>
      <c r="E67" s="85">
        <v>30</v>
      </c>
      <c r="F67" s="54">
        <v>506012.24183200003</v>
      </c>
      <c r="G67" s="56">
        <f t="shared" si="46"/>
        <v>1178866.9181679999</v>
      </c>
      <c r="H67" s="57">
        <f t="shared" si="57"/>
        <v>84244</v>
      </c>
      <c r="I67" s="58">
        <f t="shared" si="33"/>
        <v>3284</v>
      </c>
      <c r="J67" s="53">
        <f t="shared" si="41"/>
        <v>49402</v>
      </c>
      <c r="K67" s="60">
        <f>+J67-C67-I67+1</f>
        <v>7673</v>
      </c>
      <c r="L67" s="58">
        <v>0</v>
      </c>
      <c r="M67" s="58"/>
      <c r="N67" s="57">
        <f>+ROUND((G67-H67)*365/K67,0)</f>
        <v>52071</v>
      </c>
      <c r="O67" s="57">
        <f t="shared" si="36"/>
        <v>52071</v>
      </c>
      <c r="P67" s="57">
        <f t="shared" ref="P67:AA67" si="62">+O67</f>
        <v>52071</v>
      </c>
      <c r="Q67" s="57">
        <f t="shared" si="62"/>
        <v>52071</v>
      </c>
      <c r="R67" s="57">
        <f t="shared" si="62"/>
        <v>52071</v>
      </c>
      <c r="S67" s="57">
        <f t="shared" si="62"/>
        <v>52071</v>
      </c>
      <c r="T67" s="57">
        <f t="shared" si="62"/>
        <v>52071</v>
      </c>
      <c r="U67" s="352">
        <f t="shared" si="62"/>
        <v>52071</v>
      </c>
      <c r="V67" s="80">
        <f t="shared" si="62"/>
        <v>52071</v>
      </c>
      <c r="W67" s="80">
        <f t="shared" si="62"/>
        <v>52071</v>
      </c>
      <c r="X67" s="80">
        <f t="shared" si="62"/>
        <v>52071</v>
      </c>
      <c r="Y67" s="80">
        <f t="shared" si="62"/>
        <v>52071</v>
      </c>
      <c r="Z67" s="80">
        <f t="shared" si="62"/>
        <v>52071</v>
      </c>
      <c r="AA67" s="80">
        <f t="shared" si="62"/>
        <v>52071</v>
      </c>
      <c r="AB67" s="80">
        <f t="shared" ref="AB67:AC67" si="63">+AA67</f>
        <v>52071</v>
      </c>
      <c r="AC67" s="80">
        <f t="shared" si="63"/>
        <v>52071</v>
      </c>
      <c r="AD67" s="80">
        <f t="shared" si="44"/>
        <v>52071</v>
      </c>
      <c r="AE67" s="80">
        <f t="shared" si="45"/>
        <v>52071</v>
      </c>
      <c r="AF67" s="59">
        <f t="shared" si="39"/>
        <v>710227.91816799995</v>
      </c>
      <c r="AP67" s="101"/>
      <c r="AQ67" s="101"/>
    </row>
    <row r="68" spans="1:43" ht="15.9" customHeight="1" x14ac:dyDescent="0.3">
      <c r="A68" s="468"/>
      <c r="B68" s="52" t="s">
        <v>100</v>
      </c>
      <c r="C68" s="53">
        <v>38839</v>
      </c>
      <c r="D68" s="54">
        <v>746571</v>
      </c>
      <c r="E68" s="85">
        <v>30</v>
      </c>
      <c r="F68" s="54">
        <v>197364.5442</v>
      </c>
      <c r="G68" s="56">
        <f t="shared" si="46"/>
        <v>549206.4558</v>
      </c>
      <c r="H68" s="57">
        <f t="shared" si="57"/>
        <v>37329</v>
      </c>
      <c r="I68" s="58">
        <f t="shared" si="33"/>
        <v>2891</v>
      </c>
      <c r="J68" s="53">
        <f t="shared" si="41"/>
        <v>49795</v>
      </c>
      <c r="K68" s="60">
        <f>+J68-C68-I68+1</f>
        <v>8066</v>
      </c>
      <c r="L68" s="58">
        <v>0</v>
      </c>
      <c r="M68" s="58"/>
      <c r="N68" s="57">
        <f>+ROUND((G68-H68)*365/K68,0)</f>
        <v>23163</v>
      </c>
      <c r="O68" s="57">
        <f t="shared" si="36"/>
        <v>23163</v>
      </c>
      <c r="P68" s="57">
        <f t="shared" ref="P68:AA68" si="64">+O68</f>
        <v>23163</v>
      </c>
      <c r="Q68" s="57">
        <f t="shared" si="64"/>
        <v>23163</v>
      </c>
      <c r="R68" s="57">
        <f t="shared" si="64"/>
        <v>23163</v>
      </c>
      <c r="S68" s="57">
        <f t="shared" si="64"/>
        <v>23163</v>
      </c>
      <c r="T68" s="57">
        <f t="shared" si="64"/>
        <v>23163</v>
      </c>
      <c r="U68" s="352">
        <f t="shared" si="64"/>
        <v>23163</v>
      </c>
      <c r="V68" s="80">
        <f t="shared" si="64"/>
        <v>23163</v>
      </c>
      <c r="W68" s="80">
        <f t="shared" si="64"/>
        <v>23163</v>
      </c>
      <c r="X68" s="80">
        <f t="shared" si="64"/>
        <v>23163</v>
      </c>
      <c r="Y68" s="80">
        <f t="shared" si="64"/>
        <v>23163</v>
      </c>
      <c r="Z68" s="80">
        <f t="shared" si="64"/>
        <v>23163</v>
      </c>
      <c r="AA68" s="80">
        <f t="shared" si="64"/>
        <v>23163</v>
      </c>
      <c r="AB68" s="80">
        <f t="shared" ref="AB68:AC68" si="65">+AA68</f>
        <v>23163</v>
      </c>
      <c r="AC68" s="80">
        <f t="shared" si="65"/>
        <v>23163</v>
      </c>
      <c r="AD68" s="80">
        <f t="shared" si="44"/>
        <v>23163</v>
      </c>
      <c r="AE68" s="80">
        <f t="shared" si="45"/>
        <v>23163</v>
      </c>
      <c r="AF68" s="59">
        <f t="shared" si="39"/>
        <v>340739.4558</v>
      </c>
      <c r="AP68" s="101"/>
      <c r="AQ68" s="101"/>
    </row>
    <row r="69" spans="1:43" ht="15.9" customHeight="1" x14ac:dyDescent="0.3">
      <c r="A69" s="468"/>
      <c r="B69" s="52" t="s">
        <v>102</v>
      </c>
      <c r="C69" s="53">
        <v>38500</v>
      </c>
      <c r="D69" s="54">
        <v>3527.25</v>
      </c>
      <c r="E69" s="85">
        <v>30</v>
      </c>
      <c r="F69" s="54">
        <v>3527.25</v>
      </c>
      <c r="G69" s="56">
        <f t="shared" si="46"/>
        <v>0</v>
      </c>
      <c r="H69" s="57">
        <v>0</v>
      </c>
      <c r="I69" s="58">
        <v>0</v>
      </c>
      <c r="J69" s="58">
        <v>0</v>
      </c>
      <c r="K69" s="58">
        <v>0</v>
      </c>
      <c r="L69" s="58">
        <v>0</v>
      </c>
      <c r="M69" s="58"/>
      <c r="N69" s="80">
        <v>0</v>
      </c>
      <c r="O69" s="57">
        <f t="shared" si="36"/>
        <v>0</v>
      </c>
      <c r="P69" s="57">
        <f t="shared" ref="P69:AA69" si="66">+O69</f>
        <v>0</v>
      </c>
      <c r="Q69" s="57">
        <f t="shared" si="66"/>
        <v>0</v>
      </c>
      <c r="R69" s="57">
        <f t="shared" si="66"/>
        <v>0</v>
      </c>
      <c r="S69" s="57">
        <f t="shared" si="66"/>
        <v>0</v>
      </c>
      <c r="T69" s="57">
        <f t="shared" si="66"/>
        <v>0</v>
      </c>
      <c r="U69" s="352">
        <f t="shared" si="66"/>
        <v>0</v>
      </c>
      <c r="V69" s="80">
        <f t="shared" si="66"/>
        <v>0</v>
      </c>
      <c r="W69" s="80">
        <f t="shared" si="66"/>
        <v>0</v>
      </c>
      <c r="X69" s="80">
        <f t="shared" si="66"/>
        <v>0</v>
      </c>
      <c r="Y69" s="80">
        <f t="shared" si="66"/>
        <v>0</v>
      </c>
      <c r="Z69" s="80">
        <f t="shared" si="66"/>
        <v>0</v>
      </c>
      <c r="AA69" s="80">
        <f t="shared" si="66"/>
        <v>0</v>
      </c>
      <c r="AB69" s="80">
        <f t="shared" ref="AB69:AC69" si="67">+AA69</f>
        <v>0</v>
      </c>
      <c r="AC69" s="80">
        <f t="shared" si="67"/>
        <v>0</v>
      </c>
      <c r="AD69" s="80">
        <f t="shared" si="44"/>
        <v>0</v>
      </c>
      <c r="AE69" s="80">
        <f t="shared" si="45"/>
        <v>0</v>
      </c>
      <c r="AF69" s="59">
        <f t="shared" si="39"/>
        <v>0</v>
      </c>
      <c r="AP69" s="101"/>
      <c r="AQ69" s="101"/>
    </row>
    <row r="70" spans="1:43" ht="15.9" customHeight="1" x14ac:dyDescent="0.3">
      <c r="A70" s="468"/>
      <c r="B70" s="52" t="s">
        <v>101</v>
      </c>
      <c r="C70" s="53">
        <v>38446</v>
      </c>
      <c r="D70" s="54">
        <v>3033525.9</v>
      </c>
      <c r="E70" s="85">
        <v>30</v>
      </c>
      <c r="F70" s="54">
        <f>914809.08518-3527.25</f>
        <v>911281.83518000005</v>
      </c>
      <c r="G70" s="56">
        <f t="shared" si="46"/>
        <v>2122244.06482</v>
      </c>
      <c r="H70" s="57">
        <f t="shared" ref="H70:H72" si="68">ROUND(D70*5%,0)</f>
        <v>151676</v>
      </c>
      <c r="I70" s="58">
        <f t="shared" si="33"/>
        <v>3284</v>
      </c>
      <c r="J70" s="53">
        <f t="shared" si="41"/>
        <v>49402</v>
      </c>
      <c r="K70" s="60">
        <f>+J70-C70-I70+1</f>
        <v>7673</v>
      </c>
      <c r="L70" s="58">
        <v>0</v>
      </c>
      <c r="M70" s="58"/>
      <c r="N70" s="57">
        <f>+ROUND((G70-H70)*365/K70,0)</f>
        <v>93739</v>
      </c>
      <c r="O70" s="57">
        <f t="shared" si="36"/>
        <v>93739</v>
      </c>
      <c r="P70" s="57">
        <f t="shared" ref="P70:AA70" si="69">+O70</f>
        <v>93739</v>
      </c>
      <c r="Q70" s="57">
        <f t="shared" si="69"/>
        <v>93739</v>
      </c>
      <c r="R70" s="57">
        <f t="shared" si="69"/>
        <v>93739</v>
      </c>
      <c r="S70" s="57">
        <f t="shared" si="69"/>
        <v>93739</v>
      </c>
      <c r="T70" s="57">
        <f t="shared" si="69"/>
        <v>93739</v>
      </c>
      <c r="U70" s="352">
        <f t="shared" si="69"/>
        <v>93739</v>
      </c>
      <c r="V70" s="80">
        <f t="shared" si="69"/>
        <v>93739</v>
      </c>
      <c r="W70" s="80">
        <f t="shared" si="69"/>
        <v>93739</v>
      </c>
      <c r="X70" s="80">
        <f t="shared" si="69"/>
        <v>93739</v>
      </c>
      <c r="Y70" s="80">
        <f t="shared" si="69"/>
        <v>93739</v>
      </c>
      <c r="Z70" s="80">
        <f t="shared" si="69"/>
        <v>93739</v>
      </c>
      <c r="AA70" s="80">
        <f t="shared" si="69"/>
        <v>93739</v>
      </c>
      <c r="AB70" s="80">
        <f t="shared" ref="AB70:AC70" si="70">+AA70</f>
        <v>93739</v>
      </c>
      <c r="AC70" s="80">
        <f t="shared" si="70"/>
        <v>93739</v>
      </c>
      <c r="AD70" s="80">
        <f t="shared" si="44"/>
        <v>93739</v>
      </c>
      <c r="AE70" s="80">
        <f t="shared" si="45"/>
        <v>93739</v>
      </c>
      <c r="AF70" s="59">
        <f t="shared" si="39"/>
        <v>1278593.06482</v>
      </c>
      <c r="AP70" s="101"/>
      <c r="AQ70" s="101"/>
    </row>
    <row r="71" spans="1:43" ht="15.9" customHeight="1" x14ac:dyDescent="0.3">
      <c r="A71" s="468"/>
      <c r="B71" s="52" t="s">
        <v>102</v>
      </c>
      <c r="C71" s="53">
        <v>38446</v>
      </c>
      <c r="D71" s="54">
        <v>5453277.7699999996</v>
      </c>
      <c r="E71" s="85">
        <v>30</v>
      </c>
      <c r="F71" s="54">
        <v>1637756.832554</v>
      </c>
      <c r="G71" s="56">
        <f t="shared" si="46"/>
        <v>3815520.9374459996</v>
      </c>
      <c r="H71" s="57">
        <f t="shared" si="68"/>
        <v>272664</v>
      </c>
      <c r="I71" s="58">
        <f t="shared" si="33"/>
        <v>3284</v>
      </c>
      <c r="J71" s="53">
        <f t="shared" si="41"/>
        <v>49402</v>
      </c>
      <c r="K71" s="60">
        <f>+J71-C71-I71+1</f>
        <v>7673</v>
      </c>
      <c r="L71" s="58">
        <v>0</v>
      </c>
      <c r="M71" s="58"/>
      <c r="N71" s="57">
        <f>+ROUND((G71-H71)*365/K71,0)</f>
        <v>168532</v>
      </c>
      <c r="O71" s="57">
        <f t="shared" si="36"/>
        <v>168532</v>
      </c>
      <c r="P71" s="57">
        <f t="shared" ref="P71:AA71" si="71">+O71</f>
        <v>168532</v>
      </c>
      <c r="Q71" s="57">
        <f t="shared" si="71"/>
        <v>168532</v>
      </c>
      <c r="R71" s="57">
        <f t="shared" si="71"/>
        <v>168532</v>
      </c>
      <c r="S71" s="57">
        <f t="shared" si="71"/>
        <v>168532</v>
      </c>
      <c r="T71" s="57">
        <f t="shared" si="71"/>
        <v>168532</v>
      </c>
      <c r="U71" s="352">
        <f t="shared" si="71"/>
        <v>168532</v>
      </c>
      <c r="V71" s="80">
        <f t="shared" si="71"/>
        <v>168532</v>
      </c>
      <c r="W71" s="80">
        <f t="shared" si="71"/>
        <v>168532</v>
      </c>
      <c r="X71" s="80">
        <f t="shared" si="71"/>
        <v>168532</v>
      </c>
      <c r="Y71" s="80">
        <f t="shared" si="71"/>
        <v>168532</v>
      </c>
      <c r="Z71" s="80">
        <f t="shared" si="71"/>
        <v>168532</v>
      </c>
      <c r="AA71" s="80">
        <f t="shared" si="71"/>
        <v>168532</v>
      </c>
      <c r="AB71" s="80">
        <f t="shared" ref="AB71:AC71" si="72">+AA71</f>
        <v>168532</v>
      </c>
      <c r="AC71" s="80">
        <f t="shared" si="72"/>
        <v>168532</v>
      </c>
      <c r="AD71" s="80">
        <f t="shared" si="44"/>
        <v>168532</v>
      </c>
      <c r="AE71" s="80">
        <f t="shared" si="45"/>
        <v>168532</v>
      </c>
      <c r="AF71" s="59">
        <f t="shared" si="39"/>
        <v>2298732.9374459996</v>
      </c>
      <c r="AP71" s="101"/>
      <c r="AQ71" s="101"/>
    </row>
    <row r="72" spans="1:43" ht="15.9" customHeight="1" x14ac:dyDescent="0.3">
      <c r="A72" s="468"/>
      <c r="B72" s="52" t="s">
        <v>103</v>
      </c>
      <c r="C72" s="53">
        <v>38446</v>
      </c>
      <c r="D72" s="54">
        <f>6662052.13-3527</f>
        <v>6658525.1299999999</v>
      </c>
      <c r="E72" s="85">
        <v>30</v>
      </c>
      <c r="F72" s="54">
        <f>2003488.732976-3527.25</f>
        <v>1999961.4829760001</v>
      </c>
      <c r="G72" s="56">
        <f t="shared" si="46"/>
        <v>4658563.6470240001</v>
      </c>
      <c r="H72" s="57">
        <f t="shared" si="68"/>
        <v>332926</v>
      </c>
      <c r="I72" s="58">
        <f t="shared" si="33"/>
        <v>3284</v>
      </c>
      <c r="J72" s="53">
        <f t="shared" si="41"/>
        <v>49402</v>
      </c>
      <c r="K72" s="60">
        <f>+J72-C72-I72+1</f>
        <v>7673</v>
      </c>
      <c r="L72" s="58">
        <v>0</v>
      </c>
      <c r="M72" s="58"/>
      <c r="N72" s="57">
        <f>+ROUND((G72-H72)*365/K72,0)</f>
        <v>205768</v>
      </c>
      <c r="O72" s="57">
        <f t="shared" si="36"/>
        <v>205768</v>
      </c>
      <c r="P72" s="57">
        <f t="shared" ref="P72:AA72" si="73">+O72</f>
        <v>205768</v>
      </c>
      <c r="Q72" s="57">
        <f t="shared" si="73"/>
        <v>205768</v>
      </c>
      <c r="R72" s="57">
        <f t="shared" si="73"/>
        <v>205768</v>
      </c>
      <c r="S72" s="57">
        <f t="shared" si="73"/>
        <v>205768</v>
      </c>
      <c r="T72" s="57">
        <f t="shared" si="73"/>
        <v>205768</v>
      </c>
      <c r="U72" s="352">
        <f t="shared" si="73"/>
        <v>205768</v>
      </c>
      <c r="V72" s="80">
        <f t="shared" si="73"/>
        <v>205768</v>
      </c>
      <c r="W72" s="80">
        <f t="shared" si="73"/>
        <v>205768</v>
      </c>
      <c r="X72" s="80">
        <f t="shared" si="73"/>
        <v>205768</v>
      </c>
      <c r="Y72" s="80">
        <f t="shared" si="73"/>
        <v>205768</v>
      </c>
      <c r="Z72" s="80">
        <f t="shared" si="73"/>
        <v>205768</v>
      </c>
      <c r="AA72" s="80">
        <f t="shared" si="73"/>
        <v>205768</v>
      </c>
      <c r="AB72" s="80">
        <f t="shared" ref="AB72:AC72" si="74">+AA72</f>
        <v>205768</v>
      </c>
      <c r="AC72" s="80">
        <f t="shared" si="74"/>
        <v>205768</v>
      </c>
      <c r="AD72" s="80">
        <f t="shared" si="44"/>
        <v>205768</v>
      </c>
      <c r="AE72" s="80">
        <f t="shared" si="45"/>
        <v>205768</v>
      </c>
      <c r="AF72" s="59">
        <f t="shared" si="39"/>
        <v>2806651.6470240001</v>
      </c>
      <c r="AP72" s="101"/>
      <c r="AQ72" s="101"/>
    </row>
    <row r="73" spans="1:43" ht="15.9" customHeight="1" x14ac:dyDescent="0.3">
      <c r="A73" s="468"/>
      <c r="B73" s="52" t="s">
        <v>103</v>
      </c>
      <c r="C73" s="53">
        <v>38500</v>
      </c>
      <c r="D73" s="54">
        <v>3527.25</v>
      </c>
      <c r="E73" s="85">
        <v>30</v>
      </c>
      <c r="F73" s="54">
        <v>3527.25</v>
      </c>
      <c r="G73" s="56">
        <f t="shared" si="46"/>
        <v>0</v>
      </c>
      <c r="H73" s="57">
        <v>0</v>
      </c>
      <c r="I73" s="58">
        <v>0</v>
      </c>
      <c r="J73" s="58">
        <v>0</v>
      </c>
      <c r="K73" s="58">
        <v>0</v>
      </c>
      <c r="L73" s="58">
        <v>0</v>
      </c>
      <c r="M73" s="58"/>
      <c r="N73" s="80">
        <v>0</v>
      </c>
      <c r="O73" s="57">
        <f t="shared" si="36"/>
        <v>0</v>
      </c>
      <c r="P73" s="57">
        <f t="shared" ref="P73:AA73" si="75">+O73</f>
        <v>0</v>
      </c>
      <c r="Q73" s="57">
        <f t="shared" si="75"/>
        <v>0</v>
      </c>
      <c r="R73" s="57">
        <f t="shared" si="75"/>
        <v>0</v>
      </c>
      <c r="S73" s="57">
        <f t="shared" si="75"/>
        <v>0</v>
      </c>
      <c r="T73" s="57">
        <f t="shared" si="75"/>
        <v>0</v>
      </c>
      <c r="U73" s="352">
        <f t="shared" si="75"/>
        <v>0</v>
      </c>
      <c r="V73" s="80">
        <f t="shared" si="75"/>
        <v>0</v>
      </c>
      <c r="W73" s="80">
        <f t="shared" si="75"/>
        <v>0</v>
      </c>
      <c r="X73" s="80">
        <f t="shared" si="75"/>
        <v>0</v>
      </c>
      <c r="Y73" s="80">
        <f t="shared" si="75"/>
        <v>0</v>
      </c>
      <c r="Z73" s="80">
        <f t="shared" si="75"/>
        <v>0</v>
      </c>
      <c r="AA73" s="80">
        <f t="shared" si="75"/>
        <v>0</v>
      </c>
      <c r="AB73" s="80">
        <f t="shared" ref="AB73:AC73" si="76">+AA73</f>
        <v>0</v>
      </c>
      <c r="AC73" s="80">
        <f t="shared" si="76"/>
        <v>0</v>
      </c>
      <c r="AD73" s="80">
        <f t="shared" si="44"/>
        <v>0</v>
      </c>
      <c r="AE73" s="80">
        <f t="shared" si="45"/>
        <v>0</v>
      </c>
      <c r="AF73" s="59">
        <f t="shared" si="39"/>
        <v>0</v>
      </c>
      <c r="AP73" s="101"/>
      <c r="AQ73" s="101"/>
    </row>
    <row r="74" spans="1:43" ht="15.9" customHeight="1" x14ac:dyDescent="0.3">
      <c r="A74" s="468"/>
      <c r="B74" s="52" t="s">
        <v>171</v>
      </c>
      <c r="C74" s="53">
        <v>38446</v>
      </c>
      <c r="D74" s="54">
        <v>3188864</v>
      </c>
      <c r="E74" s="85">
        <v>30</v>
      </c>
      <c r="F74" s="54">
        <f>'wdv building'!C53</f>
        <v>957697.10970739729</v>
      </c>
      <c r="G74" s="56">
        <f t="shared" si="46"/>
        <v>2231166.8902926026</v>
      </c>
      <c r="H74" s="57">
        <f t="shared" ref="H74:H85" si="77">ROUND(D74*5%,0)</f>
        <v>159443</v>
      </c>
      <c r="I74" s="58">
        <f t="shared" si="33"/>
        <v>3284</v>
      </c>
      <c r="J74" s="53">
        <f t="shared" si="41"/>
        <v>49402</v>
      </c>
      <c r="K74" s="60">
        <f t="shared" ref="K74:K85" si="78">+J74-C74-I74+1</f>
        <v>7673</v>
      </c>
      <c r="L74" s="58">
        <v>0</v>
      </c>
      <c r="M74" s="58"/>
      <c r="N74" s="57">
        <f t="shared" ref="N74:N85" si="79">+ROUND((G74-H74)*365/K74,0)</f>
        <v>98551</v>
      </c>
      <c r="O74" s="57">
        <f t="shared" si="36"/>
        <v>98551</v>
      </c>
      <c r="P74" s="57">
        <f t="shared" ref="P74:AA74" si="80">+O74</f>
        <v>98551</v>
      </c>
      <c r="Q74" s="57">
        <f t="shared" si="80"/>
        <v>98551</v>
      </c>
      <c r="R74" s="57">
        <f t="shared" si="80"/>
        <v>98551</v>
      </c>
      <c r="S74" s="57">
        <f t="shared" si="80"/>
        <v>98551</v>
      </c>
      <c r="T74" s="57">
        <f t="shared" si="80"/>
        <v>98551</v>
      </c>
      <c r="U74" s="352">
        <f t="shared" si="80"/>
        <v>98551</v>
      </c>
      <c r="V74" s="80">
        <f t="shared" si="80"/>
        <v>98551</v>
      </c>
      <c r="W74" s="80">
        <f t="shared" si="80"/>
        <v>98551</v>
      </c>
      <c r="X74" s="80">
        <f t="shared" si="80"/>
        <v>98551</v>
      </c>
      <c r="Y74" s="80">
        <f t="shared" si="80"/>
        <v>98551</v>
      </c>
      <c r="Z74" s="80">
        <f t="shared" si="80"/>
        <v>98551</v>
      </c>
      <c r="AA74" s="80">
        <f t="shared" si="80"/>
        <v>98551</v>
      </c>
      <c r="AB74" s="80">
        <f t="shared" ref="AB74:AC74" si="81">+AA74</f>
        <v>98551</v>
      </c>
      <c r="AC74" s="80">
        <f t="shared" si="81"/>
        <v>98551</v>
      </c>
      <c r="AD74" s="80">
        <f t="shared" si="44"/>
        <v>98551</v>
      </c>
      <c r="AE74" s="80">
        <f t="shared" si="45"/>
        <v>98551</v>
      </c>
      <c r="AF74" s="59">
        <f t="shared" si="39"/>
        <v>1344207.8902926026</v>
      </c>
      <c r="AP74" s="101"/>
      <c r="AQ74" s="101"/>
    </row>
    <row r="75" spans="1:43" ht="15.9" customHeight="1" x14ac:dyDescent="0.3">
      <c r="A75" s="468"/>
      <c r="B75" s="52" t="s">
        <v>172</v>
      </c>
      <c r="C75" s="53">
        <v>38481</v>
      </c>
      <c r="D75" s="54">
        <v>36400</v>
      </c>
      <c r="E75" s="85">
        <v>30</v>
      </c>
      <c r="F75" s="54">
        <f>'wdv building'!C61</f>
        <v>10815.267726027398</v>
      </c>
      <c r="G75" s="56">
        <f t="shared" si="46"/>
        <v>25584.732273972601</v>
      </c>
      <c r="H75" s="57">
        <f t="shared" si="77"/>
        <v>1820</v>
      </c>
      <c r="I75" s="58">
        <f t="shared" si="33"/>
        <v>3249</v>
      </c>
      <c r="J75" s="53">
        <f t="shared" si="41"/>
        <v>49437</v>
      </c>
      <c r="K75" s="60">
        <f t="shared" si="78"/>
        <v>7708</v>
      </c>
      <c r="L75" s="58">
        <v>0</v>
      </c>
      <c r="M75" s="58"/>
      <c r="N75" s="57">
        <f t="shared" si="79"/>
        <v>1125</v>
      </c>
      <c r="O75" s="57">
        <f t="shared" si="36"/>
        <v>1125</v>
      </c>
      <c r="P75" s="57">
        <f t="shared" ref="P75:AA75" si="82">+O75</f>
        <v>1125</v>
      </c>
      <c r="Q75" s="57">
        <f t="shared" si="82"/>
        <v>1125</v>
      </c>
      <c r="R75" s="57">
        <f t="shared" si="82"/>
        <v>1125</v>
      </c>
      <c r="S75" s="57">
        <f t="shared" si="82"/>
        <v>1125</v>
      </c>
      <c r="T75" s="57">
        <f t="shared" si="82"/>
        <v>1125</v>
      </c>
      <c r="U75" s="352">
        <f t="shared" si="82"/>
        <v>1125</v>
      </c>
      <c r="V75" s="80">
        <f t="shared" si="82"/>
        <v>1125</v>
      </c>
      <c r="W75" s="80">
        <f t="shared" si="82"/>
        <v>1125</v>
      </c>
      <c r="X75" s="80">
        <f t="shared" si="82"/>
        <v>1125</v>
      </c>
      <c r="Y75" s="80">
        <f t="shared" si="82"/>
        <v>1125</v>
      </c>
      <c r="Z75" s="80">
        <f t="shared" si="82"/>
        <v>1125</v>
      </c>
      <c r="AA75" s="80">
        <f t="shared" si="82"/>
        <v>1125</v>
      </c>
      <c r="AB75" s="80">
        <f t="shared" ref="AB75:AC75" si="83">+AA75</f>
        <v>1125</v>
      </c>
      <c r="AC75" s="80">
        <f t="shared" si="83"/>
        <v>1125</v>
      </c>
      <c r="AD75" s="80">
        <f t="shared" si="44"/>
        <v>1125</v>
      </c>
      <c r="AE75" s="80">
        <f t="shared" si="45"/>
        <v>1125</v>
      </c>
      <c r="AF75" s="59">
        <f t="shared" si="39"/>
        <v>15459.732273972601</v>
      </c>
      <c r="AP75" s="101"/>
      <c r="AQ75" s="101"/>
    </row>
    <row r="76" spans="1:43" ht="15.9" customHeight="1" x14ac:dyDescent="0.3">
      <c r="A76" s="468"/>
      <c r="B76" s="52" t="s">
        <v>171</v>
      </c>
      <c r="C76" s="53">
        <v>38501</v>
      </c>
      <c r="D76" s="54">
        <v>14000</v>
      </c>
      <c r="E76" s="85">
        <v>30</v>
      </c>
      <c r="F76" s="54">
        <f>'wdv building'!C69</f>
        <v>4134.0964383561641</v>
      </c>
      <c r="G76" s="56">
        <f t="shared" si="46"/>
        <v>9865.9035616438359</v>
      </c>
      <c r="H76" s="57">
        <f t="shared" si="77"/>
        <v>700</v>
      </c>
      <c r="I76" s="58">
        <f t="shared" si="33"/>
        <v>3229</v>
      </c>
      <c r="J76" s="53">
        <f t="shared" si="41"/>
        <v>49457</v>
      </c>
      <c r="K76" s="60">
        <f t="shared" si="78"/>
        <v>7728</v>
      </c>
      <c r="L76" s="58">
        <v>0</v>
      </c>
      <c r="M76" s="58"/>
      <c r="N76" s="57">
        <f t="shared" si="79"/>
        <v>433</v>
      </c>
      <c r="O76" s="57">
        <f t="shared" si="36"/>
        <v>433</v>
      </c>
      <c r="P76" s="57">
        <f t="shared" ref="P76:AA76" si="84">+O76</f>
        <v>433</v>
      </c>
      <c r="Q76" s="57">
        <f t="shared" si="84"/>
        <v>433</v>
      </c>
      <c r="R76" s="57">
        <f t="shared" si="84"/>
        <v>433</v>
      </c>
      <c r="S76" s="57">
        <f t="shared" si="84"/>
        <v>433</v>
      </c>
      <c r="T76" s="57">
        <f t="shared" si="84"/>
        <v>433</v>
      </c>
      <c r="U76" s="352">
        <f t="shared" si="84"/>
        <v>433</v>
      </c>
      <c r="V76" s="80">
        <f t="shared" si="84"/>
        <v>433</v>
      </c>
      <c r="W76" s="80">
        <f t="shared" si="84"/>
        <v>433</v>
      </c>
      <c r="X76" s="80">
        <f t="shared" si="84"/>
        <v>433</v>
      </c>
      <c r="Y76" s="80">
        <f t="shared" si="84"/>
        <v>433</v>
      </c>
      <c r="Z76" s="80">
        <f t="shared" si="84"/>
        <v>433</v>
      </c>
      <c r="AA76" s="80">
        <f t="shared" si="84"/>
        <v>433</v>
      </c>
      <c r="AB76" s="80">
        <f t="shared" ref="AB76:AC76" si="85">+AA76</f>
        <v>433</v>
      </c>
      <c r="AC76" s="80">
        <f t="shared" si="85"/>
        <v>433</v>
      </c>
      <c r="AD76" s="80">
        <f t="shared" si="44"/>
        <v>433</v>
      </c>
      <c r="AE76" s="80">
        <f t="shared" si="45"/>
        <v>433</v>
      </c>
      <c r="AF76" s="59">
        <f t="shared" si="39"/>
        <v>5968.9035616438359</v>
      </c>
      <c r="AP76" s="101"/>
      <c r="AQ76" s="101"/>
    </row>
    <row r="77" spans="1:43" ht="15.9" customHeight="1" x14ac:dyDescent="0.3">
      <c r="A77" s="468"/>
      <c r="B77" s="52" t="s">
        <v>171</v>
      </c>
      <c r="C77" s="53">
        <v>38501</v>
      </c>
      <c r="D77" s="54">
        <v>8400</v>
      </c>
      <c r="E77" s="85">
        <v>30</v>
      </c>
      <c r="F77" s="54">
        <f>'wdv building'!C77</f>
        <v>2480.4578630136984</v>
      </c>
      <c r="G77" s="56">
        <f t="shared" si="46"/>
        <v>5919.5421369863016</v>
      </c>
      <c r="H77" s="57">
        <f t="shared" si="77"/>
        <v>420</v>
      </c>
      <c r="I77" s="58">
        <f t="shared" si="33"/>
        <v>3229</v>
      </c>
      <c r="J77" s="53">
        <f t="shared" si="41"/>
        <v>49457</v>
      </c>
      <c r="K77" s="60">
        <f t="shared" si="78"/>
        <v>7728</v>
      </c>
      <c r="L77" s="58">
        <v>0</v>
      </c>
      <c r="M77" s="58"/>
      <c r="N77" s="57">
        <f t="shared" si="79"/>
        <v>260</v>
      </c>
      <c r="O77" s="57">
        <f t="shared" si="36"/>
        <v>260</v>
      </c>
      <c r="P77" s="57">
        <f t="shared" ref="P77:AA77" si="86">+O77</f>
        <v>260</v>
      </c>
      <c r="Q77" s="57">
        <f t="shared" si="86"/>
        <v>260</v>
      </c>
      <c r="R77" s="57">
        <f t="shared" si="86"/>
        <v>260</v>
      </c>
      <c r="S77" s="57">
        <f t="shared" si="86"/>
        <v>260</v>
      </c>
      <c r="T77" s="57">
        <f t="shared" si="86"/>
        <v>260</v>
      </c>
      <c r="U77" s="352">
        <f t="shared" si="86"/>
        <v>260</v>
      </c>
      <c r="V77" s="80">
        <f t="shared" si="86"/>
        <v>260</v>
      </c>
      <c r="W77" s="80">
        <f t="shared" si="86"/>
        <v>260</v>
      </c>
      <c r="X77" s="80">
        <f t="shared" si="86"/>
        <v>260</v>
      </c>
      <c r="Y77" s="80">
        <f t="shared" si="86"/>
        <v>260</v>
      </c>
      <c r="Z77" s="80">
        <f t="shared" si="86"/>
        <v>260</v>
      </c>
      <c r="AA77" s="80">
        <f t="shared" si="86"/>
        <v>260</v>
      </c>
      <c r="AB77" s="80">
        <f t="shared" ref="AB77:AC77" si="87">+AA77</f>
        <v>260</v>
      </c>
      <c r="AC77" s="80">
        <f t="shared" si="87"/>
        <v>260</v>
      </c>
      <c r="AD77" s="80">
        <f t="shared" si="44"/>
        <v>260</v>
      </c>
      <c r="AE77" s="80">
        <f t="shared" si="45"/>
        <v>260</v>
      </c>
      <c r="AF77" s="59">
        <f t="shared" si="39"/>
        <v>3579.5421369863016</v>
      </c>
      <c r="AP77" s="101"/>
      <c r="AQ77" s="101"/>
    </row>
    <row r="78" spans="1:43" ht="15.9" customHeight="1" x14ac:dyDescent="0.3">
      <c r="A78" s="468"/>
      <c r="B78" s="52" t="s">
        <v>171</v>
      </c>
      <c r="C78" s="53">
        <v>38520</v>
      </c>
      <c r="D78" s="54">
        <v>5200</v>
      </c>
      <c r="E78" s="85">
        <v>30</v>
      </c>
      <c r="F78" s="54">
        <f>'wdv building'!C85</f>
        <v>1525.4806575342466</v>
      </c>
      <c r="G78" s="56">
        <f t="shared" si="46"/>
        <v>3674.5193424657537</v>
      </c>
      <c r="H78" s="57">
        <f t="shared" si="77"/>
        <v>260</v>
      </c>
      <c r="I78" s="58">
        <f t="shared" si="33"/>
        <v>3210</v>
      </c>
      <c r="J78" s="53">
        <f t="shared" si="41"/>
        <v>49476</v>
      </c>
      <c r="K78" s="60">
        <f t="shared" si="78"/>
        <v>7747</v>
      </c>
      <c r="L78" s="58">
        <v>0</v>
      </c>
      <c r="M78" s="58"/>
      <c r="N78" s="57">
        <f t="shared" si="79"/>
        <v>161</v>
      </c>
      <c r="O78" s="57">
        <f t="shared" si="36"/>
        <v>161</v>
      </c>
      <c r="P78" s="57">
        <f t="shared" ref="P78:AA78" si="88">+O78</f>
        <v>161</v>
      </c>
      <c r="Q78" s="57">
        <f t="shared" si="88"/>
        <v>161</v>
      </c>
      <c r="R78" s="57">
        <f t="shared" si="88"/>
        <v>161</v>
      </c>
      <c r="S78" s="57">
        <f t="shared" si="88"/>
        <v>161</v>
      </c>
      <c r="T78" s="57">
        <f t="shared" si="88"/>
        <v>161</v>
      </c>
      <c r="U78" s="352">
        <f t="shared" si="88"/>
        <v>161</v>
      </c>
      <c r="V78" s="80">
        <f t="shared" si="88"/>
        <v>161</v>
      </c>
      <c r="W78" s="80">
        <f t="shared" si="88"/>
        <v>161</v>
      </c>
      <c r="X78" s="80">
        <f t="shared" si="88"/>
        <v>161</v>
      </c>
      <c r="Y78" s="80">
        <f t="shared" si="88"/>
        <v>161</v>
      </c>
      <c r="Z78" s="80">
        <f t="shared" si="88"/>
        <v>161</v>
      </c>
      <c r="AA78" s="80">
        <f t="shared" si="88"/>
        <v>161</v>
      </c>
      <c r="AB78" s="80">
        <f t="shared" ref="AB78:AC78" si="89">+AA78</f>
        <v>161</v>
      </c>
      <c r="AC78" s="80">
        <f t="shared" si="89"/>
        <v>161</v>
      </c>
      <c r="AD78" s="80">
        <f t="shared" si="44"/>
        <v>161</v>
      </c>
      <c r="AE78" s="80">
        <f t="shared" si="45"/>
        <v>161</v>
      </c>
      <c r="AF78" s="59">
        <f t="shared" si="39"/>
        <v>2225.5193424657537</v>
      </c>
      <c r="AP78" s="101"/>
      <c r="AQ78" s="101"/>
    </row>
    <row r="79" spans="1:43" ht="15.9" customHeight="1" x14ac:dyDescent="0.3">
      <c r="A79" s="468"/>
      <c r="B79" s="52" t="s">
        <v>171</v>
      </c>
      <c r="C79" s="53">
        <v>38551</v>
      </c>
      <c r="D79" s="54">
        <v>5200</v>
      </c>
      <c r="E79" s="85">
        <v>30</v>
      </c>
      <c r="F79" s="54">
        <f>'wdv building'!C93</f>
        <v>1511.7297534246577</v>
      </c>
      <c r="G79" s="56">
        <f t="shared" si="46"/>
        <v>3688.2702465753423</v>
      </c>
      <c r="H79" s="57">
        <f t="shared" si="77"/>
        <v>260</v>
      </c>
      <c r="I79" s="58">
        <f t="shared" si="33"/>
        <v>3179</v>
      </c>
      <c r="J79" s="53">
        <f t="shared" si="41"/>
        <v>49507</v>
      </c>
      <c r="K79" s="60">
        <f t="shared" si="78"/>
        <v>7778</v>
      </c>
      <c r="L79" s="58">
        <v>0</v>
      </c>
      <c r="M79" s="58"/>
      <c r="N79" s="57">
        <f t="shared" si="79"/>
        <v>161</v>
      </c>
      <c r="O79" s="57">
        <f t="shared" si="36"/>
        <v>161</v>
      </c>
      <c r="P79" s="57">
        <f t="shared" ref="P79:AA79" si="90">+O79</f>
        <v>161</v>
      </c>
      <c r="Q79" s="57">
        <f t="shared" si="90"/>
        <v>161</v>
      </c>
      <c r="R79" s="57">
        <f t="shared" si="90"/>
        <v>161</v>
      </c>
      <c r="S79" s="57">
        <f t="shared" si="90"/>
        <v>161</v>
      </c>
      <c r="T79" s="57">
        <f t="shared" si="90"/>
        <v>161</v>
      </c>
      <c r="U79" s="352">
        <f t="shared" si="90"/>
        <v>161</v>
      </c>
      <c r="V79" s="80">
        <f t="shared" si="90"/>
        <v>161</v>
      </c>
      <c r="W79" s="80">
        <f t="shared" si="90"/>
        <v>161</v>
      </c>
      <c r="X79" s="80">
        <f t="shared" si="90"/>
        <v>161</v>
      </c>
      <c r="Y79" s="80">
        <f t="shared" si="90"/>
        <v>161</v>
      </c>
      <c r="Z79" s="80">
        <f t="shared" si="90"/>
        <v>161</v>
      </c>
      <c r="AA79" s="80">
        <f t="shared" si="90"/>
        <v>161</v>
      </c>
      <c r="AB79" s="80">
        <f t="shared" ref="AB79:AC79" si="91">+AA79</f>
        <v>161</v>
      </c>
      <c r="AC79" s="80">
        <f t="shared" si="91"/>
        <v>161</v>
      </c>
      <c r="AD79" s="80">
        <f t="shared" si="44"/>
        <v>161</v>
      </c>
      <c r="AE79" s="80">
        <f t="shared" si="45"/>
        <v>161</v>
      </c>
      <c r="AF79" s="59">
        <f t="shared" si="39"/>
        <v>2239.2702465753423</v>
      </c>
      <c r="AP79" s="101"/>
      <c r="AQ79" s="101"/>
    </row>
    <row r="80" spans="1:43" ht="15.9" customHeight="1" x14ac:dyDescent="0.3">
      <c r="A80" s="468"/>
      <c r="B80" s="52" t="s">
        <v>104</v>
      </c>
      <c r="C80" s="53">
        <v>38446</v>
      </c>
      <c r="D80" s="54">
        <v>2013601.3</v>
      </c>
      <c r="E80" s="85">
        <v>30</v>
      </c>
      <c r="F80" s="54">
        <v>604734.92026000004</v>
      </c>
      <c r="G80" s="56">
        <f t="shared" si="46"/>
        <v>1408866.37974</v>
      </c>
      <c r="H80" s="57">
        <f t="shared" si="77"/>
        <v>100680</v>
      </c>
      <c r="I80" s="58">
        <f t="shared" si="33"/>
        <v>3284</v>
      </c>
      <c r="J80" s="53">
        <f t="shared" si="41"/>
        <v>49402</v>
      </c>
      <c r="K80" s="60">
        <f t="shared" si="78"/>
        <v>7673</v>
      </c>
      <c r="L80" s="58">
        <v>0</v>
      </c>
      <c r="M80" s="58"/>
      <c r="N80" s="57">
        <f t="shared" si="79"/>
        <v>62230</v>
      </c>
      <c r="O80" s="57">
        <f t="shared" si="36"/>
        <v>62230</v>
      </c>
      <c r="P80" s="57">
        <f t="shared" ref="P80:AA80" si="92">+O80</f>
        <v>62230</v>
      </c>
      <c r="Q80" s="57">
        <f t="shared" si="92"/>
        <v>62230</v>
      </c>
      <c r="R80" s="57">
        <f t="shared" si="92"/>
        <v>62230</v>
      </c>
      <c r="S80" s="57">
        <f t="shared" si="92"/>
        <v>62230</v>
      </c>
      <c r="T80" s="57">
        <f t="shared" si="92"/>
        <v>62230</v>
      </c>
      <c r="U80" s="352">
        <f t="shared" si="92"/>
        <v>62230</v>
      </c>
      <c r="V80" s="80">
        <f t="shared" si="92"/>
        <v>62230</v>
      </c>
      <c r="W80" s="80">
        <f t="shared" si="92"/>
        <v>62230</v>
      </c>
      <c r="X80" s="80">
        <f t="shared" si="92"/>
        <v>62230</v>
      </c>
      <c r="Y80" s="80">
        <f t="shared" si="92"/>
        <v>62230</v>
      </c>
      <c r="Z80" s="80">
        <f t="shared" si="92"/>
        <v>62230</v>
      </c>
      <c r="AA80" s="80">
        <f t="shared" si="92"/>
        <v>62230</v>
      </c>
      <c r="AB80" s="80">
        <f t="shared" ref="AB80:AC80" si="93">+AA80</f>
        <v>62230</v>
      </c>
      <c r="AC80" s="80">
        <f t="shared" si="93"/>
        <v>62230</v>
      </c>
      <c r="AD80" s="80">
        <f t="shared" si="44"/>
        <v>62230</v>
      </c>
      <c r="AE80" s="80">
        <f t="shared" si="45"/>
        <v>62230</v>
      </c>
      <c r="AF80" s="59">
        <f t="shared" si="39"/>
        <v>848796.37974</v>
      </c>
      <c r="AP80" s="101"/>
      <c r="AQ80" s="101"/>
    </row>
    <row r="81" spans="1:43" ht="15.9" customHeight="1" x14ac:dyDescent="0.3">
      <c r="A81" s="468"/>
      <c r="B81" s="52" t="s">
        <v>105</v>
      </c>
      <c r="C81" s="53">
        <v>38446</v>
      </c>
      <c r="D81" s="54">
        <v>1125670.2</v>
      </c>
      <c r="E81" s="85">
        <v>30</v>
      </c>
      <c r="F81" s="54">
        <v>338066.28403999994</v>
      </c>
      <c r="G81" s="56">
        <f t="shared" si="46"/>
        <v>787603.91596000001</v>
      </c>
      <c r="H81" s="57">
        <f t="shared" si="77"/>
        <v>56284</v>
      </c>
      <c r="I81" s="58">
        <f t="shared" si="33"/>
        <v>3284</v>
      </c>
      <c r="J81" s="53">
        <f t="shared" si="41"/>
        <v>49402</v>
      </c>
      <c r="K81" s="60">
        <f t="shared" si="78"/>
        <v>7673</v>
      </c>
      <c r="L81" s="58">
        <v>0</v>
      </c>
      <c r="M81" s="58"/>
      <c r="N81" s="57">
        <f t="shared" si="79"/>
        <v>34788</v>
      </c>
      <c r="O81" s="57">
        <f t="shared" si="36"/>
        <v>34788</v>
      </c>
      <c r="P81" s="57">
        <f t="shared" ref="P81:AA81" si="94">+O81</f>
        <v>34788</v>
      </c>
      <c r="Q81" s="57">
        <f t="shared" si="94"/>
        <v>34788</v>
      </c>
      <c r="R81" s="57">
        <f t="shared" si="94"/>
        <v>34788</v>
      </c>
      <c r="S81" s="57">
        <f t="shared" si="94"/>
        <v>34788</v>
      </c>
      <c r="T81" s="57">
        <f t="shared" si="94"/>
        <v>34788</v>
      </c>
      <c r="U81" s="352">
        <f t="shared" si="94"/>
        <v>34788</v>
      </c>
      <c r="V81" s="80">
        <f t="shared" si="94"/>
        <v>34788</v>
      </c>
      <c r="W81" s="80">
        <f t="shared" si="94"/>
        <v>34788</v>
      </c>
      <c r="X81" s="80">
        <f t="shared" si="94"/>
        <v>34788</v>
      </c>
      <c r="Y81" s="80">
        <f t="shared" si="94"/>
        <v>34788</v>
      </c>
      <c r="Z81" s="80">
        <f t="shared" si="94"/>
        <v>34788</v>
      </c>
      <c r="AA81" s="80">
        <f t="shared" si="94"/>
        <v>34788</v>
      </c>
      <c r="AB81" s="80">
        <f t="shared" ref="AB81:AC81" si="95">+AA81</f>
        <v>34788</v>
      </c>
      <c r="AC81" s="80">
        <f t="shared" si="95"/>
        <v>34788</v>
      </c>
      <c r="AD81" s="80">
        <f t="shared" si="44"/>
        <v>34788</v>
      </c>
      <c r="AE81" s="80">
        <f t="shared" si="45"/>
        <v>34788</v>
      </c>
      <c r="AF81" s="59">
        <f t="shared" si="39"/>
        <v>474511.91596000001</v>
      </c>
      <c r="AP81" s="101"/>
      <c r="AQ81" s="101"/>
    </row>
    <row r="82" spans="1:43" ht="15.9" customHeight="1" x14ac:dyDescent="0.3">
      <c r="A82" s="468"/>
      <c r="B82" s="52" t="s">
        <v>106</v>
      </c>
      <c r="C82" s="53">
        <v>38446</v>
      </c>
      <c r="D82" s="54">
        <v>1384776.98</v>
      </c>
      <c r="E82" s="85">
        <v>30</v>
      </c>
      <c r="F82" s="54">
        <f>'wdv building'!C103</f>
        <v>415884.81645917811</v>
      </c>
      <c r="G82" s="56">
        <f t="shared" si="46"/>
        <v>968892.16354082187</v>
      </c>
      <c r="H82" s="57">
        <f t="shared" si="77"/>
        <v>69239</v>
      </c>
      <c r="I82" s="58">
        <f t="shared" si="33"/>
        <v>3284</v>
      </c>
      <c r="J82" s="53">
        <f t="shared" si="41"/>
        <v>49402</v>
      </c>
      <c r="K82" s="60">
        <f t="shared" si="78"/>
        <v>7673</v>
      </c>
      <c r="L82" s="58">
        <v>0</v>
      </c>
      <c r="M82" s="58"/>
      <c r="N82" s="57">
        <f t="shared" si="79"/>
        <v>42796</v>
      </c>
      <c r="O82" s="57">
        <f t="shared" si="36"/>
        <v>42796</v>
      </c>
      <c r="P82" s="57">
        <f t="shared" ref="P82:AA82" si="96">+O82</f>
        <v>42796</v>
      </c>
      <c r="Q82" s="57">
        <f t="shared" si="96"/>
        <v>42796</v>
      </c>
      <c r="R82" s="57">
        <f t="shared" si="96"/>
        <v>42796</v>
      </c>
      <c r="S82" s="57">
        <f t="shared" si="96"/>
        <v>42796</v>
      </c>
      <c r="T82" s="57">
        <f t="shared" si="96"/>
        <v>42796</v>
      </c>
      <c r="U82" s="352">
        <f t="shared" si="96"/>
        <v>42796</v>
      </c>
      <c r="V82" s="80">
        <f t="shared" si="96"/>
        <v>42796</v>
      </c>
      <c r="W82" s="80">
        <f t="shared" si="96"/>
        <v>42796</v>
      </c>
      <c r="X82" s="80">
        <f t="shared" si="96"/>
        <v>42796</v>
      </c>
      <c r="Y82" s="80">
        <f t="shared" si="96"/>
        <v>42796</v>
      </c>
      <c r="Z82" s="80">
        <f t="shared" si="96"/>
        <v>42796</v>
      </c>
      <c r="AA82" s="80">
        <f t="shared" si="96"/>
        <v>42796</v>
      </c>
      <c r="AB82" s="80">
        <f t="shared" ref="AB82:AC82" si="97">+AA82</f>
        <v>42796</v>
      </c>
      <c r="AC82" s="80">
        <f t="shared" si="97"/>
        <v>42796</v>
      </c>
      <c r="AD82" s="80">
        <f t="shared" si="44"/>
        <v>42796</v>
      </c>
      <c r="AE82" s="80">
        <f t="shared" si="45"/>
        <v>42796</v>
      </c>
      <c r="AF82" s="59">
        <f t="shared" si="39"/>
        <v>583728.16354082187</v>
      </c>
      <c r="AP82" s="101"/>
      <c r="AQ82" s="101"/>
    </row>
    <row r="83" spans="1:43" ht="15.9" customHeight="1" x14ac:dyDescent="0.3">
      <c r="A83" s="468"/>
      <c r="B83" s="52" t="s">
        <v>106</v>
      </c>
      <c r="C83" s="53">
        <v>38502</v>
      </c>
      <c r="D83" s="54">
        <v>147754</v>
      </c>
      <c r="E83" s="85">
        <v>30</v>
      </c>
      <c r="F83" s="54">
        <f>'wdv building'!C111</f>
        <v>43617.142722191777</v>
      </c>
      <c r="G83" s="56">
        <f t="shared" si="46"/>
        <v>104136.85727780822</v>
      </c>
      <c r="H83" s="57">
        <f t="shared" si="77"/>
        <v>7388</v>
      </c>
      <c r="I83" s="58">
        <f t="shared" si="33"/>
        <v>3228</v>
      </c>
      <c r="J83" s="53">
        <f t="shared" si="41"/>
        <v>49458</v>
      </c>
      <c r="K83" s="60">
        <f t="shared" si="78"/>
        <v>7729</v>
      </c>
      <c r="L83" s="58">
        <v>0</v>
      </c>
      <c r="M83" s="58"/>
      <c r="N83" s="57">
        <f t="shared" si="79"/>
        <v>4569</v>
      </c>
      <c r="O83" s="57">
        <f t="shared" si="36"/>
        <v>4569</v>
      </c>
      <c r="P83" s="57">
        <f t="shared" ref="P83:AA83" si="98">+O83</f>
        <v>4569</v>
      </c>
      <c r="Q83" s="57">
        <f t="shared" si="98"/>
        <v>4569</v>
      </c>
      <c r="R83" s="57">
        <f t="shared" si="98"/>
        <v>4569</v>
      </c>
      <c r="S83" s="57">
        <f t="shared" si="98"/>
        <v>4569</v>
      </c>
      <c r="T83" s="57">
        <f t="shared" si="98"/>
        <v>4569</v>
      </c>
      <c r="U83" s="352">
        <f t="shared" si="98"/>
        <v>4569</v>
      </c>
      <c r="V83" s="80">
        <f t="shared" si="98"/>
        <v>4569</v>
      </c>
      <c r="W83" s="80">
        <f t="shared" si="98"/>
        <v>4569</v>
      </c>
      <c r="X83" s="80">
        <f t="shared" si="98"/>
        <v>4569</v>
      </c>
      <c r="Y83" s="80">
        <f t="shared" si="98"/>
        <v>4569</v>
      </c>
      <c r="Z83" s="80">
        <f t="shared" si="98"/>
        <v>4569</v>
      </c>
      <c r="AA83" s="80">
        <f t="shared" si="98"/>
        <v>4569</v>
      </c>
      <c r="AB83" s="80">
        <f t="shared" ref="AB83:AC83" si="99">+AA83</f>
        <v>4569</v>
      </c>
      <c r="AC83" s="80">
        <f t="shared" si="99"/>
        <v>4569</v>
      </c>
      <c r="AD83" s="80">
        <f t="shared" si="44"/>
        <v>4569</v>
      </c>
      <c r="AE83" s="80">
        <f t="shared" si="45"/>
        <v>4569</v>
      </c>
      <c r="AF83" s="59">
        <f t="shared" si="39"/>
        <v>63015.857277808216</v>
      </c>
      <c r="AP83" s="101"/>
      <c r="AQ83" s="101"/>
    </row>
    <row r="84" spans="1:43" ht="15.9" customHeight="1" x14ac:dyDescent="0.3">
      <c r="A84" s="468"/>
      <c r="B84" s="52" t="s">
        <v>107</v>
      </c>
      <c r="C84" s="53">
        <v>38532</v>
      </c>
      <c r="D84" s="54">
        <v>32605</v>
      </c>
      <c r="E84" s="85">
        <v>30</v>
      </c>
      <c r="F84" s="54">
        <v>9536</v>
      </c>
      <c r="G84" s="56">
        <f>D84-F84</f>
        <v>23069</v>
      </c>
      <c r="H84" s="57">
        <f t="shared" si="77"/>
        <v>1630</v>
      </c>
      <c r="I84" s="58">
        <f t="shared" si="33"/>
        <v>3198</v>
      </c>
      <c r="J84" s="53">
        <f t="shared" si="41"/>
        <v>49488</v>
      </c>
      <c r="K84" s="60">
        <f t="shared" si="78"/>
        <v>7759</v>
      </c>
      <c r="L84" s="58">
        <v>0</v>
      </c>
      <c r="M84" s="58"/>
      <c r="N84" s="57">
        <f t="shared" si="79"/>
        <v>1009</v>
      </c>
      <c r="O84" s="57">
        <f t="shared" si="36"/>
        <v>1009</v>
      </c>
      <c r="P84" s="57">
        <f t="shared" ref="P84:AA84" si="100">+O84</f>
        <v>1009</v>
      </c>
      <c r="Q84" s="57">
        <f t="shared" si="100"/>
        <v>1009</v>
      </c>
      <c r="R84" s="57">
        <f t="shared" si="100"/>
        <v>1009</v>
      </c>
      <c r="S84" s="57">
        <f t="shared" si="100"/>
        <v>1009</v>
      </c>
      <c r="T84" s="57">
        <f t="shared" si="100"/>
        <v>1009</v>
      </c>
      <c r="U84" s="352">
        <f t="shared" si="100"/>
        <v>1009</v>
      </c>
      <c r="V84" s="80">
        <f t="shared" si="100"/>
        <v>1009</v>
      </c>
      <c r="W84" s="80">
        <f t="shared" si="100"/>
        <v>1009</v>
      </c>
      <c r="X84" s="80">
        <f t="shared" si="100"/>
        <v>1009</v>
      </c>
      <c r="Y84" s="80">
        <f t="shared" si="100"/>
        <v>1009</v>
      </c>
      <c r="Z84" s="80">
        <f t="shared" si="100"/>
        <v>1009</v>
      </c>
      <c r="AA84" s="80">
        <f t="shared" si="100"/>
        <v>1009</v>
      </c>
      <c r="AB84" s="80">
        <f t="shared" ref="AB84:AC84" si="101">+AA84</f>
        <v>1009</v>
      </c>
      <c r="AC84" s="80">
        <f t="shared" si="101"/>
        <v>1009</v>
      </c>
      <c r="AD84" s="80">
        <f t="shared" si="44"/>
        <v>1009</v>
      </c>
      <c r="AE84" s="80">
        <f t="shared" si="45"/>
        <v>1009</v>
      </c>
      <c r="AF84" s="59">
        <f t="shared" si="39"/>
        <v>13988</v>
      </c>
      <c r="AP84" s="101"/>
      <c r="AQ84" s="101"/>
    </row>
    <row r="85" spans="1:43" ht="15.9" customHeight="1" x14ac:dyDescent="0.3">
      <c r="A85" s="468"/>
      <c r="B85" s="52" t="s">
        <v>107</v>
      </c>
      <c r="C85" s="53">
        <v>38446</v>
      </c>
      <c r="D85" s="54">
        <f>1495085</f>
        <v>1495085</v>
      </c>
      <c r="E85" s="85">
        <v>30</v>
      </c>
      <c r="F85" s="54">
        <f>476752.427058-9536-1972-15092</f>
        <v>450152.427058</v>
      </c>
      <c r="G85" s="56">
        <f t="shared" si="46"/>
        <v>1044932.572942</v>
      </c>
      <c r="H85" s="57">
        <f t="shared" si="77"/>
        <v>74754</v>
      </c>
      <c r="I85" s="58">
        <f t="shared" si="33"/>
        <v>3284</v>
      </c>
      <c r="J85" s="53">
        <f t="shared" si="41"/>
        <v>49402</v>
      </c>
      <c r="K85" s="60">
        <f t="shared" si="78"/>
        <v>7673</v>
      </c>
      <c r="L85" s="58">
        <v>0</v>
      </c>
      <c r="M85" s="58"/>
      <c r="N85" s="57">
        <f t="shared" si="79"/>
        <v>46151</v>
      </c>
      <c r="O85" s="57">
        <f t="shared" si="36"/>
        <v>46151</v>
      </c>
      <c r="P85" s="57">
        <f t="shared" ref="P85:AA85" si="102">+O85</f>
        <v>46151</v>
      </c>
      <c r="Q85" s="57">
        <f t="shared" si="102"/>
        <v>46151</v>
      </c>
      <c r="R85" s="57">
        <f t="shared" si="102"/>
        <v>46151</v>
      </c>
      <c r="S85" s="57">
        <f t="shared" si="102"/>
        <v>46151</v>
      </c>
      <c r="T85" s="57">
        <f t="shared" si="102"/>
        <v>46151</v>
      </c>
      <c r="U85" s="352">
        <f t="shared" si="102"/>
        <v>46151</v>
      </c>
      <c r="V85" s="80">
        <f t="shared" si="102"/>
        <v>46151</v>
      </c>
      <c r="W85" s="80">
        <f t="shared" si="102"/>
        <v>46151</v>
      </c>
      <c r="X85" s="80">
        <f t="shared" si="102"/>
        <v>46151</v>
      </c>
      <c r="Y85" s="80">
        <f t="shared" si="102"/>
        <v>46151</v>
      </c>
      <c r="Z85" s="80">
        <f t="shared" si="102"/>
        <v>46151</v>
      </c>
      <c r="AA85" s="80">
        <f t="shared" si="102"/>
        <v>46151</v>
      </c>
      <c r="AB85" s="80">
        <f t="shared" ref="AB85:AC85" si="103">+AA85</f>
        <v>46151</v>
      </c>
      <c r="AC85" s="80">
        <f t="shared" si="103"/>
        <v>46151</v>
      </c>
      <c r="AD85" s="80">
        <f t="shared" si="44"/>
        <v>46151</v>
      </c>
      <c r="AE85" s="80">
        <f t="shared" si="45"/>
        <v>46151</v>
      </c>
      <c r="AF85" s="59">
        <f t="shared" si="39"/>
        <v>629573.572942</v>
      </c>
      <c r="AP85" s="101"/>
      <c r="AQ85" s="101"/>
    </row>
    <row r="86" spans="1:43" ht="15.9" customHeight="1" x14ac:dyDescent="0.3">
      <c r="A86" s="468"/>
      <c r="B86" s="52" t="s">
        <v>107</v>
      </c>
      <c r="C86" s="53">
        <v>38881</v>
      </c>
      <c r="D86" s="54">
        <v>1972</v>
      </c>
      <c r="E86" s="85">
        <v>30</v>
      </c>
      <c r="F86" s="54">
        <v>1972</v>
      </c>
      <c r="G86" s="56">
        <f>D86-F86</f>
        <v>0</v>
      </c>
      <c r="H86" s="57">
        <v>0</v>
      </c>
      <c r="I86" s="58">
        <v>0</v>
      </c>
      <c r="J86" s="58">
        <v>0</v>
      </c>
      <c r="K86" s="58">
        <v>0</v>
      </c>
      <c r="L86" s="58">
        <v>0</v>
      </c>
      <c r="M86" s="58"/>
      <c r="N86" s="80">
        <v>0</v>
      </c>
      <c r="O86" s="57">
        <f t="shared" si="36"/>
        <v>0</v>
      </c>
      <c r="P86" s="57">
        <f t="shared" ref="P86:AA86" si="104">+O86</f>
        <v>0</v>
      </c>
      <c r="Q86" s="57">
        <f t="shared" si="104"/>
        <v>0</v>
      </c>
      <c r="R86" s="57">
        <f t="shared" si="104"/>
        <v>0</v>
      </c>
      <c r="S86" s="57">
        <f t="shared" si="104"/>
        <v>0</v>
      </c>
      <c r="T86" s="57">
        <f t="shared" si="104"/>
        <v>0</v>
      </c>
      <c r="U86" s="352">
        <f t="shared" si="104"/>
        <v>0</v>
      </c>
      <c r="V86" s="80">
        <f t="shared" si="104"/>
        <v>0</v>
      </c>
      <c r="W86" s="80">
        <f t="shared" si="104"/>
        <v>0</v>
      </c>
      <c r="X86" s="80">
        <f t="shared" si="104"/>
        <v>0</v>
      </c>
      <c r="Y86" s="80">
        <f t="shared" si="104"/>
        <v>0</v>
      </c>
      <c r="Z86" s="80">
        <f t="shared" si="104"/>
        <v>0</v>
      </c>
      <c r="AA86" s="80">
        <f t="shared" si="104"/>
        <v>0</v>
      </c>
      <c r="AB86" s="80">
        <f t="shared" ref="AB86:AC86" si="105">+AA86</f>
        <v>0</v>
      </c>
      <c r="AC86" s="80">
        <f t="shared" si="105"/>
        <v>0</v>
      </c>
      <c r="AD86" s="80">
        <f t="shared" si="44"/>
        <v>0</v>
      </c>
      <c r="AE86" s="80">
        <f t="shared" si="45"/>
        <v>0</v>
      </c>
      <c r="AF86" s="59">
        <f t="shared" si="39"/>
        <v>0</v>
      </c>
      <c r="AP86" s="101"/>
      <c r="AQ86" s="101"/>
    </row>
    <row r="87" spans="1:43" ht="15.9" customHeight="1" x14ac:dyDescent="0.3">
      <c r="A87" s="468"/>
      <c r="B87" s="52" t="s">
        <v>107</v>
      </c>
      <c r="C87" s="53">
        <v>38513</v>
      </c>
      <c r="D87" s="54">
        <v>15092</v>
      </c>
      <c r="E87" s="85">
        <v>30</v>
      </c>
      <c r="F87" s="54">
        <v>15092</v>
      </c>
      <c r="G87" s="56">
        <f>D87-F87</f>
        <v>0</v>
      </c>
      <c r="H87" s="57">
        <v>0</v>
      </c>
      <c r="I87" s="58">
        <v>0</v>
      </c>
      <c r="J87" s="58">
        <v>0</v>
      </c>
      <c r="K87" s="58">
        <v>0</v>
      </c>
      <c r="L87" s="58">
        <v>0</v>
      </c>
      <c r="M87" s="58"/>
      <c r="N87" s="80">
        <v>0</v>
      </c>
      <c r="O87" s="57">
        <f t="shared" si="36"/>
        <v>0</v>
      </c>
      <c r="P87" s="57">
        <f t="shared" ref="P87:AA87" si="106">+O87</f>
        <v>0</v>
      </c>
      <c r="Q87" s="57">
        <f t="shared" si="106"/>
        <v>0</v>
      </c>
      <c r="R87" s="57">
        <f t="shared" si="106"/>
        <v>0</v>
      </c>
      <c r="S87" s="57">
        <f t="shared" si="106"/>
        <v>0</v>
      </c>
      <c r="T87" s="57">
        <f t="shared" si="106"/>
        <v>0</v>
      </c>
      <c r="U87" s="352">
        <f t="shared" si="106"/>
        <v>0</v>
      </c>
      <c r="V87" s="80">
        <f t="shared" si="106"/>
        <v>0</v>
      </c>
      <c r="W87" s="80">
        <f t="shared" si="106"/>
        <v>0</v>
      </c>
      <c r="X87" s="80">
        <f t="shared" si="106"/>
        <v>0</v>
      </c>
      <c r="Y87" s="80">
        <f t="shared" si="106"/>
        <v>0</v>
      </c>
      <c r="Z87" s="80">
        <f t="shared" si="106"/>
        <v>0</v>
      </c>
      <c r="AA87" s="80">
        <f t="shared" si="106"/>
        <v>0</v>
      </c>
      <c r="AB87" s="80">
        <f t="shared" ref="AB87:AC87" si="107">+AA87</f>
        <v>0</v>
      </c>
      <c r="AC87" s="80">
        <f t="shared" si="107"/>
        <v>0</v>
      </c>
      <c r="AD87" s="80">
        <f t="shared" si="44"/>
        <v>0</v>
      </c>
      <c r="AE87" s="80">
        <f t="shared" si="45"/>
        <v>0</v>
      </c>
      <c r="AF87" s="59">
        <f t="shared" si="39"/>
        <v>0</v>
      </c>
      <c r="AP87" s="101"/>
      <c r="AQ87" s="101"/>
    </row>
    <row r="88" spans="1:43" ht="15.9" customHeight="1" x14ac:dyDescent="0.3">
      <c r="A88" s="468"/>
      <c r="B88" s="52" t="s">
        <v>108</v>
      </c>
      <c r="C88" s="53">
        <v>38446</v>
      </c>
      <c r="D88" s="54">
        <f>1864158.39-1825-5440-39975</f>
        <v>1816918.39</v>
      </c>
      <c r="E88" s="85">
        <v>30</v>
      </c>
      <c r="F88" s="54">
        <f>563692.447678-1825-5440-10275</f>
        <v>546152.44767799997</v>
      </c>
      <c r="G88" s="56">
        <f t="shared" si="46"/>
        <v>1270765.9423219999</v>
      </c>
      <c r="H88" s="57">
        <f>ROUND(D88*5%,0)</f>
        <v>90846</v>
      </c>
      <c r="I88" s="58">
        <f t="shared" si="33"/>
        <v>3284</v>
      </c>
      <c r="J88" s="53">
        <f t="shared" si="41"/>
        <v>49402</v>
      </c>
      <c r="K88" s="60">
        <f>+J88-C88-I88+1</f>
        <v>7673</v>
      </c>
      <c r="L88" s="58">
        <v>0</v>
      </c>
      <c r="M88" s="58"/>
      <c r="N88" s="57">
        <f>+ROUND((G88-H88)*365/K88,0)</f>
        <v>56128</v>
      </c>
      <c r="O88" s="57">
        <f t="shared" si="36"/>
        <v>56128</v>
      </c>
      <c r="P88" s="57">
        <f t="shared" ref="P88:AA88" si="108">+O88</f>
        <v>56128</v>
      </c>
      <c r="Q88" s="57">
        <f t="shared" si="108"/>
        <v>56128</v>
      </c>
      <c r="R88" s="57">
        <f t="shared" si="108"/>
        <v>56128</v>
      </c>
      <c r="S88" s="57">
        <f t="shared" si="108"/>
        <v>56128</v>
      </c>
      <c r="T88" s="57">
        <f t="shared" si="108"/>
        <v>56128</v>
      </c>
      <c r="U88" s="352">
        <f t="shared" si="108"/>
        <v>56128</v>
      </c>
      <c r="V88" s="80">
        <f t="shared" si="108"/>
        <v>56128</v>
      </c>
      <c r="W88" s="80">
        <f t="shared" si="108"/>
        <v>56128</v>
      </c>
      <c r="X88" s="80">
        <f t="shared" si="108"/>
        <v>56128</v>
      </c>
      <c r="Y88" s="80">
        <f t="shared" si="108"/>
        <v>56128</v>
      </c>
      <c r="Z88" s="80">
        <f t="shared" si="108"/>
        <v>56128</v>
      </c>
      <c r="AA88" s="80">
        <f t="shared" si="108"/>
        <v>56128</v>
      </c>
      <c r="AB88" s="80">
        <f t="shared" ref="AB88:AC88" si="109">+AA88</f>
        <v>56128</v>
      </c>
      <c r="AC88" s="80">
        <f t="shared" si="109"/>
        <v>56128</v>
      </c>
      <c r="AD88" s="80">
        <f t="shared" si="44"/>
        <v>56128</v>
      </c>
      <c r="AE88" s="80">
        <f t="shared" si="45"/>
        <v>56128</v>
      </c>
      <c r="AF88" s="59">
        <f t="shared" si="39"/>
        <v>765613.94232199993</v>
      </c>
      <c r="AP88" s="101"/>
      <c r="AQ88" s="101"/>
    </row>
    <row r="89" spans="1:43" ht="15.9" customHeight="1" x14ac:dyDescent="0.3">
      <c r="A89" s="468"/>
      <c r="B89" s="52" t="s">
        <v>108</v>
      </c>
      <c r="C89" s="53">
        <v>38515</v>
      </c>
      <c r="D89" s="54">
        <v>1825</v>
      </c>
      <c r="E89" s="85">
        <v>30</v>
      </c>
      <c r="F89" s="54">
        <v>1825</v>
      </c>
      <c r="G89" s="56">
        <f t="shared" si="46"/>
        <v>0</v>
      </c>
      <c r="H89" s="57">
        <v>0</v>
      </c>
      <c r="I89" s="58">
        <v>0</v>
      </c>
      <c r="J89" s="58">
        <v>0</v>
      </c>
      <c r="K89" s="58">
        <v>0</v>
      </c>
      <c r="L89" s="58">
        <v>0</v>
      </c>
      <c r="M89" s="58"/>
      <c r="N89" s="80">
        <v>0</v>
      </c>
      <c r="O89" s="57">
        <f t="shared" si="36"/>
        <v>0</v>
      </c>
      <c r="P89" s="57">
        <f t="shared" ref="P89:AA89" si="110">+O89</f>
        <v>0</v>
      </c>
      <c r="Q89" s="57">
        <f t="shared" si="110"/>
        <v>0</v>
      </c>
      <c r="R89" s="57">
        <f t="shared" si="110"/>
        <v>0</v>
      </c>
      <c r="S89" s="57">
        <f t="shared" si="110"/>
        <v>0</v>
      </c>
      <c r="T89" s="57">
        <f t="shared" si="110"/>
        <v>0</v>
      </c>
      <c r="U89" s="352">
        <f t="shared" si="110"/>
        <v>0</v>
      </c>
      <c r="V89" s="80">
        <f t="shared" si="110"/>
        <v>0</v>
      </c>
      <c r="W89" s="80">
        <f t="shared" si="110"/>
        <v>0</v>
      </c>
      <c r="X89" s="80">
        <f t="shared" si="110"/>
        <v>0</v>
      </c>
      <c r="Y89" s="80">
        <f t="shared" si="110"/>
        <v>0</v>
      </c>
      <c r="Z89" s="80">
        <f t="shared" si="110"/>
        <v>0</v>
      </c>
      <c r="AA89" s="80">
        <f t="shared" si="110"/>
        <v>0</v>
      </c>
      <c r="AB89" s="80">
        <f t="shared" ref="AB89:AC89" si="111">+AA89</f>
        <v>0</v>
      </c>
      <c r="AC89" s="80">
        <f t="shared" si="111"/>
        <v>0</v>
      </c>
      <c r="AD89" s="80">
        <f t="shared" si="44"/>
        <v>0</v>
      </c>
      <c r="AE89" s="80">
        <f t="shared" si="45"/>
        <v>0</v>
      </c>
      <c r="AF89" s="59">
        <f t="shared" si="39"/>
        <v>0</v>
      </c>
      <c r="AP89" s="101"/>
      <c r="AQ89" s="101"/>
    </row>
    <row r="90" spans="1:43" ht="15.9" customHeight="1" x14ac:dyDescent="0.3">
      <c r="A90" s="468"/>
      <c r="B90" s="52" t="s">
        <v>108</v>
      </c>
      <c r="C90" s="53">
        <v>38539</v>
      </c>
      <c r="D90" s="54">
        <v>5440</v>
      </c>
      <c r="E90" s="85">
        <v>30</v>
      </c>
      <c r="F90" s="54">
        <v>5440</v>
      </c>
      <c r="G90" s="56">
        <f t="shared" si="46"/>
        <v>0</v>
      </c>
      <c r="H90" s="57">
        <v>0</v>
      </c>
      <c r="I90" s="58">
        <v>0</v>
      </c>
      <c r="J90" s="58">
        <v>0</v>
      </c>
      <c r="K90" s="58">
        <v>0</v>
      </c>
      <c r="L90" s="58">
        <v>0</v>
      </c>
      <c r="M90" s="58"/>
      <c r="N90" s="80">
        <v>0</v>
      </c>
      <c r="O90" s="57">
        <f t="shared" ref="O90:O109" si="112">+N90</f>
        <v>0</v>
      </c>
      <c r="P90" s="57">
        <f t="shared" ref="P90:AA90" si="113">+O90</f>
        <v>0</v>
      </c>
      <c r="Q90" s="57">
        <f t="shared" si="113"/>
        <v>0</v>
      </c>
      <c r="R90" s="57">
        <f t="shared" si="113"/>
        <v>0</v>
      </c>
      <c r="S90" s="57">
        <f t="shared" si="113"/>
        <v>0</v>
      </c>
      <c r="T90" s="57">
        <f t="shared" si="113"/>
        <v>0</v>
      </c>
      <c r="U90" s="352">
        <f t="shared" si="113"/>
        <v>0</v>
      </c>
      <c r="V90" s="80">
        <f t="shared" si="113"/>
        <v>0</v>
      </c>
      <c r="W90" s="80">
        <f t="shared" si="113"/>
        <v>0</v>
      </c>
      <c r="X90" s="80">
        <f t="shared" si="113"/>
        <v>0</v>
      </c>
      <c r="Y90" s="80">
        <f t="shared" si="113"/>
        <v>0</v>
      </c>
      <c r="Z90" s="80">
        <f t="shared" si="113"/>
        <v>0</v>
      </c>
      <c r="AA90" s="80">
        <f t="shared" si="113"/>
        <v>0</v>
      </c>
      <c r="AB90" s="80">
        <f t="shared" ref="AB90:AC90" si="114">+AA90</f>
        <v>0</v>
      </c>
      <c r="AC90" s="80">
        <f t="shared" si="114"/>
        <v>0</v>
      </c>
      <c r="AD90" s="80">
        <f t="shared" si="44"/>
        <v>0</v>
      </c>
      <c r="AE90" s="80">
        <f t="shared" si="45"/>
        <v>0</v>
      </c>
      <c r="AF90" s="59">
        <f t="shared" si="39"/>
        <v>0</v>
      </c>
      <c r="AP90" s="101"/>
      <c r="AQ90" s="101"/>
    </row>
    <row r="91" spans="1:43" ht="15.9" customHeight="1" x14ac:dyDescent="0.3">
      <c r="A91" s="468"/>
      <c r="B91" s="52" t="s">
        <v>108</v>
      </c>
      <c r="C91" s="53">
        <v>38919</v>
      </c>
      <c r="D91" s="54">
        <v>39975</v>
      </c>
      <c r="E91" s="85">
        <v>30</v>
      </c>
      <c r="F91" s="54">
        <v>10275</v>
      </c>
      <c r="G91" s="56">
        <f t="shared" si="46"/>
        <v>29700</v>
      </c>
      <c r="H91" s="57">
        <f t="shared" ref="H91:H96" si="115">ROUND(D91*5%,0)</f>
        <v>1999</v>
      </c>
      <c r="I91" s="58">
        <f t="shared" si="33"/>
        <v>2811</v>
      </c>
      <c r="J91" s="53">
        <f>+C91+10957</f>
        <v>49876</v>
      </c>
      <c r="K91" s="60">
        <f t="shared" ref="K91:K96" si="116">+J91-C91-I91+1</f>
        <v>8147</v>
      </c>
      <c r="L91" s="58">
        <v>0</v>
      </c>
      <c r="M91" s="58"/>
      <c r="N91" s="57">
        <f t="shared" ref="N91:N96" si="117">+ROUND((G91-H91)*365/K91,0)</f>
        <v>1241</v>
      </c>
      <c r="O91" s="57">
        <f t="shared" si="112"/>
        <v>1241</v>
      </c>
      <c r="P91" s="57">
        <f t="shared" ref="P91:AA91" si="118">+O91</f>
        <v>1241</v>
      </c>
      <c r="Q91" s="57">
        <f t="shared" si="118"/>
        <v>1241</v>
      </c>
      <c r="R91" s="57">
        <f t="shared" si="118"/>
        <v>1241</v>
      </c>
      <c r="S91" s="57">
        <f t="shared" si="118"/>
        <v>1241</v>
      </c>
      <c r="T91" s="57">
        <f t="shared" si="118"/>
        <v>1241</v>
      </c>
      <c r="U91" s="352">
        <f t="shared" si="118"/>
        <v>1241</v>
      </c>
      <c r="V91" s="80">
        <f t="shared" si="118"/>
        <v>1241</v>
      </c>
      <c r="W91" s="80">
        <f t="shared" si="118"/>
        <v>1241</v>
      </c>
      <c r="X91" s="80">
        <f t="shared" si="118"/>
        <v>1241</v>
      </c>
      <c r="Y91" s="80">
        <f t="shared" si="118"/>
        <v>1241</v>
      </c>
      <c r="Z91" s="80">
        <f t="shared" si="118"/>
        <v>1241</v>
      </c>
      <c r="AA91" s="80">
        <f t="shared" si="118"/>
        <v>1241</v>
      </c>
      <c r="AB91" s="80">
        <f t="shared" ref="AB91:AC91" si="119">+AA91</f>
        <v>1241</v>
      </c>
      <c r="AC91" s="80">
        <f t="shared" si="119"/>
        <v>1241</v>
      </c>
      <c r="AD91" s="80">
        <f t="shared" si="44"/>
        <v>1241</v>
      </c>
      <c r="AE91" s="80">
        <f t="shared" si="45"/>
        <v>1241</v>
      </c>
      <c r="AF91" s="59">
        <f t="shared" si="39"/>
        <v>18531</v>
      </c>
      <c r="AP91" s="101"/>
      <c r="AQ91" s="101"/>
    </row>
    <row r="92" spans="1:43" ht="15.9" customHeight="1" x14ac:dyDescent="0.3">
      <c r="A92" s="468"/>
      <c r="B92" s="52" t="s">
        <v>109</v>
      </c>
      <c r="C92" s="53">
        <v>38446</v>
      </c>
      <c r="D92" s="54">
        <v>3553660.23</v>
      </c>
      <c r="E92" s="85">
        <v>30</v>
      </c>
      <c r="F92" s="54">
        <v>1067253.955046</v>
      </c>
      <c r="G92" s="56">
        <f t="shared" si="46"/>
        <v>2486406.274954</v>
      </c>
      <c r="H92" s="57">
        <f t="shared" si="115"/>
        <v>177683</v>
      </c>
      <c r="I92" s="58">
        <f t="shared" si="33"/>
        <v>3284</v>
      </c>
      <c r="J92" s="53">
        <f t="shared" si="41"/>
        <v>49402</v>
      </c>
      <c r="K92" s="60">
        <f t="shared" si="116"/>
        <v>7673</v>
      </c>
      <c r="L92" s="58">
        <v>0</v>
      </c>
      <c r="M92" s="58"/>
      <c r="N92" s="57">
        <f t="shared" si="117"/>
        <v>109825</v>
      </c>
      <c r="O92" s="57">
        <f t="shared" si="112"/>
        <v>109825</v>
      </c>
      <c r="P92" s="57">
        <f t="shared" ref="P92:AA92" si="120">+O92</f>
        <v>109825</v>
      </c>
      <c r="Q92" s="57">
        <f t="shared" si="120"/>
        <v>109825</v>
      </c>
      <c r="R92" s="57">
        <f t="shared" si="120"/>
        <v>109825</v>
      </c>
      <c r="S92" s="57">
        <f t="shared" si="120"/>
        <v>109825</v>
      </c>
      <c r="T92" s="57">
        <f t="shared" si="120"/>
        <v>109825</v>
      </c>
      <c r="U92" s="352">
        <f t="shared" si="120"/>
        <v>109825</v>
      </c>
      <c r="V92" s="80">
        <f t="shared" si="120"/>
        <v>109825</v>
      </c>
      <c r="W92" s="80">
        <f t="shared" si="120"/>
        <v>109825</v>
      </c>
      <c r="X92" s="80">
        <f t="shared" si="120"/>
        <v>109825</v>
      </c>
      <c r="Y92" s="80">
        <f t="shared" si="120"/>
        <v>109825</v>
      </c>
      <c r="Z92" s="80">
        <f t="shared" si="120"/>
        <v>109825</v>
      </c>
      <c r="AA92" s="80">
        <f t="shared" si="120"/>
        <v>109825</v>
      </c>
      <c r="AB92" s="80">
        <f t="shared" ref="AB92:AC92" si="121">+AA92</f>
        <v>109825</v>
      </c>
      <c r="AC92" s="80">
        <f t="shared" si="121"/>
        <v>109825</v>
      </c>
      <c r="AD92" s="80">
        <f t="shared" si="44"/>
        <v>109825</v>
      </c>
      <c r="AE92" s="80">
        <f t="shared" si="45"/>
        <v>109825</v>
      </c>
      <c r="AF92" s="59">
        <f t="shared" si="39"/>
        <v>1497981.274954</v>
      </c>
      <c r="AP92" s="101"/>
      <c r="AQ92" s="101"/>
    </row>
    <row r="93" spans="1:43" ht="15.9" customHeight="1" x14ac:dyDescent="0.3">
      <c r="A93" s="468"/>
      <c r="B93" s="52" t="s">
        <v>110</v>
      </c>
      <c r="C93" s="53">
        <v>38446</v>
      </c>
      <c r="D93" s="54">
        <v>403261</v>
      </c>
      <c r="E93" s="85">
        <v>30</v>
      </c>
      <c r="F93" s="54">
        <v>121109.80220000001</v>
      </c>
      <c r="G93" s="56">
        <f t="shared" si="46"/>
        <v>282151.19779999997</v>
      </c>
      <c r="H93" s="57">
        <f t="shared" si="115"/>
        <v>20163</v>
      </c>
      <c r="I93" s="58">
        <f t="shared" si="33"/>
        <v>3284</v>
      </c>
      <c r="J93" s="53">
        <f t="shared" si="41"/>
        <v>49402</v>
      </c>
      <c r="K93" s="60">
        <f t="shared" si="116"/>
        <v>7673</v>
      </c>
      <c r="L93" s="58">
        <v>0</v>
      </c>
      <c r="M93" s="58"/>
      <c r="N93" s="57">
        <f t="shared" si="117"/>
        <v>12463</v>
      </c>
      <c r="O93" s="57">
        <f t="shared" si="112"/>
        <v>12463</v>
      </c>
      <c r="P93" s="57">
        <f t="shared" ref="P93:AA93" si="122">+O93</f>
        <v>12463</v>
      </c>
      <c r="Q93" s="57">
        <f t="shared" si="122"/>
        <v>12463</v>
      </c>
      <c r="R93" s="57">
        <f t="shared" si="122"/>
        <v>12463</v>
      </c>
      <c r="S93" s="57">
        <f t="shared" si="122"/>
        <v>12463</v>
      </c>
      <c r="T93" s="57">
        <f t="shared" si="122"/>
        <v>12463</v>
      </c>
      <c r="U93" s="352">
        <f t="shared" si="122"/>
        <v>12463</v>
      </c>
      <c r="V93" s="80">
        <f t="shared" si="122"/>
        <v>12463</v>
      </c>
      <c r="W93" s="80">
        <f t="shared" si="122"/>
        <v>12463</v>
      </c>
      <c r="X93" s="80">
        <f t="shared" si="122"/>
        <v>12463</v>
      </c>
      <c r="Y93" s="80">
        <f t="shared" si="122"/>
        <v>12463</v>
      </c>
      <c r="Z93" s="80">
        <f t="shared" si="122"/>
        <v>12463</v>
      </c>
      <c r="AA93" s="80">
        <f t="shared" si="122"/>
        <v>12463</v>
      </c>
      <c r="AB93" s="80">
        <f t="shared" ref="AB93:AC93" si="123">+AA93</f>
        <v>12463</v>
      </c>
      <c r="AC93" s="80">
        <f t="shared" si="123"/>
        <v>12463</v>
      </c>
      <c r="AD93" s="80">
        <f t="shared" si="44"/>
        <v>12463</v>
      </c>
      <c r="AE93" s="80">
        <f t="shared" si="45"/>
        <v>12463</v>
      </c>
      <c r="AF93" s="59">
        <f t="shared" si="39"/>
        <v>169984.19779999997</v>
      </c>
      <c r="AP93" s="101"/>
      <c r="AQ93" s="101"/>
    </row>
    <row r="94" spans="1:43" ht="15.9" customHeight="1" x14ac:dyDescent="0.3">
      <c r="A94" s="468"/>
      <c r="B94" s="52" t="s">
        <v>111</v>
      </c>
      <c r="C94" s="53">
        <v>38446</v>
      </c>
      <c r="D94" s="54">
        <v>7186274.1299999999</v>
      </c>
      <c r="E94" s="85">
        <v>30</v>
      </c>
      <c r="F94" s="54">
        <v>2158222.567826</v>
      </c>
      <c r="G94" s="56">
        <f t="shared" si="46"/>
        <v>5028051.5621739998</v>
      </c>
      <c r="H94" s="57">
        <f t="shared" si="115"/>
        <v>359314</v>
      </c>
      <c r="I94" s="58">
        <f t="shared" si="33"/>
        <v>3284</v>
      </c>
      <c r="J94" s="53">
        <f t="shared" si="41"/>
        <v>49402</v>
      </c>
      <c r="K94" s="60">
        <f t="shared" si="116"/>
        <v>7673</v>
      </c>
      <c r="L94" s="58">
        <v>0</v>
      </c>
      <c r="M94" s="58"/>
      <c r="N94" s="57">
        <f t="shared" si="117"/>
        <v>222089</v>
      </c>
      <c r="O94" s="57">
        <f t="shared" si="112"/>
        <v>222089</v>
      </c>
      <c r="P94" s="57">
        <f t="shared" ref="P94:AA94" si="124">+O94</f>
        <v>222089</v>
      </c>
      <c r="Q94" s="57">
        <f t="shared" si="124"/>
        <v>222089</v>
      </c>
      <c r="R94" s="57">
        <f t="shared" si="124"/>
        <v>222089</v>
      </c>
      <c r="S94" s="57">
        <f t="shared" si="124"/>
        <v>222089</v>
      </c>
      <c r="T94" s="57">
        <f t="shared" si="124"/>
        <v>222089</v>
      </c>
      <c r="U94" s="352">
        <f t="shared" si="124"/>
        <v>222089</v>
      </c>
      <c r="V94" s="80">
        <f t="shared" si="124"/>
        <v>222089</v>
      </c>
      <c r="W94" s="80">
        <f t="shared" si="124"/>
        <v>222089</v>
      </c>
      <c r="X94" s="80">
        <f t="shared" si="124"/>
        <v>222089</v>
      </c>
      <c r="Y94" s="80">
        <f t="shared" si="124"/>
        <v>222089</v>
      </c>
      <c r="Z94" s="80">
        <f t="shared" si="124"/>
        <v>222089</v>
      </c>
      <c r="AA94" s="80">
        <f t="shared" si="124"/>
        <v>222089</v>
      </c>
      <c r="AB94" s="80">
        <f t="shared" ref="AB94:AC94" si="125">+AA94</f>
        <v>222089</v>
      </c>
      <c r="AC94" s="80">
        <f t="shared" si="125"/>
        <v>222089</v>
      </c>
      <c r="AD94" s="80">
        <f t="shared" si="44"/>
        <v>222089</v>
      </c>
      <c r="AE94" s="80">
        <f t="shared" si="45"/>
        <v>222089</v>
      </c>
      <c r="AF94" s="59">
        <f t="shared" si="39"/>
        <v>3029250.5621739998</v>
      </c>
      <c r="AP94" s="101"/>
      <c r="AQ94" s="101"/>
    </row>
    <row r="95" spans="1:43" ht="15.9" customHeight="1" x14ac:dyDescent="0.3">
      <c r="A95" s="468"/>
      <c r="B95" s="52" t="s">
        <v>112</v>
      </c>
      <c r="C95" s="53">
        <v>38446</v>
      </c>
      <c r="D95" s="54">
        <v>2542031.5499999998</v>
      </c>
      <c r="E95" s="85">
        <v>30</v>
      </c>
      <c r="F95" s="54">
        <v>763437.27130999998</v>
      </c>
      <c r="G95" s="56">
        <f t="shared" si="46"/>
        <v>1778594.2786899998</v>
      </c>
      <c r="H95" s="57">
        <f t="shared" si="115"/>
        <v>127102</v>
      </c>
      <c r="I95" s="58">
        <f t="shared" si="33"/>
        <v>3284</v>
      </c>
      <c r="J95" s="53">
        <f t="shared" si="41"/>
        <v>49402</v>
      </c>
      <c r="K95" s="60">
        <f t="shared" si="116"/>
        <v>7673</v>
      </c>
      <c r="L95" s="58">
        <v>0</v>
      </c>
      <c r="M95" s="58"/>
      <c r="N95" s="57">
        <f t="shared" si="117"/>
        <v>78560</v>
      </c>
      <c r="O95" s="57">
        <f t="shared" si="112"/>
        <v>78560</v>
      </c>
      <c r="P95" s="57">
        <f t="shared" ref="P95:AA95" si="126">+O95</f>
        <v>78560</v>
      </c>
      <c r="Q95" s="57">
        <f t="shared" si="126"/>
        <v>78560</v>
      </c>
      <c r="R95" s="57">
        <f t="shared" si="126"/>
        <v>78560</v>
      </c>
      <c r="S95" s="57">
        <f t="shared" si="126"/>
        <v>78560</v>
      </c>
      <c r="T95" s="57">
        <f t="shared" si="126"/>
        <v>78560</v>
      </c>
      <c r="U95" s="352">
        <f t="shared" si="126"/>
        <v>78560</v>
      </c>
      <c r="V95" s="80">
        <f t="shared" si="126"/>
        <v>78560</v>
      </c>
      <c r="W95" s="80">
        <f t="shared" si="126"/>
        <v>78560</v>
      </c>
      <c r="X95" s="80">
        <f t="shared" si="126"/>
        <v>78560</v>
      </c>
      <c r="Y95" s="80">
        <f t="shared" si="126"/>
        <v>78560</v>
      </c>
      <c r="Z95" s="80">
        <f t="shared" si="126"/>
        <v>78560</v>
      </c>
      <c r="AA95" s="80">
        <f t="shared" si="126"/>
        <v>78560</v>
      </c>
      <c r="AB95" s="80">
        <f t="shared" ref="AB95:AC95" si="127">+AA95</f>
        <v>78560</v>
      </c>
      <c r="AC95" s="80">
        <f t="shared" si="127"/>
        <v>78560</v>
      </c>
      <c r="AD95" s="80">
        <f t="shared" si="44"/>
        <v>78560</v>
      </c>
      <c r="AE95" s="80">
        <f t="shared" si="45"/>
        <v>78560</v>
      </c>
      <c r="AF95" s="59">
        <f t="shared" si="39"/>
        <v>1071554.2786899998</v>
      </c>
      <c r="AP95" s="101"/>
      <c r="AQ95" s="101"/>
    </row>
    <row r="96" spans="1:43" ht="15.9" customHeight="1" x14ac:dyDescent="0.3">
      <c r="A96" s="468"/>
      <c r="B96" s="52" t="s">
        <v>113</v>
      </c>
      <c r="C96" s="53">
        <v>38446</v>
      </c>
      <c r="D96" s="86">
        <f>22444-4624</f>
        <v>17820</v>
      </c>
      <c r="E96" s="85">
        <v>30</v>
      </c>
      <c r="F96" s="54">
        <f>10285.244-4624</f>
        <v>5661.2440000000006</v>
      </c>
      <c r="G96" s="56">
        <f t="shared" si="46"/>
        <v>12158.755999999999</v>
      </c>
      <c r="H96" s="57">
        <f t="shared" si="115"/>
        <v>891</v>
      </c>
      <c r="I96" s="58">
        <f t="shared" si="33"/>
        <v>3284</v>
      </c>
      <c r="J96" s="53">
        <f t="shared" si="41"/>
        <v>49402</v>
      </c>
      <c r="K96" s="60">
        <f t="shared" si="116"/>
        <v>7673</v>
      </c>
      <c r="L96" s="58">
        <v>0</v>
      </c>
      <c r="M96" s="58"/>
      <c r="N96" s="57">
        <f t="shared" si="117"/>
        <v>536</v>
      </c>
      <c r="O96" s="57">
        <f t="shared" si="112"/>
        <v>536</v>
      </c>
      <c r="P96" s="57">
        <f t="shared" ref="P96:AA96" si="128">+O96</f>
        <v>536</v>
      </c>
      <c r="Q96" s="57">
        <f t="shared" si="128"/>
        <v>536</v>
      </c>
      <c r="R96" s="57">
        <f t="shared" si="128"/>
        <v>536</v>
      </c>
      <c r="S96" s="57">
        <f t="shared" si="128"/>
        <v>536</v>
      </c>
      <c r="T96" s="57">
        <f t="shared" si="128"/>
        <v>536</v>
      </c>
      <c r="U96" s="352">
        <f t="shared" si="128"/>
        <v>536</v>
      </c>
      <c r="V96" s="80">
        <f t="shared" si="128"/>
        <v>536</v>
      </c>
      <c r="W96" s="80">
        <f t="shared" si="128"/>
        <v>536</v>
      </c>
      <c r="X96" s="80">
        <f t="shared" si="128"/>
        <v>536</v>
      </c>
      <c r="Y96" s="80">
        <f t="shared" si="128"/>
        <v>536</v>
      </c>
      <c r="Z96" s="80">
        <f t="shared" si="128"/>
        <v>536</v>
      </c>
      <c r="AA96" s="80">
        <f t="shared" si="128"/>
        <v>536</v>
      </c>
      <c r="AB96" s="80">
        <f t="shared" ref="AB96:AC96" si="129">+AA96</f>
        <v>536</v>
      </c>
      <c r="AC96" s="80">
        <f t="shared" si="129"/>
        <v>536</v>
      </c>
      <c r="AD96" s="80">
        <f t="shared" si="44"/>
        <v>536</v>
      </c>
      <c r="AE96" s="80">
        <f t="shared" si="45"/>
        <v>536</v>
      </c>
      <c r="AF96" s="59">
        <f t="shared" si="39"/>
        <v>7334.7559999999994</v>
      </c>
      <c r="AP96" s="101"/>
      <c r="AQ96" s="101"/>
    </row>
    <row r="97" spans="1:43" ht="15.9" customHeight="1" x14ac:dyDescent="0.3">
      <c r="A97" s="468"/>
      <c r="B97" s="52" t="s">
        <v>113</v>
      </c>
      <c r="C97" s="53">
        <v>38575</v>
      </c>
      <c r="D97" s="86">
        <v>4624</v>
      </c>
      <c r="E97" s="85">
        <v>30</v>
      </c>
      <c r="F97" s="54">
        <v>4624</v>
      </c>
      <c r="G97" s="56">
        <f t="shared" si="46"/>
        <v>0</v>
      </c>
      <c r="H97" s="57">
        <v>0</v>
      </c>
      <c r="I97" s="58">
        <v>0</v>
      </c>
      <c r="J97" s="58">
        <v>0</v>
      </c>
      <c r="K97" s="58">
        <v>0</v>
      </c>
      <c r="L97" s="58">
        <v>0</v>
      </c>
      <c r="M97" s="58"/>
      <c r="N97" s="80">
        <v>0</v>
      </c>
      <c r="O97" s="57">
        <f t="shared" si="112"/>
        <v>0</v>
      </c>
      <c r="P97" s="57">
        <f t="shared" ref="P97:AA97" si="130">+O97</f>
        <v>0</v>
      </c>
      <c r="Q97" s="57">
        <f t="shared" si="130"/>
        <v>0</v>
      </c>
      <c r="R97" s="57">
        <f t="shared" si="130"/>
        <v>0</v>
      </c>
      <c r="S97" s="57">
        <f t="shared" si="130"/>
        <v>0</v>
      </c>
      <c r="T97" s="57">
        <f t="shared" si="130"/>
        <v>0</v>
      </c>
      <c r="U97" s="352">
        <f t="shared" si="130"/>
        <v>0</v>
      </c>
      <c r="V97" s="80">
        <f t="shared" si="130"/>
        <v>0</v>
      </c>
      <c r="W97" s="80">
        <f t="shared" si="130"/>
        <v>0</v>
      </c>
      <c r="X97" s="80">
        <f t="shared" si="130"/>
        <v>0</v>
      </c>
      <c r="Y97" s="80">
        <f t="shared" si="130"/>
        <v>0</v>
      </c>
      <c r="Z97" s="80">
        <f t="shared" si="130"/>
        <v>0</v>
      </c>
      <c r="AA97" s="80">
        <f t="shared" si="130"/>
        <v>0</v>
      </c>
      <c r="AB97" s="80">
        <f t="shared" ref="AB97:AC97" si="131">+AA97</f>
        <v>0</v>
      </c>
      <c r="AC97" s="80">
        <f t="shared" si="131"/>
        <v>0</v>
      </c>
      <c r="AD97" s="80">
        <f t="shared" si="44"/>
        <v>0</v>
      </c>
      <c r="AE97" s="80">
        <f t="shared" si="45"/>
        <v>0</v>
      </c>
      <c r="AF97" s="59">
        <f t="shared" si="39"/>
        <v>0</v>
      </c>
      <c r="AP97" s="101"/>
      <c r="AQ97" s="101"/>
    </row>
    <row r="98" spans="1:43" ht="15.9" customHeight="1" x14ac:dyDescent="0.3">
      <c r="A98" s="468"/>
      <c r="B98" s="52" t="s">
        <v>114</v>
      </c>
      <c r="C98" s="53">
        <v>38501</v>
      </c>
      <c r="D98" s="54">
        <v>119695</v>
      </c>
      <c r="E98" s="85">
        <v>30</v>
      </c>
      <c r="F98" s="54">
        <v>35345.599000000002</v>
      </c>
      <c r="G98" s="56">
        <f t="shared" si="46"/>
        <v>84349.400999999998</v>
      </c>
      <c r="H98" s="57">
        <f t="shared" ref="H98:H109" si="132">ROUND(D98*5%,0)</f>
        <v>5985</v>
      </c>
      <c r="I98" s="58">
        <f t="shared" si="33"/>
        <v>3229</v>
      </c>
      <c r="J98" s="53">
        <f t="shared" si="41"/>
        <v>49457</v>
      </c>
      <c r="K98" s="60">
        <f t="shared" ref="K98:K109" si="133">+J98-C98-I98+1</f>
        <v>7728</v>
      </c>
      <c r="L98" s="58">
        <v>0</v>
      </c>
      <c r="M98" s="58"/>
      <c r="N98" s="57">
        <f t="shared" ref="N98:N109" si="134">+ROUND((G98-H98)*365/K98,0)</f>
        <v>3701</v>
      </c>
      <c r="O98" s="57">
        <f t="shared" si="112"/>
        <v>3701</v>
      </c>
      <c r="P98" s="57">
        <f t="shared" ref="P98:AA98" si="135">+O98</f>
        <v>3701</v>
      </c>
      <c r="Q98" s="57">
        <f t="shared" si="135"/>
        <v>3701</v>
      </c>
      <c r="R98" s="57">
        <f t="shared" si="135"/>
        <v>3701</v>
      </c>
      <c r="S98" s="57">
        <f t="shared" si="135"/>
        <v>3701</v>
      </c>
      <c r="T98" s="57">
        <f t="shared" si="135"/>
        <v>3701</v>
      </c>
      <c r="U98" s="352">
        <f t="shared" si="135"/>
        <v>3701</v>
      </c>
      <c r="V98" s="80">
        <f t="shared" si="135"/>
        <v>3701</v>
      </c>
      <c r="W98" s="80">
        <f t="shared" si="135"/>
        <v>3701</v>
      </c>
      <c r="X98" s="80">
        <f t="shared" si="135"/>
        <v>3701</v>
      </c>
      <c r="Y98" s="80">
        <f t="shared" si="135"/>
        <v>3701</v>
      </c>
      <c r="Z98" s="80">
        <f t="shared" si="135"/>
        <v>3701</v>
      </c>
      <c r="AA98" s="80">
        <f t="shared" si="135"/>
        <v>3701</v>
      </c>
      <c r="AB98" s="80">
        <f t="shared" ref="AB98:AC98" si="136">+AA98</f>
        <v>3701</v>
      </c>
      <c r="AC98" s="80">
        <f t="shared" si="136"/>
        <v>3701</v>
      </c>
      <c r="AD98" s="80">
        <f t="shared" si="44"/>
        <v>3701</v>
      </c>
      <c r="AE98" s="80">
        <f t="shared" si="45"/>
        <v>3701</v>
      </c>
      <c r="AF98" s="59">
        <f t="shared" si="39"/>
        <v>51040.400999999998</v>
      </c>
      <c r="AP98" s="101"/>
      <c r="AQ98" s="101"/>
    </row>
    <row r="99" spans="1:43" ht="15.9" customHeight="1" x14ac:dyDescent="0.3">
      <c r="A99" s="468"/>
      <c r="B99" s="52" t="s">
        <v>115</v>
      </c>
      <c r="C99" s="53">
        <v>38777</v>
      </c>
      <c r="D99" s="54">
        <v>339484.74</v>
      </c>
      <c r="E99" s="85">
        <v>30</v>
      </c>
      <c r="F99" s="54">
        <v>91673.970948000002</v>
      </c>
      <c r="G99" s="56">
        <f t="shared" si="46"/>
        <v>247810.76905199999</v>
      </c>
      <c r="H99" s="57">
        <f t="shared" si="132"/>
        <v>16974</v>
      </c>
      <c r="I99" s="58">
        <f t="shared" si="33"/>
        <v>2953</v>
      </c>
      <c r="J99" s="53">
        <f t="shared" ref="J99:J104" si="137">+C99+10957</f>
        <v>49734</v>
      </c>
      <c r="K99" s="60">
        <f t="shared" si="133"/>
        <v>8005</v>
      </c>
      <c r="L99" s="58">
        <v>0</v>
      </c>
      <c r="M99" s="58"/>
      <c r="N99" s="57">
        <f t="shared" si="134"/>
        <v>10525</v>
      </c>
      <c r="O99" s="57">
        <f t="shared" si="112"/>
        <v>10525</v>
      </c>
      <c r="P99" s="57">
        <f t="shared" ref="P99:AA99" si="138">+O99</f>
        <v>10525</v>
      </c>
      <c r="Q99" s="57">
        <f t="shared" si="138"/>
        <v>10525</v>
      </c>
      <c r="R99" s="57">
        <f t="shared" si="138"/>
        <v>10525</v>
      </c>
      <c r="S99" s="57">
        <f t="shared" si="138"/>
        <v>10525</v>
      </c>
      <c r="T99" s="57">
        <f t="shared" si="138"/>
        <v>10525</v>
      </c>
      <c r="U99" s="352">
        <f t="shared" si="138"/>
        <v>10525</v>
      </c>
      <c r="V99" s="80">
        <f t="shared" si="138"/>
        <v>10525</v>
      </c>
      <c r="W99" s="80">
        <f t="shared" si="138"/>
        <v>10525</v>
      </c>
      <c r="X99" s="80">
        <f t="shared" si="138"/>
        <v>10525</v>
      </c>
      <c r="Y99" s="80">
        <f t="shared" si="138"/>
        <v>10525</v>
      </c>
      <c r="Z99" s="80">
        <f t="shared" si="138"/>
        <v>10525</v>
      </c>
      <c r="AA99" s="80">
        <f t="shared" si="138"/>
        <v>10525</v>
      </c>
      <c r="AB99" s="80">
        <f t="shared" ref="AB99:AC99" si="139">+AA99</f>
        <v>10525</v>
      </c>
      <c r="AC99" s="80">
        <f t="shared" si="139"/>
        <v>10525</v>
      </c>
      <c r="AD99" s="80">
        <f t="shared" si="44"/>
        <v>10525</v>
      </c>
      <c r="AE99" s="80">
        <f t="shared" si="45"/>
        <v>10525</v>
      </c>
      <c r="AF99" s="59">
        <f t="shared" si="39"/>
        <v>153085.76905199999</v>
      </c>
      <c r="AP99" s="101"/>
      <c r="AQ99" s="101"/>
    </row>
    <row r="100" spans="1:43" ht="15.9" customHeight="1" x14ac:dyDescent="0.3">
      <c r="A100" s="468"/>
      <c r="B100" s="52" t="s">
        <v>116</v>
      </c>
      <c r="C100" s="53">
        <v>38837</v>
      </c>
      <c r="D100" s="54">
        <v>353299</v>
      </c>
      <c r="E100" s="85">
        <v>30</v>
      </c>
      <c r="F100" s="54">
        <v>93463.389800000004</v>
      </c>
      <c r="G100" s="56">
        <f t="shared" si="46"/>
        <v>259835.6102</v>
      </c>
      <c r="H100" s="57">
        <f t="shared" si="132"/>
        <v>17665</v>
      </c>
      <c r="I100" s="58">
        <f t="shared" si="33"/>
        <v>2893</v>
      </c>
      <c r="J100" s="53">
        <f t="shared" si="137"/>
        <v>49794</v>
      </c>
      <c r="K100" s="60">
        <f t="shared" si="133"/>
        <v>8065</v>
      </c>
      <c r="L100" s="58">
        <v>0</v>
      </c>
      <c r="M100" s="58"/>
      <c r="N100" s="57">
        <f t="shared" si="134"/>
        <v>10960</v>
      </c>
      <c r="O100" s="57">
        <f t="shared" si="112"/>
        <v>10960</v>
      </c>
      <c r="P100" s="57">
        <f t="shared" ref="P100:AA100" si="140">+O100</f>
        <v>10960</v>
      </c>
      <c r="Q100" s="57">
        <f t="shared" si="140"/>
        <v>10960</v>
      </c>
      <c r="R100" s="57">
        <f t="shared" si="140"/>
        <v>10960</v>
      </c>
      <c r="S100" s="57">
        <f t="shared" si="140"/>
        <v>10960</v>
      </c>
      <c r="T100" s="57">
        <f t="shared" si="140"/>
        <v>10960</v>
      </c>
      <c r="U100" s="352">
        <f t="shared" si="140"/>
        <v>10960</v>
      </c>
      <c r="V100" s="80">
        <f t="shared" si="140"/>
        <v>10960</v>
      </c>
      <c r="W100" s="80">
        <f t="shared" si="140"/>
        <v>10960</v>
      </c>
      <c r="X100" s="80">
        <f t="shared" si="140"/>
        <v>10960</v>
      </c>
      <c r="Y100" s="80">
        <f t="shared" si="140"/>
        <v>10960</v>
      </c>
      <c r="Z100" s="80">
        <f t="shared" si="140"/>
        <v>10960</v>
      </c>
      <c r="AA100" s="80">
        <f t="shared" si="140"/>
        <v>10960</v>
      </c>
      <c r="AB100" s="80">
        <f t="shared" ref="AB100:AC100" si="141">+AA100</f>
        <v>10960</v>
      </c>
      <c r="AC100" s="80">
        <f t="shared" si="141"/>
        <v>10960</v>
      </c>
      <c r="AD100" s="80">
        <f t="shared" si="44"/>
        <v>10960</v>
      </c>
      <c r="AE100" s="80">
        <f t="shared" si="45"/>
        <v>10960</v>
      </c>
      <c r="AF100" s="59">
        <f t="shared" si="39"/>
        <v>161195.6102</v>
      </c>
      <c r="AP100" s="101"/>
      <c r="AQ100" s="101"/>
    </row>
    <row r="101" spans="1:43" ht="15.9" customHeight="1" x14ac:dyDescent="0.3">
      <c r="A101" s="468"/>
      <c r="B101" s="52" t="s">
        <v>117</v>
      </c>
      <c r="C101" s="53">
        <v>38913</v>
      </c>
      <c r="D101" s="54">
        <v>691386</v>
      </c>
      <c r="E101" s="85">
        <v>30</v>
      </c>
      <c r="F101" s="54">
        <v>178094.46719999998</v>
      </c>
      <c r="G101" s="56">
        <f t="shared" si="46"/>
        <v>513291.53280000004</v>
      </c>
      <c r="H101" s="57">
        <f t="shared" si="132"/>
        <v>34569</v>
      </c>
      <c r="I101" s="58">
        <f t="shared" si="33"/>
        <v>2817</v>
      </c>
      <c r="J101" s="53">
        <f t="shared" si="137"/>
        <v>49870</v>
      </c>
      <c r="K101" s="60">
        <f t="shared" si="133"/>
        <v>8141</v>
      </c>
      <c r="L101" s="58">
        <v>0</v>
      </c>
      <c r="M101" s="58"/>
      <c r="N101" s="57">
        <f t="shared" si="134"/>
        <v>21463</v>
      </c>
      <c r="O101" s="57">
        <f t="shared" si="112"/>
        <v>21463</v>
      </c>
      <c r="P101" s="57">
        <f t="shared" ref="P101:AA101" si="142">+O101</f>
        <v>21463</v>
      </c>
      <c r="Q101" s="57">
        <f t="shared" si="142"/>
        <v>21463</v>
      </c>
      <c r="R101" s="57">
        <f t="shared" si="142"/>
        <v>21463</v>
      </c>
      <c r="S101" s="57">
        <f t="shared" si="142"/>
        <v>21463</v>
      </c>
      <c r="T101" s="57">
        <f t="shared" si="142"/>
        <v>21463</v>
      </c>
      <c r="U101" s="352">
        <f t="shared" si="142"/>
        <v>21463</v>
      </c>
      <c r="V101" s="80">
        <f t="shared" si="142"/>
        <v>21463</v>
      </c>
      <c r="W101" s="80">
        <f t="shared" si="142"/>
        <v>21463</v>
      </c>
      <c r="X101" s="80">
        <f t="shared" si="142"/>
        <v>21463</v>
      </c>
      <c r="Y101" s="80">
        <f t="shared" si="142"/>
        <v>21463</v>
      </c>
      <c r="Z101" s="80">
        <f t="shared" si="142"/>
        <v>21463</v>
      </c>
      <c r="AA101" s="80">
        <f t="shared" si="142"/>
        <v>21463</v>
      </c>
      <c r="AB101" s="80">
        <f t="shared" ref="AB101:AC101" si="143">+AA101</f>
        <v>21463</v>
      </c>
      <c r="AC101" s="80">
        <f t="shared" si="143"/>
        <v>21463</v>
      </c>
      <c r="AD101" s="80">
        <f t="shared" si="44"/>
        <v>21463</v>
      </c>
      <c r="AE101" s="80">
        <f t="shared" si="45"/>
        <v>21463</v>
      </c>
      <c r="AF101" s="59">
        <f t="shared" si="39"/>
        <v>320124.53280000004</v>
      </c>
      <c r="AP101" s="101"/>
      <c r="AQ101" s="101"/>
    </row>
    <row r="102" spans="1:43" ht="15.9" customHeight="1" x14ac:dyDescent="0.3">
      <c r="A102" s="468"/>
      <c r="B102" s="52" t="s">
        <v>118</v>
      </c>
      <c r="C102" s="53">
        <v>38827</v>
      </c>
      <c r="D102" s="54">
        <v>826543.25</v>
      </c>
      <c r="E102" s="85">
        <v>30</v>
      </c>
      <c r="F102" s="54">
        <v>219417</v>
      </c>
      <c r="G102" s="56">
        <f>D102-F102</f>
        <v>607126.25</v>
      </c>
      <c r="H102" s="57">
        <f t="shared" si="132"/>
        <v>41327</v>
      </c>
      <c r="I102" s="58">
        <f t="shared" si="33"/>
        <v>2903</v>
      </c>
      <c r="J102" s="53">
        <f t="shared" si="137"/>
        <v>49784</v>
      </c>
      <c r="K102" s="60">
        <f t="shared" si="133"/>
        <v>8055</v>
      </c>
      <c r="L102" s="58">
        <v>0</v>
      </c>
      <c r="M102" s="58"/>
      <c r="N102" s="57">
        <f t="shared" si="134"/>
        <v>25638</v>
      </c>
      <c r="O102" s="57">
        <f t="shared" si="112"/>
        <v>25638</v>
      </c>
      <c r="P102" s="57">
        <f t="shared" ref="P102:AA102" si="144">+O102</f>
        <v>25638</v>
      </c>
      <c r="Q102" s="57">
        <f t="shared" si="144"/>
        <v>25638</v>
      </c>
      <c r="R102" s="57">
        <f t="shared" si="144"/>
        <v>25638</v>
      </c>
      <c r="S102" s="57">
        <f t="shared" si="144"/>
        <v>25638</v>
      </c>
      <c r="T102" s="57">
        <f t="shared" si="144"/>
        <v>25638</v>
      </c>
      <c r="U102" s="352">
        <f t="shared" si="144"/>
        <v>25638</v>
      </c>
      <c r="V102" s="80">
        <f t="shared" si="144"/>
        <v>25638</v>
      </c>
      <c r="W102" s="80">
        <f t="shared" si="144"/>
        <v>25638</v>
      </c>
      <c r="X102" s="80">
        <f t="shared" si="144"/>
        <v>25638</v>
      </c>
      <c r="Y102" s="80">
        <f t="shared" si="144"/>
        <v>25638</v>
      </c>
      <c r="Z102" s="80">
        <f t="shared" si="144"/>
        <v>25638</v>
      </c>
      <c r="AA102" s="80">
        <f t="shared" si="144"/>
        <v>25638</v>
      </c>
      <c r="AB102" s="80">
        <f t="shared" ref="AB102:AC102" si="145">+AA102</f>
        <v>25638</v>
      </c>
      <c r="AC102" s="80">
        <f t="shared" si="145"/>
        <v>25638</v>
      </c>
      <c r="AD102" s="80">
        <f t="shared" si="44"/>
        <v>25638</v>
      </c>
      <c r="AE102" s="80">
        <f t="shared" si="45"/>
        <v>25638</v>
      </c>
      <c r="AF102" s="59">
        <f t="shared" si="39"/>
        <v>376384.25</v>
      </c>
      <c r="AP102" s="101"/>
      <c r="AQ102" s="101"/>
    </row>
    <row r="103" spans="1:43" ht="15.9" customHeight="1" x14ac:dyDescent="0.3">
      <c r="A103" s="468"/>
      <c r="B103" s="52" t="s">
        <v>119</v>
      </c>
      <c r="C103" s="53">
        <v>38832</v>
      </c>
      <c r="D103" s="54">
        <v>34887</v>
      </c>
      <c r="E103" s="85">
        <v>30</v>
      </c>
      <c r="F103" s="54">
        <v>9244.5174000000006</v>
      </c>
      <c r="G103" s="56">
        <f t="shared" si="46"/>
        <v>25642.482599999999</v>
      </c>
      <c r="H103" s="57">
        <f t="shared" si="132"/>
        <v>1744</v>
      </c>
      <c r="I103" s="58">
        <f t="shared" si="33"/>
        <v>2898</v>
      </c>
      <c r="J103" s="53">
        <f t="shared" si="137"/>
        <v>49789</v>
      </c>
      <c r="K103" s="60">
        <f t="shared" si="133"/>
        <v>8060</v>
      </c>
      <c r="L103" s="58">
        <v>0</v>
      </c>
      <c r="M103" s="58"/>
      <c r="N103" s="57">
        <f t="shared" si="134"/>
        <v>1082</v>
      </c>
      <c r="O103" s="57">
        <f t="shared" si="112"/>
        <v>1082</v>
      </c>
      <c r="P103" s="57">
        <f t="shared" ref="P103:AA103" si="146">+O103</f>
        <v>1082</v>
      </c>
      <c r="Q103" s="57">
        <f t="shared" si="146"/>
        <v>1082</v>
      </c>
      <c r="R103" s="57">
        <f t="shared" si="146"/>
        <v>1082</v>
      </c>
      <c r="S103" s="57">
        <f t="shared" si="146"/>
        <v>1082</v>
      </c>
      <c r="T103" s="57">
        <f t="shared" si="146"/>
        <v>1082</v>
      </c>
      <c r="U103" s="352">
        <f t="shared" si="146"/>
        <v>1082</v>
      </c>
      <c r="V103" s="80">
        <f t="shared" si="146"/>
        <v>1082</v>
      </c>
      <c r="W103" s="80">
        <f t="shared" si="146"/>
        <v>1082</v>
      </c>
      <c r="X103" s="80">
        <f t="shared" si="146"/>
        <v>1082</v>
      </c>
      <c r="Y103" s="80">
        <f t="shared" si="146"/>
        <v>1082</v>
      </c>
      <c r="Z103" s="80">
        <f t="shared" si="146"/>
        <v>1082</v>
      </c>
      <c r="AA103" s="80">
        <f t="shared" si="146"/>
        <v>1082</v>
      </c>
      <c r="AB103" s="80">
        <f t="shared" ref="AB103:AC103" si="147">+AA103</f>
        <v>1082</v>
      </c>
      <c r="AC103" s="80">
        <f t="shared" si="147"/>
        <v>1082</v>
      </c>
      <c r="AD103" s="80">
        <f t="shared" si="44"/>
        <v>1082</v>
      </c>
      <c r="AE103" s="80">
        <f t="shared" si="45"/>
        <v>1082</v>
      </c>
      <c r="AF103" s="59">
        <f t="shared" si="39"/>
        <v>15904.482599999999</v>
      </c>
      <c r="AP103" s="101"/>
      <c r="AQ103" s="101"/>
    </row>
    <row r="104" spans="1:43" ht="15.9" customHeight="1" x14ac:dyDescent="0.3">
      <c r="A104" s="468"/>
      <c r="B104" s="52" t="s">
        <v>120</v>
      </c>
      <c r="C104" s="53">
        <v>38918</v>
      </c>
      <c r="D104" s="54">
        <v>39792</v>
      </c>
      <c r="E104" s="85">
        <v>30</v>
      </c>
      <c r="F104" s="54">
        <v>10231.7284</v>
      </c>
      <c r="G104" s="56">
        <f t="shared" si="46"/>
        <v>29560.2716</v>
      </c>
      <c r="H104" s="57">
        <f t="shared" si="132"/>
        <v>1990</v>
      </c>
      <c r="I104" s="58">
        <f t="shared" si="33"/>
        <v>2812</v>
      </c>
      <c r="J104" s="53">
        <f t="shared" si="137"/>
        <v>49875</v>
      </c>
      <c r="K104" s="60">
        <f t="shared" si="133"/>
        <v>8146</v>
      </c>
      <c r="L104" s="58">
        <v>0</v>
      </c>
      <c r="M104" s="58"/>
      <c r="N104" s="57">
        <f t="shared" si="134"/>
        <v>1235</v>
      </c>
      <c r="O104" s="57">
        <f t="shared" si="112"/>
        <v>1235</v>
      </c>
      <c r="P104" s="57">
        <f t="shared" ref="P104:AA104" si="148">+O104</f>
        <v>1235</v>
      </c>
      <c r="Q104" s="57">
        <f t="shared" si="148"/>
        <v>1235</v>
      </c>
      <c r="R104" s="57">
        <f t="shared" si="148"/>
        <v>1235</v>
      </c>
      <c r="S104" s="57">
        <f t="shared" si="148"/>
        <v>1235</v>
      </c>
      <c r="T104" s="57">
        <f t="shared" si="148"/>
        <v>1235</v>
      </c>
      <c r="U104" s="352">
        <f t="shared" si="148"/>
        <v>1235</v>
      </c>
      <c r="V104" s="80">
        <f t="shared" si="148"/>
        <v>1235</v>
      </c>
      <c r="W104" s="80">
        <f t="shared" si="148"/>
        <v>1235</v>
      </c>
      <c r="X104" s="80">
        <f t="shared" si="148"/>
        <v>1235</v>
      </c>
      <c r="Y104" s="80">
        <f t="shared" si="148"/>
        <v>1235</v>
      </c>
      <c r="Z104" s="80">
        <f t="shared" si="148"/>
        <v>1235</v>
      </c>
      <c r="AA104" s="80">
        <f t="shared" si="148"/>
        <v>1235</v>
      </c>
      <c r="AB104" s="80">
        <f t="shared" ref="AB104:AC104" si="149">+AA104</f>
        <v>1235</v>
      </c>
      <c r="AC104" s="80">
        <f t="shared" si="149"/>
        <v>1235</v>
      </c>
      <c r="AD104" s="80">
        <f t="shared" si="44"/>
        <v>1235</v>
      </c>
      <c r="AE104" s="80">
        <f t="shared" si="45"/>
        <v>1235</v>
      </c>
      <c r="AF104" s="59">
        <f t="shared" si="39"/>
        <v>18445.2716</v>
      </c>
      <c r="AP104" s="101"/>
      <c r="AQ104" s="101"/>
    </row>
    <row r="105" spans="1:43" ht="15.9" customHeight="1" x14ac:dyDescent="0.3">
      <c r="A105" s="468"/>
      <c r="B105" s="52" t="s">
        <v>121</v>
      </c>
      <c r="C105" s="53">
        <v>39825</v>
      </c>
      <c r="D105" s="54">
        <v>8389930</v>
      </c>
      <c r="E105" s="85">
        <v>30</v>
      </c>
      <c r="F105" s="54">
        <v>1461770.4739999999</v>
      </c>
      <c r="G105" s="56">
        <f t="shared" si="46"/>
        <v>6928159.5260000005</v>
      </c>
      <c r="H105" s="57">
        <f t="shared" si="132"/>
        <v>419497</v>
      </c>
      <c r="I105" s="58">
        <f t="shared" si="33"/>
        <v>1905</v>
      </c>
      <c r="J105" s="53">
        <f t="shared" si="41"/>
        <v>50781</v>
      </c>
      <c r="K105" s="60">
        <f t="shared" si="133"/>
        <v>9052</v>
      </c>
      <c r="L105" s="58">
        <v>0</v>
      </c>
      <c r="M105" s="58"/>
      <c r="N105" s="57">
        <f t="shared" si="134"/>
        <v>262446</v>
      </c>
      <c r="O105" s="57">
        <f t="shared" si="112"/>
        <v>262446</v>
      </c>
      <c r="P105" s="57">
        <f t="shared" ref="P105:AA105" si="150">+O105</f>
        <v>262446</v>
      </c>
      <c r="Q105" s="57">
        <f t="shared" si="150"/>
        <v>262446</v>
      </c>
      <c r="R105" s="57">
        <f t="shared" si="150"/>
        <v>262446</v>
      </c>
      <c r="S105" s="57">
        <f t="shared" si="150"/>
        <v>262446</v>
      </c>
      <c r="T105" s="57">
        <f t="shared" si="150"/>
        <v>262446</v>
      </c>
      <c r="U105" s="352">
        <f t="shared" si="150"/>
        <v>262446</v>
      </c>
      <c r="V105" s="80">
        <f t="shared" si="150"/>
        <v>262446</v>
      </c>
      <c r="W105" s="80">
        <f t="shared" si="150"/>
        <v>262446</v>
      </c>
      <c r="X105" s="80">
        <f t="shared" si="150"/>
        <v>262446</v>
      </c>
      <c r="Y105" s="80">
        <f t="shared" si="150"/>
        <v>262446</v>
      </c>
      <c r="Z105" s="80">
        <f t="shared" si="150"/>
        <v>262446</v>
      </c>
      <c r="AA105" s="80">
        <f t="shared" si="150"/>
        <v>262446</v>
      </c>
      <c r="AB105" s="80">
        <f t="shared" ref="AB105:AC105" si="151">+AA105</f>
        <v>262446</v>
      </c>
      <c r="AC105" s="80">
        <f t="shared" si="151"/>
        <v>262446</v>
      </c>
      <c r="AD105" s="80">
        <f t="shared" si="44"/>
        <v>262446</v>
      </c>
      <c r="AE105" s="80">
        <f t="shared" si="45"/>
        <v>262446</v>
      </c>
      <c r="AF105" s="59">
        <f t="shared" si="39"/>
        <v>4566145.5260000005</v>
      </c>
      <c r="AP105" s="101"/>
      <c r="AQ105" s="101"/>
    </row>
    <row r="106" spans="1:43" ht="15.9" customHeight="1" x14ac:dyDescent="0.3">
      <c r="A106" s="468"/>
      <c r="B106" s="52" t="s">
        <v>98</v>
      </c>
      <c r="C106" s="53">
        <v>39779</v>
      </c>
      <c r="D106" s="54">
        <v>6538453</v>
      </c>
      <c r="E106" s="85">
        <v>30</v>
      </c>
      <c r="F106" s="54">
        <v>1166709.8103999998</v>
      </c>
      <c r="G106" s="56">
        <f t="shared" si="46"/>
        <v>5371743.1896000002</v>
      </c>
      <c r="H106" s="57">
        <f t="shared" si="132"/>
        <v>326923</v>
      </c>
      <c r="I106" s="58">
        <f t="shared" si="33"/>
        <v>1951</v>
      </c>
      <c r="J106" s="53">
        <f t="shared" si="41"/>
        <v>50735</v>
      </c>
      <c r="K106" s="60">
        <f t="shared" si="133"/>
        <v>9006</v>
      </c>
      <c r="L106" s="58">
        <v>0</v>
      </c>
      <c r="M106" s="58"/>
      <c r="N106" s="57">
        <f t="shared" si="134"/>
        <v>204459</v>
      </c>
      <c r="O106" s="57">
        <f t="shared" si="112"/>
        <v>204459</v>
      </c>
      <c r="P106" s="57">
        <f t="shared" ref="P106:AA106" si="152">+O106</f>
        <v>204459</v>
      </c>
      <c r="Q106" s="57">
        <f t="shared" si="152"/>
        <v>204459</v>
      </c>
      <c r="R106" s="57">
        <f t="shared" si="152"/>
        <v>204459</v>
      </c>
      <c r="S106" s="57">
        <f t="shared" si="152"/>
        <v>204459</v>
      </c>
      <c r="T106" s="57">
        <f t="shared" si="152"/>
        <v>204459</v>
      </c>
      <c r="U106" s="352">
        <f t="shared" si="152"/>
        <v>204459</v>
      </c>
      <c r="V106" s="80">
        <f t="shared" si="152"/>
        <v>204459</v>
      </c>
      <c r="W106" s="80">
        <f t="shared" si="152"/>
        <v>204459</v>
      </c>
      <c r="X106" s="80">
        <f t="shared" si="152"/>
        <v>204459</v>
      </c>
      <c r="Y106" s="80">
        <f t="shared" si="152"/>
        <v>204459</v>
      </c>
      <c r="Z106" s="80">
        <f t="shared" si="152"/>
        <v>204459</v>
      </c>
      <c r="AA106" s="80">
        <f t="shared" si="152"/>
        <v>204459</v>
      </c>
      <c r="AB106" s="80">
        <f t="shared" ref="AB106:AC106" si="153">+AA106</f>
        <v>204459</v>
      </c>
      <c r="AC106" s="80">
        <f t="shared" si="153"/>
        <v>204459</v>
      </c>
      <c r="AD106" s="80">
        <f t="shared" si="44"/>
        <v>204459</v>
      </c>
      <c r="AE106" s="80">
        <f t="shared" si="45"/>
        <v>204459</v>
      </c>
      <c r="AF106" s="59">
        <f t="shared" si="39"/>
        <v>3531612.1896000002</v>
      </c>
      <c r="AP106" s="101"/>
      <c r="AQ106" s="101"/>
    </row>
    <row r="107" spans="1:43" ht="15.9" customHeight="1" x14ac:dyDescent="0.3">
      <c r="A107" s="468"/>
      <c r="B107" s="52" t="s">
        <v>96</v>
      </c>
      <c r="C107" s="53">
        <v>39830</v>
      </c>
      <c r="D107" s="54">
        <v>8142745</v>
      </c>
      <c r="E107" s="85">
        <v>30</v>
      </c>
      <c r="F107" s="54">
        <v>1414978.0160000001</v>
      </c>
      <c r="G107" s="56">
        <f t="shared" si="46"/>
        <v>6727766.9840000002</v>
      </c>
      <c r="H107" s="57">
        <f t="shared" si="132"/>
        <v>407137</v>
      </c>
      <c r="I107" s="58">
        <f t="shared" si="33"/>
        <v>1900</v>
      </c>
      <c r="J107" s="53">
        <f t="shared" si="41"/>
        <v>50786</v>
      </c>
      <c r="K107" s="60">
        <f t="shared" si="133"/>
        <v>9057</v>
      </c>
      <c r="L107" s="58">
        <v>0</v>
      </c>
      <c r="M107" s="58"/>
      <c r="N107" s="57">
        <f t="shared" si="134"/>
        <v>254723</v>
      </c>
      <c r="O107" s="57">
        <f t="shared" si="112"/>
        <v>254723</v>
      </c>
      <c r="P107" s="57">
        <f t="shared" ref="P107:AA107" si="154">+O107</f>
        <v>254723</v>
      </c>
      <c r="Q107" s="57">
        <f t="shared" si="154"/>
        <v>254723</v>
      </c>
      <c r="R107" s="57">
        <f t="shared" si="154"/>
        <v>254723</v>
      </c>
      <c r="S107" s="57">
        <f t="shared" si="154"/>
        <v>254723</v>
      </c>
      <c r="T107" s="57">
        <f t="shared" si="154"/>
        <v>254723</v>
      </c>
      <c r="U107" s="352">
        <f t="shared" si="154"/>
        <v>254723</v>
      </c>
      <c r="V107" s="80">
        <f t="shared" si="154"/>
        <v>254723</v>
      </c>
      <c r="W107" s="80">
        <f t="shared" si="154"/>
        <v>254723</v>
      </c>
      <c r="X107" s="80">
        <f t="shared" si="154"/>
        <v>254723</v>
      </c>
      <c r="Y107" s="80">
        <f t="shared" si="154"/>
        <v>254723</v>
      </c>
      <c r="Z107" s="80">
        <f t="shared" si="154"/>
        <v>254723</v>
      </c>
      <c r="AA107" s="80">
        <f t="shared" si="154"/>
        <v>254723</v>
      </c>
      <c r="AB107" s="80">
        <f t="shared" ref="AB107:AC107" si="155">+AA107</f>
        <v>254723</v>
      </c>
      <c r="AC107" s="80">
        <f t="shared" si="155"/>
        <v>254723</v>
      </c>
      <c r="AD107" s="80">
        <f t="shared" si="44"/>
        <v>254723</v>
      </c>
      <c r="AE107" s="80">
        <f t="shared" si="45"/>
        <v>254723</v>
      </c>
      <c r="AF107" s="59">
        <f t="shared" si="39"/>
        <v>4435259.9840000002</v>
      </c>
      <c r="AP107" s="101"/>
      <c r="AQ107" s="101"/>
    </row>
    <row r="108" spans="1:43" ht="15.9" customHeight="1" x14ac:dyDescent="0.3">
      <c r="A108" s="468"/>
      <c r="B108" s="52" t="s">
        <v>5</v>
      </c>
      <c r="C108" s="53">
        <v>41031</v>
      </c>
      <c r="D108" s="54">
        <v>82409758.019999996</v>
      </c>
      <c r="E108" s="85">
        <v>30</v>
      </c>
      <c r="F108" s="54">
        <v>5271199</v>
      </c>
      <c r="G108" s="56">
        <f t="shared" si="46"/>
        <v>77138559.019999996</v>
      </c>
      <c r="H108" s="57">
        <f t="shared" si="132"/>
        <v>4120488</v>
      </c>
      <c r="I108" s="58">
        <f t="shared" si="33"/>
        <v>699</v>
      </c>
      <c r="J108" s="53">
        <f t="shared" si="41"/>
        <v>51987</v>
      </c>
      <c r="K108" s="60">
        <f t="shared" si="133"/>
        <v>10258</v>
      </c>
      <c r="L108" s="58">
        <v>0</v>
      </c>
      <c r="M108" s="58"/>
      <c r="N108" s="57">
        <f t="shared" si="134"/>
        <v>2598128</v>
      </c>
      <c r="O108" s="57">
        <f t="shared" si="112"/>
        <v>2598128</v>
      </c>
      <c r="P108" s="57">
        <f t="shared" ref="P108:AA108" si="156">+O108</f>
        <v>2598128</v>
      </c>
      <c r="Q108" s="57">
        <f t="shared" si="156"/>
        <v>2598128</v>
      </c>
      <c r="R108" s="57">
        <f t="shared" si="156"/>
        <v>2598128</v>
      </c>
      <c r="S108" s="57">
        <f t="shared" si="156"/>
        <v>2598128</v>
      </c>
      <c r="T108" s="57">
        <f t="shared" si="156"/>
        <v>2598128</v>
      </c>
      <c r="U108" s="352">
        <f t="shared" si="156"/>
        <v>2598128</v>
      </c>
      <c r="V108" s="80">
        <f t="shared" si="156"/>
        <v>2598128</v>
      </c>
      <c r="W108" s="80">
        <f t="shared" si="156"/>
        <v>2598128</v>
      </c>
      <c r="X108" s="80">
        <f t="shared" si="156"/>
        <v>2598128</v>
      </c>
      <c r="Y108" s="80">
        <f t="shared" si="156"/>
        <v>2598128</v>
      </c>
      <c r="Z108" s="80">
        <f t="shared" si="156"/>
        <v>2598128</v>
      </c>
      <c r="AA108" s="80">
        <f t="shared" si="156"/>
        <v>2598128</v>
      </c>
      <c r="AB108" s="80">
        <f t="shared" ref="AB108:AC108" si="157">+AA108</f>
        <v>2598128</v>
      </c>
      <c r="AC108" s="80">
        <f t="shared" si="157"/>
        <v>2598128</v>
      </c>
      <c r="AD108" s="80">
        <f t="shared" si="44"/>
        <v>2598128</v>
      </c>
      <c r="AE108" s="80">
        <f t="shared" si="45"/>
        <v>2598128</v>
      </c>
      <c r="AF108" s="59">
        <f t="shared" si="39"/>
        <v>53755407.019999996</v>
      </c>
      <c r="AP108" s="101"/>
      <c r="AQ108" s="101"/>
    </row>
    <row r="109" spans="1:43" ht="15.9" customHeight="1" x14ac:dyDescent="0.3">
      <c r="A109" s="468"/>
      <c r="B109" s="52" t="s">
        <v>6</v>
      </c>
      <c r="C109" s="53">
        <v>41060</v>
      </c>
      <c r="D109" s="54">
        <v>37675038.18</v>
      </c>
      <c r="E109" s="85">
        <v>30</v>
      </c>
      <c r="F109" s="54">
        <v>2309841</v>
      </c>
      <c r="G109" s="56">
        <f t="shared" si="46"/>
        <v>35365197.18</v>
      </c>
      <c r="H109" s="57">
        <f t="shared" si="132"/>
        <v>1883752</v>
      </c>
      <c r="I109" s="58">
        <f t="shared" si="33"/>
        <v>670</v>
      </c>
      <c r="J109" s="53">
        <f t="shared" si="41"/>
        <v>52016</v>
      </c>
      <c r="K109" s="60">
        <f t="shared" si="133"/>
        <v>10287</v>
      </c>
      <c r="L109" s="58">
        <v>0</v>
      </c>
      <c r="M109" s="58"/>
      <c r="N109" s="57">
        <f t="shared" si="134"/>
        <v>1187978</v>
      </c>
      <c r="O109" s="57">
        <f t="shared" si="112"/>
        <v>1187978</v>
      </c>
      <c r="P109" s="57">
        <f t="shared" ref="P109:AA109" si="158">+O109</f>
        <v>1187978</v>
      </c>
      <c r="Q109" s="57">
        <f t="shared" si="158"/>
        <v>1187978</v>
      </c>
      <c r="R109" s="57">
        <f t="shared" si="158"/>
        <v>1187978</v>
      </c>
      <c r="S109" s="57">
        <f t="shared" si="158"/>
        <v>1187978</v>
      </c>
      <c r="T109" s="57">
        <f t="shared" si="158"/>
        <v>1187978</v>
      </c>
      <c r="U109" s="352">
        <f t="shared" si="158"/>
        <v>1187978</v>
      </c>
      <c r="V109" s="80">
        <f t="shared" si="158"/>
        <v>1187978</v>
      </c>
      <c r="W109" s="80">
        <f t="shared" si="158"/>
        <v>1187978</v>
      </c>
      <c r="X109" s="80">
        <f t="shared" si="158"/>
        <v>1187978</v>
      </c>
      <c r="Y109" s="80">
        <f t="shared" si="158"/>
        <v>1187978</v>
      </c>
      <c r="Z109" s="80">
        <f t="shared" si="158"/>
        <v>1187978</v>
      </c>
      <c r="AA109" s="80">
        <f t="shared" si="158"/>
        <v>1187978</v>
      </c>
      <c r="AB109" s="80">
        <f t="shared" ref="AB109:AC109" si="159">+AA109</f>
        <v>1187978</v>
      </c>
      <c r="AC109" s="80">
        <f t="shared" si="159"/>
        <v>1187978</v>
      </c>
      <c r="AD109" s="80">
        <f t="shared" si="44"/>
        <v>1187978</v>
      </c>
      <c r="AE109" s="80">
        <f t="shared" si="45"/>
        <v>1187978</v>
      </c>
      <c r="AF109" s="59">
        <f t="shared" si="39"/>
        <v>24673395.18</v>
      </c>
      <c r="AP109" s="101"/>
      <c r="AQ109" s="101"/>
    </row>
    <row r="110" spans="1:43" ht="15.9" customHeight="1" x14ac:dyDescent="0.3">
      <c r="A110" s="468"/>
      <c r="B110" s="361" t="s">
        <v>577</v>
      </c>
      <c r="C110" s="335">
        <v>44766</v>
      </c>
      <c r="D110" s="415">
        <v>142735363.30999997</v>
      </c>
      <c r="E110" s="85">
        <v>30</v>
      </c>
      <c r="F110" s="54"/>
      <c r="G110" s="56">
        <f>D110-F110</f>
        <v>142735363.30999997</v>
      </c>
      <c r="H110" s="57">
        <f>ROUND(D110*5%,0)</f>
        <v>7136768</v>
      </c>
      <c r="I110" s="58">
        <v>0</v>
      </c>
      <c r="J110" s="53">
        <f>+C110+10956</f>
        <v>55722</v>
      </c>
      <c r="K110" s="60">
        <f>+J110-C110-I110+1</f>
        <v>10957</v>
      </c>
      <c r="L110" s="58">
        <v>0</v>
      </c>
      <c r="M110" s="328">
        <f>$V$3-C110</f>
        <v>250</v>
      </c>
      <c r="N110" s="57"/>
      <c r="O110" s="57"/>
      <c r="P110" s="57"/>
      <c r="Q110" s="57"/>
      <c r="R110" s="57"/>
      <c r="S110" s="57"/>
      <c r="T110" s="57"/>
      <c r="U110" s="352"/>
      <c r="V110" s="328">
        <f>($D110-$H110)/K110*M110</f>
        <v>3093880.5172492466</v>
      </c>
      <c r="W110" s="80"/>
      <c r="X110" s="80">
        <f t="shared" ref="X110:AE110" si="160">+W110</f>
        <v>0</v>
      </c>
      <c r="Y110" s="80">
        <f t="shared" si="160"/>
        <v>0</v>
      </c>
      <c r="Z110" s="80">
        <f t="shared" si="160"/>
        <v>0</v>
      </c>
      <c r="AA110" s="80">
        <f t="shared" si="160"/>
        <v>0</v>
      </c>
      <c r="AB110" s="80">
        <f t="shared" si="160"/>
        <v>0</v>
      </c>
      <c r="AC110" s="80">
        <f t="shared" si="160"/>
        <v>0</v>
      </c>
      <c r="AD110" s="80">
        <f t="shared" si="160"/>
        <v>0</v>
      </c>
      <c r="AE110" s="80">
        <f t="shared" si="160"/>
        <v>0</v>
      </c>
      <c r="AF110" s="59">
        <f t="shared" si="39"/>
        <v>139641482.79275072</v>
      </c>
      <c r="AP110" s="101"/>
      <c r="AQ110" s="101"/>
    </row>
    <row r="111" spans="1:43" ht="15.9" customHeight="1" x14ac:dyDescent="0.3">
      <c r="A111" s="468"/>
      <c r="B111" s="361" t="s">
        <v>578</v>
      </c>
      <c r="C111" s="335">
        <v>45014</v>
      </c>
      <c r="D111" s="415">
        <v>144998026.77999997</v>
      </c>
      <c r="E111" s="85">
        <v>30</v>
      </c>
      <c r="F111" s="54"/>
      <c r="G111" s="56">
        <f t="shared" ref="G111" si="161">D111-F111</f>
        <v>144998026.77999997</v>
      </c>
      <c r="H111" s="57">
        <f t="shared" ref="H111" si="162">ROUND(D111*5%,0)</f>
        <v>7249901</v>
      </c>
      <c r="I111" s="58">
        <v>0</v>
      </c>
      <c r="J111" s="53">
        <f t="shared" ref="J111" si="163">+C111+10956</f>
        <v>55970</v>
      </c>
      <c r="K111" s="60">
        <f t="shared" ref="K111" si="164">+J111-C111-I111+1</f>
        <v>10957</v>
      </c>
      <c r="L111" s="58">
        <v>0</v>
      </c>
      <c r="M111" s="328">
        <f t="shared" ref="M111:M113" si="165">$V$3-C111</f>
        <v>2</v>
      </c>
      <c r="N111" s="57"/>
      <c r="O111" s="57"/>
      <c r="P111" s="57"/>
      <c r="Q111" s="57"/>
      <c r="R111" s="57"/>
      <c r="S111" s="57"/>
      <c r="T111" s="57"/>
      <c r="U111" s="352"/>
      <c r="V111" s="328">
        <f t="shared" ref="V111:V113" si="166">($D111-$H111)/K111*M111</f>
        <v>25143.401620881625</v>
      </c>
      <c r="W111" s="80"/>
      <c r="X111" s="80">
        <f t="shared" ref="X111" si="167">+W111</f>
        <v>0</v>
      </c>
      <c r="Y111" s="80">
        <f t="shared" ref="Y111" si="168">+X111</f>
        <v>0</v>
      </c>
      <c r="Z111" s="80">
        <f t="shared" ref="Z111" si="169">+Y111</f>
        <v>0</v>
      </c>
      <c r="AA111" s="80">
        <f t="shared" ref="AA111" si="170">+Z111</f>
        <v>0</v>
      </c>
      <c r="AB111" s="80">
        <f t="shared" ref="AB111" si="171">+AA111</f>
        <v>0</v>
      </c>
      <c r="AC111" s="80">
        <f t="shared" ref="AC111" si="172">+AB111</f>
        <v>0</v>
      </c>
      <c r="AD111" s="80">
        <f t="shared" ref="AD111" si="173">+AC111</f>
        <v>0</v>
      </c>
      <c r="AE111" s="80">
        <f t="shared" ref="AE111" si="174">+AD111</f>
        <v>0</v>
      </c>
      <c r="AF111" s="59">
        <f t="shared" si="39"/>
        <v>144972883.37837908</v>
      </c>
      <c r="AP111" s="101"/>
      <c r="AQ111" s="101"/>
    </row>
    <row r="112" spans="1:43" ht="15.9" customHeight="1" x14ac:dyDescent="0.3">
      <c r="A112" s="468"/>
      <c r="B112" s="92" t="s">
        <v>530</v>
      </c>
      <c r="C112" s="335">
        <v>45013</v>
      </c>
      <c r="D112" s="415">
        <v>162413443.60000023</v>
      </c>
      <c r="E112" s="85">
        <v>30</v>
      </c>
      <c r="F112" s="54"/>
      <c r="G112" s="56">
        <f t="shared" ref="G112:G113" si="175">D112-F112</f>
        <v>162413443.60000023</v>
      </c>
      <c r="H112" s="57">
        <f t="shared" ref="H112:H113" si="176">ROUND(D112*5%,0)</f>
        <v>8120672</v>
      </c>
      <c r="I112" s="58">
        <v>0</v>
      </c>
      <c r="J112" s="53">
        <f t="shared" ref="J112:J113" si="177">+C112+10956</f>
        <v>55969</v>
      </c>
      <c r="K112" s="60">
        <f t="shared" ref="K112:K113" si="178">+J112-C112-I112+1</f>
        <v>10957</v>
      </c>
      <c r="L112" s="58">
        <v>0</v>
      </c>
      <c r="M112" s="328">
        <f t="shared" si="165"/>
        <v>3</v>
      </c>
      <c r="N112" s="57"/>
      <c r="O112" s="57"/>
      <c r="P112" s="57"/>
      <c r="Q112" s="57"/>
      <c r="R112" s="57"/>
      <c r="S112" s="57"/>
      <c r="T112" s="57"/>
      <c r="U112" s="352"/>
      <c r="V112" s="328">
        <f t="shared" si="166"/>
        <v>42244.986291868277</v>
      </c>
      <c r="W112" s="80"/>
      <c r="X112" s="80">
        <f t="shared" ref="X112:X113" si="179">+W112</f>
        <v>0</v>
      </c>
      <c r="Y112" s="80">
        <f t="shared" ref="Y112:Y113" si="180">+X112</f>
        <v>0</v>
      </c>
      <c r="Z112" s="80">
        <f t="shared" ref="Z112:Z113" si="181">+Y112</f>
        <v>0</v>
      </c>
      <c r="AA112" s="80">
        <f t="shared" ref="AA112:AA113" si="182">+Z112</f>
        <v>0</v>
      </c>
      <c r="AB112" s="80">
        <f t="shared" ref="AB112:AB113" si="183">+AA112</f>
        <v>0</v>
      </c>
      <c r="AC112" s="80">
        <f t="shared" ref="AC112:AC113" si="184">+AB112</f>
        <v>0</v>
      </c>
      <c r="AD112" s="80">
        <f t="shared" ref="AD112:AD113" si="185">+AC112</f>
        <v>0</v>
      </c>
      <c r="AE112" s="80">
        <f t="shared" ref="AE112:AE113" si="186">+AD112</f>
        <v>0</v>
      </c>
      <c r="AF112" s="59">
        <f t="shared" si="39"/>
        <v>162371198.61370838</v>
      </c>
      <c r="AP112" s="101"/>
      <c r="AQ112" s="101"/>
    </row>
    <row r="113" spans="1:43" ht="15.9" customHeight="1" x14ac:dyDescent="0.3">
      <c r="A113" s="468"/>
      <c r="B113" s="92" t="s">
        <v>531</v>
      </c>
      <c r="C113" s="335">
        <v>45015</v>
      </c>
      <c r="D113" s="415">
        <v>86674693.190000013</v>
      </c>
      <c r="E113" s="85">
        <v>30</v>
      </c>
      <c r="F113" s="54"/>
      <c r="G113" s="56">
        <f t="shared" si="175"/>
        <v>86674693.190000013</v>
      </c>
      <c r="H113" s="57">
        <f t="shared" si="176"/>
        <v>4333735</v>
      </c>
      <c r="I113" s="58">
        <v>0</v>
      </c>
      <c r="J113" s="53">
        <f t="shared" si="177"/>
        <v>55971</v>
      </c>
      <c r="K113" s="60">
        <f t="shared" si="178"/>
        <v>10957</v>
      </c>
      <c r="L113" s="58">
        <v>0</v>
      </c>
      <c r="M113" s="328">
        <f t="shared" si="165"/>
        <v>1</v>
      </c>
      <c r="N113" s="57"/>
      <c r="O113" s="57"/>
      <c r="P113" s="57"/>
      <c r="Q113" s="57"/>
      <c r="R113" s="57"/>
      <c r="S113" s="57"/>
      <c r="T113" s="57"/>
      <c r="U113" s="352"/>
      <c r="V113" s="328">
        <f t="shared" si="166"/>
        <v>7514.9181518663881</v>
      </c>
      <c r="W113" s="80"/>
      <c r="X113" s="80">
        <f t="shared" si="179"/>
        <v>0</v>
      </c>
      <c r="Y113" s="80">
        <f t="shared" si="180"/>
        <v>0</v>
      </c>
      <c r="Z113" s="80">
        <f t="shared" si="181"/>
        <v>0</v>
      </c>
      <c r="AA113" s="80">
        <f t="shared" si="182"/>
        <v>0</v>
      </c>
      <c r="AB113" s="80">
        <f t="shared" si="183"/>
        <v>0</v>
      </c>
      <c r="AC113" s="80">
        <f t="shared" si="184"/>
        <v>0</v>
      </c>
      <c r="AD113" s="80">
        <f t="shared" si="185"/>
        <v>0</v>
      </c>
      <c r="AE113" s="80">
        <f t="shared" si="186"/>
        <v>0</v>
      </c>
      <c r="AF113" s="59">
        <f t="shared" si="39"/>
        <v>86667178.271848142</v>
      </c>
      <c r="AP113" s="101"/>
      <c r="AQ113" s="101"/>
    </row>
    <row r="114" spans="1:43" ht="15.9" customHeight="1" x14ac:dyDescent="0.25">
      <c r="A114" s="468"/>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P114" s="101"/>
      <c r="AQ114" s="101"/>
    </row>
    <row r="115" spans="1:43" ht="15.9" customHeight="1" x14ac:dyDescent="0.3">
      <c r="A115" s="468"/>
      <c r="B115" s="52"/>
      <c r="C115" s="53"/>
      <c r="D115" s="54"/>
      <c r="E115" s="85"/>
      <c r="F115" s="54"/>
      <c r="G115" s="56"/>
      <c r="H115" s="57"/>
      <c r="I115" s="58"/>
      <c r="J115" s="53"/>
      <c r="K115" s="60"/>
      <c r="L115" s="58"/>
      <c r="M115" s="58"/>
      <c r="N115" s="57"/>
      <c r="O115" s="57"/>
      <c r="P115" s="57"/>
      <c r="Q115" s="57"/>
      <c r="R115" s="57"/>
      <c r="S115" s="57"/>
      <c r="T115" s="57"/>
      <c r="U115" s="352"/>
      <c r="V115" s="80"/>
      <c r="W115" s="80"/>
      <c r="X115" s="80"/>
      <c r="Y115" s="80"/>
      <c r="Z115" s="80"/>
      <c r="AA115" s="80"/>
      <c r="AB115" s="80"/>
      <c r="AC115" s="80"/>
      <c r="AD115" s="80"/>
      <c r="AE115" s="80"/>
      <c r="AF115" s="59"/>
      <c r="AP115" s="101"/>
      <c r="AQ115" s="101"/>
    </row>
    <row r="116" spans="1:43" ht="15.9" customHeight="1" x14ac:dyDescent="0.3">
      <c r="A116" s="468"/>
      <c r="B116" s="87" t="s">
        <v>2</v>
      </c>
      <c r="C116" s="62"/>
      <c r="D116" s="63">
        <f>SUM(D58:D115)</f>
        <v>746834203.27000022</v>
      </c>
      <c r="E116" s="88"/>
      <c r="F116" s="63">
        <f>SUM(F58:F115)</f>
        <v>31639013.153860692</v>
      </c>
      <c r="G116" s="63">
        <f>SUM(G58:G115)</f>
        <v>715195190.11613953</v>
      </c>
      <c r="H116" s="63">
        <f>SUM(H58:H115)</f>
        <v>37339813</v>
      </c>
      <c r="I116" s="63"/>
      <c r="J116" s="63"/>
      <c r="K116" s="63"/>
      <c r="L116" s="63"/>
      <c r="M116" s="63"/>
      <c r="N116" s="63">
        <f t="shared" ref="N116:U116" si="187">SUM(N58:N115)</f>
        <v>6572922</v>
      </c>
      <c r="O116" s="63">
        <f t="shared" si="187"/>
        <v>6572922</v>
      </c>
      <c r="P116" s="63">
        <f t="shared" si="187"/>
        <v>6572922</v>
      </c>
      <c r="Q116" s="63">
        <f t="shared" si="187"/>
        <v>6572922</v>
      </c>
      <c r="R116" s="63">
        <f t="shared" si="187"/>
        <v>6572922</v>
      </c>
      <c r="S116" s="63">
        <f t="shared" si="187"/>
        <v>6572922</v>
      </c>
      <c r="T116" s="63">
        <f t="shared" si="187"/>
        <v>6572922</v>
      </c>
      <c r="U116" s="63">
        <f t="shared" si="187"/>
        <v>6572922</v>
      </c>
      <c r="V116" s="63">
        <f>SUM(V58:V115)</f>
        <v>9741705.8233138639</v>
      </c>
      <c r="W116" s="63">
        <f t="shared" ref="W116:AE116" si="188">SUM(W58:W115)</f>
        <v>6572922</v>
      </c>
      <c r="X116" s="63">
        <f t="shared" si="188"/>
        <v>6572922</v>
      </c>
      <c r="Y116" s="63">
        <f t="shared" si="188"/>
        <v>6572922</v>
      </c>
      <c r="Z116" s="63">
        <f t="shared" si="188"/>
        <v>6572922</v>
      </c>
      <c r="AA116" s="63">
        <f t="shared" si="188"/>
        <v>6572922</v>
      </c>
      <c r="AB116" s="63">
        <f t="shared" si="188"/>
        <v>6572922</v>
      </c>
      <c r="AC116" s="63">
        <f t="shared" si="188"/>
        <v>6572922</v>
      </c>
      <c r="AD116" s="63">
        <f t="shared" si="188"/>
        <v>6572922</v>
      </c>
      <c r="AE116" s="63">
        <f t="shared" si="188"/>
        <v>6572922</v>
      </c>
      <c r="AF116" s="59">
        <f>+D116-F116-SUM(N116:V116)-L116</f>
        <v>652870108.2928257</v>
      </c>
      <c r="AP116" s="101"/>
    </row>
    <row r="117" spans="1:43" ht="15.9" customHeight="1" x14ac:dyDescent="0.3">
      <c r="B117" s="69"/>
      <c r="C117" s="70"/>
      <c r="D117" s="82"/>
      <c r="E117" s="83"/>
      <c r="F117" s="82"/>
      <c r="G117" s="84"/>
      <c r="H117" s="71"/>
      <c r="I117" s="73"/>
      <c r="J117" s="74"/>
      <c r="K117" s="75"/>
      <c r="L117" s="71"/>
      <c r="M117" s="71"/>
      <c r="N117" s="71"/>
      <c r="O117" s="71"/>
      <c r="P117" s="71"/>
      <c r="Q117" s="71"/>
      <c r="R117" s="71"/>
      <c r="S117" s="71"/>
      <c r="T117" s="71"/>
      <c r="U117" s="351"/>
      <c r="V117" s="71"/>
      <c r="W117" s="71"/>
      <c r="X117" s="71"/>
      <c r="Y117" s="71"/>
      <c r="Z117" s="71"/>
      <c r="AA117" s="71"/>
      <c r="AB117" s="71"/>
      <c r="AC117" s="71"/>
      <c r="AD117" s="71"/>
      <c r="AE117" s="71"/>
      <c r="AF117" s="59"/>
      <c r="AP117" s="101"/>
    </row>
    <row r="118" spans="1:43" ht="15.9" customHeight="1" x14ac:dyDescent="0.3">
      <c r="A118" s="468" t="s">
        <v>353</v>
      </c>
      <c r="B118" s="52" t="s">
        <v>314</v>
      </c>
      <c r="C118" s="53"/>
      <c r="D118" s="86">
        <f>2600000-130000</f>
        <v>2470000</v>
      </c>
      <c r="E118" s="85">
        <v>10</v>
      </c>
      <c r="F118" s="54">
        <v>1280890.9300000002</v>
      </c>
      <c r="G118" s="54">
        <f>D118-F118</f>
        <v>1189109.0699999998</v>
      </c>
      <c r="H118" s="57">
        <f>130000-130000</f>
        <v>0</v>
      </c>
      <c r="I118" s="58">
        <v>0</v>
      </c>
      <c r="J118" s="58">
        <v>0</v>
      </c>
      <c r="K118" s="58">
        <v>0</v>
      </c>
      <c r="L118" s="58">
        <f>+G118-H118</f>
        <v>1189109.0699999998</v>
      </c>
      <c r="M118" s="58"/>
      <c r="N118" s="80">
        <v>0</v>
      </c>
      <c r="O118" s="80">
        <v>0</v>
      </c>
      <c r="P118" s="80">
        <v>0</v>
      </c>
      <c r="Q118" s="80">
        <v>0</v>
      </c>
      <c r="R118" s="80">
        <v>0</v>
      </c>
      <c r="S118" s="80">
        <v>0</v>
      </c>
      <c r="T118" s="80">
        <v>0</v>
      </c>
      <c r="U118" s="353">
        <v>0</v>
      </c>
      <c r="V118" s="80">
        <v>0</v>
      </c>
      <c r="W118" s="80">
        <v>0</v>
      </c>
      <c r="X118" s="80">
        <v>0</v>
      </c>
      <c r="Y118" s="80">
        <v>0</v>
      </c>
      <c r="Z118" s="80">
        <v>0</v>
      </c>
      <c r="AA118" s="80">
        <v>0</v>
      </c>
      <c r="AB118" s="80">
        <v>0</v>
      </c>
      <c r="AC118" s="80">
        <v>0</v>
      </c>
      <c r="AD118" s="80">
        <v>0</v>
      </c>
      <c r="AE118" s="80">
        <v>0</v>
      </c>
      <c r="AF118" s="59">
        <f t="shared" ref="AF118:AF189" si="189">+D118-F118-SUM(N118:U118)-L118</f>
        <v>0</v>
      </c>
      <c r="AP118" s="101"/>
      <c r="AQ118" s="101"/>
    </row>
    <row r="119" spans="1:43" ht="15.9" customHeight="1" x14ac:dyDescent="0.3">
      <c r="A119" s="468"/>
      <c r="B119" s="52" t="s">
        <v>463</v>
      </c>
      <c r="C119" s="53"/>
      <c r="D119" s="86">
        <v>-2470000</v>
      </c>
      <c r="E119" s="85"/>
      <c r="F119" s="89">
        <v>-1280891</v>
      </c>
      <c r="G119" s="89"/>
      <c r="H119" s="57"/>
      <c r="I119" s="58"/>
      <c r="J119" s="58"/>
      <c r="K119" s="58"/>
      <c r="L119" s="58"/>
      <c r="M119" s="58"/>
      <c r="N119" s="80"/>
      <c r="O119" s="80"/>
      <c r="P119" s="80"/>
      <c r="Q119" s="80"/>
      <c r="R119" s="80"/>
      <c r="S119" s="80"/>
      <c r="T119" s="80"/>
      <c r="U119" s="353"/>
      <c r="V119" s="80"/>
      <c r="W119" s="80"/>
      <c r="X119" s="80"/>
      <c r="Y119" s="80"/>
      <c r="Z119" s="80"/>
      <c r="AA119" s="80"/>
      <c r="AB119" s="80"/>
      <c r="AC119" s="80"/>
      <c r="AD119" s="80"/>
      <c r="AE119" s="80"/>
      <c r="AF119" s="59">
        <f t="shared" si="189"/>
        <v>-1189109</v>
      </c>
      <c r="AP119" s="101"/>
      <c r="AQ119" s="101"/>
    </row>
    <row r="120" spans="1:43" ht="15.9" customHeight="1" x14ac:dyDescent="0.3">
      <c r="A120" s="468"/>
      <c r="B120" s="52" t="s">
        <v>124</v>
      </c>
      <c r="C120" s="53">
        <v>38446</v>
      </c>
      <c r="D120" s="86">
        <v>40004793.859999999</v>
      </c>
      <c r="E120" s="85">
        <v>10</v>
      </c>
      <c r="F120" s="89">
        <v>17086431</v>
      </c>
      <c r="G120" s="89">
        <f>D120-F120</f>
        <v>22918362.859999999</v>
      </c>
      <c r="H120" s="57">
        <f t="shared" ref="H120:H159" si="190">ROUND(D120*5%,0)</f>
        <v>2000240</v>
      </c>
      <c r="I120" s="58">
        <f t="shared" ref="I120:I157" si="191">$I$3-C120+1</f>
        <v>3284</v>
      </c>
      <c r="J120" s="53">
        <f>+C120+3651</f>
        <v>42097</v>
      </c>
      <c r="K120" s="60">
        <f>+J120-C120-I120+1</f>
        <v>368</v>
      </c>
      <c r="L120" s="80">
        <v>0</v>
      </c>
      <c r="M120" s="80"/>
      <c r="N120" s="57">
        <f>+ROUND((G120-H120)*365/K120,0)</f>
        <v>20747595</v>
      </c>
      <c r="O120" s="57">
        <f>+ROUND((G120-H120)*(K120-365)/K120,0)</f>
        <v>170528</v>
      </c>
      <c r="P120" s="80">
        <v>0</v>
      </c>
      <c r="Q120" s="80">
        <v>0</v>
      </c>
      <c r="R120" s="80">
        <v>0</v>
      </c>
      <c r="S120" s="80">
        <v>0</v>
      </c>
      <c r="T120" s="80">
        <v>0</v>
      </c>
      <c r="U120" s="353">
        <v>0</v>
      </c>
      <c r="V120" s="80">
        <v>0</v>
      </c>
      <c r="W120" s="80">
        <v>0</v>
      </c>
      <c r="X120" s="80">
        <v>0</v>
      </c>
      <c r="Y120" s="80">
        <v>0</v>
      </c>
      <c r="Z120" s="80">
        <v>0</v>
      </c>
      <c r="AA120" s="80">
        <v>0</v>
      </c>
      <c r="AB120" s="80">
        <v>0</v>
      </c>
      <c r="AC120" s="80">
        <v>0</v>
      </c>
      <c r="AD120" s="80">
        <v>0</v>
      </c>
      <c r="AE120" s="80">
        <v>0</v>
      </c>
      <c r="AF120" s="59">
        <f t="shared" si="189"/>
        <v>2000239.8599999994</v>
      </c>
      <c r="AP120" s="101"/>
      <c r="AQ120" s="101"/>
    </row>
    <row r="121" spans="1:43" ht="15.9" customHeight="1" x14ac:dyDescent="0.3">
      <c r="A121" s="468"/>
      <c r="B121" s="52" t="s">
        <v>124</v>
      </c>
      <c r="C121" s="53">
        <v>38518</v>
      </c>
      <c r="D121" s="86">
        <v>227511.34</v>
      </c>
      <c r="E121" s="85">
        <v>10</v>
      </c>
      <c r="F121" s="89">
        <v>95040</v>
      </c>
      <c r="G121" s="89">
        <f>D121-F121</f>
        <v>132471.34</v>
      </c>
      <c r="H121" s="57">
        <f t="shared" si="190"/>
        <v>11376</v>
      </c>
      <c r="I121" s="58">
        <f t="shared" si="191"/>
        <v>3212</v>
      </c>
      <c r="J121" s="53">
        <f t="shared" ref="J121:J159" si="192">+C121+3651</f>
        <v>42169</v>
      </c>
      <c r="K121" s="60">
        <f>+J121-C121-I121+1</f>
        <v>440</v>
      </c>
      <c r="L121" s="80">
        <v>0</v>
      </c>
      <c r="M121" s="80"/>
      <c r="N121" s="57">
        <f>+ROUND((G121-H121)*365/K121,0)</f>
        <v>100454</v>
      </c>
      <c r="O121" s="57">
        <f>+ROUND((G121-H121)*(K121-365)/K121,0)</f>
        <v>20641</v>
      </c>
      <c r="P121" s="80">
        <v>0</v>
      </c>
      <c r="Q121" s="80">
        <v>0</v>
      </c>
      <c r="R121" s="80">
        <v>0</v>
      </c>
      <c r="S121" s="80">
        <v>0</v>
      </c>
      <c r="T121" s="80">
        <v>0</v>
      </c>
      <c r="U121" s="353">
        <v>0</v>
      </c>
      <c r="V121" s="80">
        <v>0</v>
      </c>
      <c r="W121" s="80">
        <v>0</v>
      </c>
      <c r="X121" s="80">
        <v>0</v>
      </c>
      <c r="Y121" s="80">
        <v>0</v>
      </c>
      <c r="Z121" s="80">
        <v>0</v>
      </c>
      <c r="AA121" s="80">
        <v>0</v>
      </c>
      <c r="AB121" s="80">
        <v>0</v>
      </c>
      <c r="AC121" s="80">
        <v>0</v>
      </c>
      <c r="AD121" s="80">
        <v>0</v>
      </c>
      <c r="AE121" s="80">
        <v>0</v>
      </c>
      <c r="AF121" s="59">
        <f t="shared" si="189"/>
        <v>11376.339999999997</v>
      </c>
      <c r="AP121" s="101"/>
      <c r="AQ121" s="101"/>
    </row>
    <row r="122" spans="1:43" ht="15.9" customHeight="1" x14ac:dyDescent="0.3">
      <c r="A122" s="468"/>
      <c r="B122" s="52" t="s">
        <v>224</v>
      </c>
      <c r="C122" s="53">
        <v>38706</v>
      </c>
      <c r="D122" s="86">
        <v>24800</v>
      </c>
      <c r="E122" s="85">
        <v>10</v>
      </c>
      <c r="F122" s="54">
        <v>11718.03</v>
      </c>
      <c r="G122" s="54">
        <f>D122-F122</f>
        <v>13081.97</v>
      </c>
      <c r="H122" s="57">
        <f t="shared" si="190"/>
        <v>1240</v>
      </c>
      <c r="I122" s="58">
        <f t="shared" si="191"/>
        <v>3024</v>
      </c>
      <c r="J122" s="53">
        <f t="shared" si="192"/>
        <v>42357</v>
      </c>
      <c r="K122" s="60">
        <f>+J122-C122-I122+1</f>
        <v>628</v>
      </c>
      <c r="L122" s="80">
        <v>0</v>
      </c>
      <c r="M122" s="80"/>
      <c r="N122" s="57">
        <f>+ROUND((G122-H122)*365/K122,0)</f>
        <v>6883</v>
      </c>
      <c r="O122" s="57">
        <f>+ROUND((G122-H122)*(K122-365)/K122,0)</f>
        <v>4959</v>
      </c>
      <c r="P122" s="80">
        <v>0</v>
      </c>
      <c r="Q122" s="80">
        <v>0</v>
      </c>
      <c r="R122" s="80">
        <v>0</v>
      </c>
      <c r="S122" s="80">
        <v>0</v>
      </c>
      <c r="T122" s="80">
        <v>0</v>
      </c>
      <c r="U122" s="353">
        <v>0</v>
      </c>
      <c r="V122" s="80">
        <v>0</v>
      </c>
      <c r="W122" s="80">
        <v>0</v>
      </c>
      <c r="X122" s="80">
        <v>0</v>
      </c>
      <c r="Y122" s="80">
        <v>0</v>
      </c>
      <c r="Z122" s="80">
        <v>0</v>
      </c>
      <c r="AA122" s="80">
        <v>0</v>
      </c>
      <c r="AB122" s="80">
        <v>0</v>
      </c>
      <c r="AC122" s="80">
        <v>0</v>
      </c>
      <c r="AD122" s="80">
        <v>0</v>
      </c>
      <c r="AE122" s="80">
        <v>0</v>
      </c>
      <c r="AF122" s="59">
        <f t="shared" si="189"/>
        <v>1239.9699999999993</v>
      </c>
      <c r="AP122" s="101"/>
      <c r="AQ122" s="101"/>
    </row>
    <row r="123" spans="1:43" ht="15.9" customHeight="1" x14ac:dyDescent="0.3">
      <c r="A123" s="468"/>
      <c r="B123" s="52" t="s">
        <v>339</v>
      </c>
      <c r="C123" s="53">
        <v>38485</v>
      </c>
      <c r="D123" s="86">
        <v>300435</v>
      </c>
      <c r="E123" s="85">
        <v>10</v>
      </c>
      <c r="F123" s="54">
        <v>300435</v>
      </c>
      <c r="G123" s="54">
        <f t="shared" ref="G123:G150" si="193">D123-F123</f>
        <v>0</v>
      </c>
      <c r="H123" s="57">
        <v>0</v>
      </c>
      <c r="I123" s="58">
        <v>0</v>
      </c>
      <c r="J123" s="58">
        <v>0</v>
      </c>
      <c r="K123" s="58">
        <v>0</v>
      </c>
      <c r="L123" s="80">
        <v>0</v>
      </c>
      <c r="M123" s="80"/>
      <c r="N123" s="80">
        <v>0</v>
      </c>
      <c r="O123" s="80">
        <v>0</v>
      </c>
      <c r="P123" s="80">
        <v>0</v>
      </c>
      <c r="Q123" s="80">
        <v>0</v>
      </c>
      <c r="R123" s="80">
        <v>0</v>
      </c>
      <c r="S123" s="80">
        <v>0</v>
      </c>
      <c r="T123" s="80">
        <v>0</v>
      </c>
      <c r="U123" s="353">
        <v>0</v>
      </c>
      <c r="V123" s="80">
        <v>0</v>
      </c>
      <c r="W123" s="80">
        <v>0</v>
      </c>
      <c r="X123" s="80">
        <v>0</v>
      </c>
      <c r="Y123" s="80">
        <v>0</v>
      </c>
      <c r="Z123" s="80">
        <v>0</v>
      </c>
      <c r="AA123" s="80">
        <v>0</v>
      </c>
      <c r="AB123" s="80">
        <v>0</v>
      </c>
      <c r="AC123" s="80">
        <v>0</v>
      </c>
      <c r="AD123" s="80">
        <v>0</v>
      </c>
      <c r="AE123" s="80">
        <v>0</v>
      </c>
      <c r="AF123" s="59">
        <f t="shared" si="189"/>
        <v>0</v>
      </c>
      <c r="AP123" s="101"/>
      <c r="AQ123" s="101"/>
    </row>
    <row r="124" spans="1:43" ht="15.9" customHeight="1" x14ac:dyDescent="0.3">
      <c r="A124" s="468"/>
      <c r="B124" s="52" t="s">
        <v>126</v>
      </c>
      <c r="C124" s="53">
        <v>38639</v>
      </c>
      <c r="D124" s="86">
        <v>100527</v>
      </c>
      <c r="E124" s="85">
        <v>10</v>
      </c>
      <c r="F124" s="54">
        <v>40411.067500000005</v>
      </c>
      <c r="G124" s="54">
        <f t="shared" si="193"/>
        <v>60115.932499999995</v>
      </c>
      <c r="H124" s="57">
        <f t="shared" si="190"/>
        <v>5026</v>
      </c>
      <c r="I124" s="58">
        <f t="shared" si="191"/>
        <v>3091</v>
      </c>
      <c r="J124" s="53">
        <f t="shared" si="192"/>
        <v>42290</v>
      </c>
      <c r="K124" s="60">
        <f>+J124-C124-I124+1</f>
        <v>561</v>
      </c>
      <c r="L124" s="80">
        <v>0</v>
      </c>
      <c r="M124" s="80"/>
      <c r="N124" s="57">
        <f>+ROUND((G124-H124)*365/K124,0)</f>
        <v>35843</v>
      </c>
      <c r="O124" s="57">
        <f>+ROUND((G124-H124)*(K124-365)/K124,0)</f>
        <v>19247</v>
      </c>
      <c r="P124" s="80">
        <v>0</v>
      </c>
      <c r="Q124" s="80">
        <v>0</v>
      </c>
      <c r="R124" s="80">
        <v>0</v>
      </c>
      <c r="S124" s="80">
        <v>0</v>
      </c>
      <c r="T124" s="80">
        <v>0</v>
      </c>
      <c r="U124" s="353">
        <v>0</v>
      </c>
      <c r="V124" s="80">
        <v>0</v>
      </c>
      <c r="W124" s="80">
        <v>0</v>
      </c>
      <c r="X124" s="80">
        <v>0</v>
      </c>
      <c r="Y124" s="80">
        <v>0</v>
      </c>
      <c r="Z124" s="80">
        <v>0</v>
      </c>
      <c r="AA124" s="80">
        <v>0</v>
      </c>
      <c r="AB124" s="80">
        <v>0</v>
      </c>
      <c r="AC124" s="80">
        <v>0</v>
      </c>
      <c r="AD124" s="80">
        <v>0</v>
      </c>
      <c r="AE124" s="80">
        <v>0</v>
      </c>
      <c r="AF124" s="59">
        <f t="shared" si="189"/>
        <v>5025.9324999999953</v>
      </c>
      <c r="AP124" s="101"/>
      <c r="AQ124" s="101"/>
    </row>
    <row r="125" spans="1:43" ht="15.9" customHeight="1" x14ac:dyDescent="0.3">
      <c r="A125" s="468"/>
      <c r="B125" s="52" t="s">
        <v>125</v>
      </c>
      <c r="C125" s="53">
        <v>38741</v>
      </c>
      <c r="D125" s="86">
        <v>129811</v>
      </c>
      <c r="E125" s="85">
        <v>10</v>
      </c>
      <c r="F125" s="54">
        <v>50459.957499999997</v>
      </c>
      <c r="G125" s="54">
        <f t="shared" si="193"/>
        <v>79351.04250000001</v>
      </c>
      <c r="H125" s="57">
        <f t="shared" si="190"/>
        <v>6491</v>
      </c>
      <c r="I125" s="58">
        <f t="shared" si="191"/>
        <v>2989</v>
      </c>
      <c r="J125" s="53">
        <f t="shared" si="192"/>
        <v>42392</v>
      </c>
      <c r="K125" s="60">
        <f>+J125-C125-I125+1</f>
        <v>663</v>
      </c>
      <c r="L125" s="80">
        <v>0</v>
      </c>
      <c r="M125" s="80"/>
      <c r="N125" s="57">
        <f>+ROUND((G125-H125)*365/K125,0)</f>
        <v>40111</v>
      </c>
      <c r="O125" s="57">
        <f>+ROUND((G125-H125)*(K125-365)/K125,0)</f>
        <v>32749</v>
      </c>
      <c r="P125" s="80">
        <v>0</v>
      </c>
      <c r="Q125" s="80">
        <v>0</v>
      </c>
      <c r="R125" s="80">
        <v>0</v>
      </c>
      <c r="S125" s="80">
        <v>0</v>
      </c>
      <c r="T125" s="80">
        <v>0</v>
      </c>
      <c r="U125" s="353">
        <v>0</v>
      </c>
      <c r="V125" s="80">
        <v>0</v>
      </c>
      <c r="W125" s="80">
        <v>0</v>
      </c>
      <c r="X125" s="80">
        <v>0</v>
      </c>
      <c r="Y125" s="80">
        <v>0</v>
      </c>
      <c r="Z125" s="80">
        <v>0</v>
      </c>
      <c r="AA125" s="80">
        <v>0</v>
      </c>
      <c r="AB125" s="80">
        <v>0</v>
      </c>
      <c r="AC125" s="80">
        <v>0</v>
      </c>
      <c r="AD125" s="80">
        <v>0</v>
      </c>
      <c r="AE125" s="80">
        <v>0</v>
      </c>
      <c r="AF125" s="59">
        <f t="shared" si="189"/>
        <v>6491.0425000000105</v>
      </c>
      <c r="AP125" s="101"/>
      <c r="AQ125" s="101"/>
    </row>
    <row r="126" spans="1:43" ht="15.9" customHeight="1" x14ac:dyDescent="0.3">
      <c r="A126" s="468"/>
      <c r="B126" s="52" t="s">
        <v>338</v>
      </c>
      <c r="C126" s="53">
        <v>38685</v>
      </c>
      <c r="D126" s="86">
        <v>47236</v>
      </c>
      <c r="E126" s="85">
        <v>10</v>
      </c>
      <c r="F126" s="54">
        <v>47236</v>
      </c>
      <c r="G126" s="54">
        <f t="shared" si="193"/>
        <v>0</v>
      </c>
      <c r="H126" s="57">
        <v>0</v>
      </c>
      <c r="I126" s="58">
        <v>0</v>
      </c>
      <c r="J126" s="58">
        <v>0</v>
      </c>
      <c r="K126" s="58">
        <v>0</v>
      </c>
      <c r="L126" s="80">
        <v>0</v>
      </c>
      <c r="M126" s="80"/>
      <c r="N126" s="80">
        <v>0</v>
      </c>
      <c r="O126" s="80">
        <v>0</v>
      </c>
      <c r="P126" s="80">
        <v>0</v>
      </c>
      <c r="Q126" s="80">
        <v>0</v>
      </c>
      <c r="R126" s="80">
        <v>0</v>
      </c>
      <c r="S126" s="80">
        <v>0</v>
      </c>
      <c r="T126" s="80">
        <v>0</v>
      </c>
      <c r="U126" s="353">
        <v>0</v>
      </c>
      <c r="V126" s="80">
        <v>0</v>
      </c>
      <c r="W126" s="80">
        <v>0</v>
      </c>
      <c r="X126" s="80">
        <v>0</v>
      </c>
      <c r="Y126" s="80">
        <v>0</v>
      </c>
      <c r="Z126" s="80">
        <v>0</v>
      </c>
      <c r="AA126" s="80">
        <v>0</v>
      </c>
      <c r="AB126" s="80">
        <v>0</v>
      </c>
      <c r="AC126" s="80">
        <v>0</v>
      </c>
      <c r="AD126" s="80">
        <v>0</v>
      </c>
      <c r="AE126" s="80">
        <v>0</v>
      </c>
      <c r="AF126" s="59">
        <f t="shared" si="189"/>
        <v>0</v>
      </c>
      <c r="AP126" s="101"/>
      <c r="AQ126" s="101"/>
    </row>
    <row r="127" spans="1:43" ht="15.9" customHeight="1" x14ac:dyDescent="0.3">
      <c r="A127" s="468"/>
      <c r="B127" s="90" t="s">
        <v>127</v>
      </c>
      <c r="C127" s="53">
        <v>38498</v>
      </c>
      <c r="D127" s="86">
        <v>6200</v>
      </c>
      <c r="E127" s="85">
        <v>10</v>
      </c>
      <c r="F127" s="54">
        <v>2607.62</v>
      </c>
      <c r="G127" s="54">
        <f t="shared" si="193"/>
        <v>3592.38</v>
      </c>
      <c r="H127" s="57">
        <f t="shared" si="190"/>
        <v>310</v>
      </c>
      <c r="I127" s="58">
        <f t="shared" si="191"/>
        <v>3232</v>
      </c>
      <c r="J127" s="53">
        <f t="shared" si="192"/>
        <v>42149</v>
      </c>
      <c r="K127" s="60">
        <f>+J127-C127-I127+1</f>
        <v>420</v>
      </c>
      <c r="L127" s="80">
        <v>0</v>
      </c>
      <c r="M127" s="80"/>
      <c r="N127" s="57">
        <f>+ROUND((G127-H127)*365/K127,0)</f>
        <v>2853</v>
      </c>
      <c r="O127" s="57">
        <f>+ROUND((G127-H127)*(K127-365)/K127,0)</f>
        <v>430</v>
      </c>
      <c r="P127" s="80">
        <v>0</v>
      </c>
      <c r="Q127" s="80">
        <v>0</v>
      </c>
      <c r="R127" s="80">
        <v>0</v>
      </c>
      <c r="S127" s="80">
        <v>0</v>
      </c>
      <c r="T127" s="80">
        <v>0</v>
      </c>
      <c r="U127" s="353">
        <v>0</v>
      </c>
      <c r="V127" s="80">
        <v>0</v>
      </c>
      <c r="W127" s="80">
        <v>0</v>
      </c>
      <c r="X127" s="80">
        <v>0</v>
      </c>
      <c r="Y127" s="80">
        <v>0</v>
      </c>
      <c r="Z127" s="80">
        <v>0</v>
      </c>
      <c r="AA127" s="80">
        <v>0</v>
      </c>
      <c r="AB127" s="80">
        <v>0</v>
      </c>
      <c r="AC127" s="80">
        <v>0</v>
      </c>
      <c r="AD127" s="80">
        <v>0</v>
      </c>
      <c r="AE127" s="80">
        <v>0</v>
      </c>
      <c r="AF127" s="59">
        <f t="shared" si="189"/>
        <v>309.38000000000011</v>
      </c>
      <c r="AP127" s="101"/>
      <c r="AQ127" s="101"/>
    </row>
    <row r="128" spans="1:43" ht="15.9" customHeight="1" x14ac:dyDescent="0.3">
      <c r="A128" s="468"/>
      <c r="B128" s="52" t="s">
        <v>225</v>
      </c>
      <c r="C128" s="53">
        <v>38558</v>
      </c>
      <c r="D128" s="86">
        <v>3280</v>
      </c>
      <c r="E128" s="85">
        <v>10</v>
      </c>
      <c r="F128" s="54">
        <v>3280</v>
      </c>
      <c r="G128" s="54">
        <f t="shared" si="193"/>
        <v>0</v>
      </c>
      <c r="H128" s="57">
        <v>0</v>
      </c>
      <c r="I128" s="58">
        <v>0</v>
      </c>
      <c r="J128" s="58">
        <v>0</v>
      </c>
      <c r="K128" s="58">
        <v>0</v>
      </c>
      <c r="L128" s="80">
        <v>0</v>
      </c>
      <c r="M128" s="80"/>
      <c r="N128" s="80">
        <v>0</v>
      </c>
      <c r="O128" s="80">
        <v>0</v>
      </c>
      <c r="P128" s="80">
        <v>0</v>
      </c>
      <c r="Q128" s="80">
        <v>0</v>
      </c>
      <c r="R128" s="80">
        <v>0</v>
      </c>
      <c r="S128" s="80">
        <v>0</v>
      </c>
      <c r="T128" s="80">
        <v>0</v>
      </c>
      <c r="U128" s="353">
        <v>0</v>
      </c>
      <c r="V128" s="80">
        <v>0</v>
      </c>
      <c r="W128" s="80">
        <v>0</v>
      </c>
      <c r="X128" s="80">
        <v>0</v>
      </c>
      <c r="Y128" s="80">
        <v>0</v>
      </c>
      <c r="Z128" s="80">
        <v>0</v>
      </c>
      <c r="AA128" s="80">
        <v>0</v>
      </c>
      <c r="AB128" s="80">
        <v>0</v>
      </c>
      <c r="AC128" s="80">
        <v>0</v>
      </c>
      <c r="AD128" s="80">
        <v>0</v>
      </c>
      <c r="AE128" s="80">
        <v>0</v>
      </c>
      <c r="AF128" s="59">
        <f t="shared" si="189"/>
        <v>0</v>
      </c>
      <c r="AP128" s="101"/>
      <c r="AQ128" s="101"/>
    </row>
    <row r="129" spans="1:43" ht="15.9" customHeight="1" x14ac:dyDescent="0.3">
      <c r="A129" s="468"/>
      <c r="B129" s="52" t="s">
        <v>225</v>
      </c>
      <c r="C129" s="53">
        <v>38450</v>
      </c>
      <c r="D129" s="86">
        <v>5750</v>
      </c>
      <c r="E129" s="85">
        <v>10</v>
      </c>
      <c r="F129" s="54">
        <f>6044.525-3280</f>
        <v>2764.5249999999996</v>
      </c>
      <c r="G129" s="54">
        <f t="shared" si="193"/>
        <v>2985.4750000000004</v>
      </c>
      <c r="H129" s="57">
        <f t="shared" si="190"/>
        <v>288</v>
      </c>
      <c r="I129" s="58">
        <f t="shared" si="191"/>
        <v>3280</v>
      </c>
      <c r="J129" s="53">
        <f t="shared" si="192"/>
        <v>42101</v>
      </c>
      <c r="K129" s="60">
        <f>+J129-C129-I129+1</f>
        <v>372</v>
      </c>
      <c r="L129" s="80">
        <v>0</v>
      </c>
      <c r="M129" s="80"/>
      <c r="N129" s="57">
        <f>+ROUND((G129-H129)*365/K129,0)</f>
        <v>2647</v>
      </c>
      <c r="O129" s="57">
        <f>+ROUND((G129-H129)*(K129-365)/K129,0)</f>
        <v>51</v>
      </c>
      <c r="P129" s="80">
        <v>0</v>
      </c>
      <c r="Q129" s="80">
        <v>0</v>
      </c>
      <c r="R129" s="80">
        <v>0</v>
      </c>
      <c r="S129" s="80">
        <v>0</v>
      </c>
      <c r="T129" s="80">
        <v>0</v>
      </c>
      <c r="U129" s="353">
        <v>0</v>
      </c>
      <c r="V129" s="80">
        <v>0</v>
      </c>
      <c r="W129" s="80">
        <v>0</v>
      </c>
      <c r="X129" s="80">
        <v>0</v>
      </c>
      <c r="Y129" s="80">
        <v>0</v>
      </c>
      <c r="Z129" s="80">
        <v>0</v>
      </c>
      <c r="AA129" s="80">
        <v>0</v>
      </c>
      <c r="AB129" s="80">
        <v>0</v>
      </c>
      <c r="AC129" s="80">
        <v>0</v>
      </c>
      <c r="AD129" s="80">
        <v>0</v>
      </c>
      <c r="AE129" s="80">
        <v>0</v>
      </c>
      <c r="AF129" s="59">
        <f t="shared" si="189"/>
        <v>287.47500000000036</v>
      </c>
      <c r="AP129" s="101"/>
      <c r="AQ129" s="101"/>
    </row>
    <row r="130" spans="1:43" ht="15.9" customHeight="1" x14ac:dyDescent="0.3">
      <c r="A130" s="468"/>
      <c r="B130" s="52" t="s">
        <v>337</v>
      </c>
      <c r="C130" s="53">
        <v>38498</v>
      </c>
      <c r="D130" s="86">
        <v>1250</v>
      </c>
      <c r="E130" s="85">
        <v>10</v>
      </c>
      <c r="F130" s="54">
        <v>1250</v>
      </c>
      <c r="G130" s="54">
        <f t="shared" si="193"/>
        <v>0</v>
      </c>
      <c r="H130" s="57">
        <v>0</v>
      </c>
      <c r="I130" s="58">
        <v>0</v>
      </c>
      <c r="J130" s="58">
        <v>0</v>
      </c>
      <c r="K130" s="58">
        <v>0</v>
      </c>
      <c r="L130" s="80">
        <v>0</v>
      </c>
      <c r="M130" s="80"/>
      <c r="N130" s="80">
        <v>0</v>
      </c>
      <c r="O130" s="80"/>
      <c r="P130" s="80">
        <v>0</v>
      </c>
      <c r="Q130" s="80">
        <v>0</v>
      </c>
      <c r="R130" s="80">
        <v>0</v>
      </c>
      <c r="S130" s="80">
        <v>0</v>
      </c>
      <c r="T130" s="80">
        <v>0</v>
      </c>
      <c r="U130" s="353">
        <v>0</v>
      </c>
      <c r="V130" s="80">
        <v>0</v>
      </c>
      <c r="W130" s="80">
        <v>0</v>
      </c>
      <c r="X130" s="80">
        <v>0</v>
      </c>
      <c r="Y130" s="80">
        <v>0</v>
      </c>
      <c r="Z130" s="80">
        <v>0</v>
      </c>
      <c r="AA130" s="80">
        <v>0</v>
      </c>
      <c r="AB130" s="80">
        <v>0</v>
      </c>
      <c r="AC130" s="80">
        <v>0</v>
      </c>
      <c r="AD130" s="80">
        <v>0</v>
      </c>
      <c r="AE130" s="80">
        <v>0</v>
      </c>
      <c r="AF130" s="59">
        <f t="shared" si="189"/>
        <v>0</v>
      </c>
      <c r="AP130" s="101"/>
      <c r="AQ130" s="101"/>
    </row>
    <row r="131" spans="1:43" ht="15.9" customHeight="1" x14ac:dyDescent="0.3">
      <c r="A131" s="468"/>
      <c r="B131" s="52" t="s">
        <v>336</v>
      </c>
      <c r="C131" s="53">
        <v>38446</v>
      </c>
      <c r="D131" s="86">
        <v>50270</v>
      </c>
      <c r="E131" s="85">
        <v>10</v>
      </c>
      <c r="F131" s="54">
        <v>50270</v>
      </c>
      <c r="G131" s="54">
        <f t="shared" si="193"/>
        <v>0</v>
      </c>
      <c r="H131" s="57">
        <v>0</v>
      </c>
      <c r="I131" s="58">
        <v>0</v>
      </c>
      <c r="J131" s="58">
        <v>0</v>
      </c>
      <c r="K131" s="58">
        <v>0</v>
      </c>
      <c r="L131" s="80">
        <v>0</v>
      </c>
      <c r="M131" s="80"/>
      <c r="N131" s="80">
        <v>0</v>
      </c>
      <c r="O131" s="80">
        <v>0</v>
      </c>
      <c r="P131" s="80">
        <v>0</v>
      </c>
      <c r="Q131" s="80">
        <v>0</v>
      </c>
      <c r="R131" s="80">
        <v>0</v>
      </c>
      <c r="S131" s="80">
        <v>0</v>
      </c>
      <c r="T131" s="80">
        <v>0</v>
      </c>
      <c r="U131" s="353">
        <v>0</v>
      </c>
      <c r="V131" s="80">
        <v>0</v>
      </c>
      <c r="W131" s="80">
        <v>0</v>
      </c>
      <c r="X131" s="80">
        <v>0</v>
      </c>
      <c r="Y131" s="80">
        <v>0</v>
      </c>
      <c r="Z131" s="80">
        <v>0</v>
      </c>
      <c r="AA131" s="80">
        <v>0</v>
      </c>
      <c r="AB131" s="80">
        <v>0</v>
      </c>
      <c r="AC131" s="80">
        <v>0</v>
      </c>
      <c r="AD131" s="80">
        <v>0</v>
      </c>
      <c r="AE131" s="80">
        <v>0</v>
      </c>
      <c r="AF131" s="59">
        <f t="shared" si="189"/>
        <v>0</v>
      </c>
      <c r="AP131" s="101"/>
      <c r="AQ131" s="101"/>
    </row>
    <row r="132" spans="1:43" ht="15.9" customHeight="1" x14ac:dyDescent="0.3">
      <c r="A132" s="468"/>
      <c r="B132" s="52" t="s">
        <v>335</v>
      </c>
      <c r="C132" s="53">
        <v>38462</v>
      </c>
      <c r="D132" s="86">
        <v>9764</v>
      </c>
      <c r="E132" s="85">
        <v>10</v>
      </c>
      <c r="F132" s="54">
        <v>9764</v>
      </c>
      <c r="G132" s="54">
        <f t="shared" si="193"/>
        <v>0</v>
      </c>
      <c r="H132" s="57">
        <v>0</v>
      </c>
      <c r="I132" s="58">
        <v>0</v>
      </c>
      <c r="J132" s="58">
        <v>0</v>
      </c>
      <c r="K132" s="58">
        <v>0</v>
      </c>
      <c r="L132" s="80">
        <v>0</v>
      </c>
      <c r="M132" s="80"/>
      <c r="N132" s="80">
        <v>0</v>
      </c>
      <c r="O132" s="80">
        <v>0</v>
      </c>
      <c r="P132" s="80">
        <v>0</v>
      </c>
      <c r="Q132" s="80">
        <v>0</v>
      </c>
      <c r="R132" s="80">
        <v>0</v>
      </c>
      <c r="S132" s="80">
        <v>0</v>
      </c>
      <c r="T132" s="80">
        <v>0</v>
      </c>
      <c r="U132" s="353">
        <v>0</v>
      </c>
      <c r="V132" s="80">
        <v>0</v>
      </c>
      <c r="W132" s="80">
        <v>0</v>
      </c>
      <c r="X132" s="80">
        <v>0</v>
      </c>
      <c r="Y132" s="80">
        <v>0</v>
      </c>
      <c r="Z132" s="80">
        <v>0</v>
      </c>
      <c r="AA132" s="80">
        <v>0</v>
      </c>
      <c r="AB132" s="80">
        <v>0</v>
      </c>
      <c r="AC132" s="80">
        <v>0</v>
      </c>
      <c r="AD132" s="80">
        <v>0</v>
      </c>
      <c r="AE132" s="80">
        <v>0</v>
      </c>
      <c r="AF132" s="59">
        <f t="shared" si="189"/>
        <v>0</v>
      </c>
      <c r="AP132" s="101"/>
      <c r="AQ132" s="101"/>
    </row>
    <row r="133" spans="1:43" ht="15.9" customHeight="1" x14ac:dyDescent="0.3">
      <c r="A133" s="468"/>
      <c r="B133" s="52" t="s">
        <v>334</v>
      </c>
      <c r="C133" s="53">
        <v>38485</v>
      </c>
      <c r="D133" s="86">
        <v>4777</v>
      </c>
      <c r="E133" s="85">
        <v>10</v>
      </c>
      <c r="F133" s="54">
        <v>4777</v>
      </c>
      <c r="G133" s="54">
        <f t="shared" si="193"/>
        <v>0</v>
      </c>
      <c r="H133" s="57">
        <v>0</v>
      </c>
      <c r="I133" s="58">
        <v>0</v>
      </c>
      <c r="J133" s="58">
        <v>0</v>
      </c>
      <c r="K133" s="58">
        <v>0</v>
      </c>
      <c r="L133" s="80">
        <v>0</v>
      </c>
      <c r="M133" s="80"/>
      <c r="N133" s="80">
        <v>0</v>
      </c>
      <c r="O133" s="80">
        <v>0</v>
      </c>
      <c r="P133" s="80">
        <v>0</v>
      </c>
      <c r="Q133" s="80">
        <v>0</v>
      </c>
      <c r="R133" s="80">
        <v>0</v>
      </c>
      <c r="S133" s="80">
        <v>0</v>
      </c>
      <c r="T133" s="80">
        <v>0</v>
      </c>
      <c r="U133" s="353">
        <v>0</v>
      </c>
      <c r="V133" s="80">
        <v>0</v>
      </c>
      <c r="W133" s="80">
        <v>0</v>
      </c>
      <c r="X133" s="80">
        <v>0</v>
      </c>
      <c r="Y133" s="80">
        <v>0</v>
      </c>
      <c r="Z133" s="80">
        <v>0</v>
      </c>
      <c r="AA133" s="80">
        <v>0</v>
      </c>
      <c r="AB133" s="80">
        <v>0</v>
      </c>
      <c r="AC133" s="80">
        <v>0</v>
      </c>
      <c r="AD133" s="80">
        <v>0</v>
      </c>
      <c r="AE133" s="80">
        <v>0</v>
      </c>
      <c r="AF133" s="59">
        <f t="shared" si="189"/>
        <v>0</v>
      </c>
      <c r="AP133" s="101"/>
      <c r="AQ133" s="101"/>
    </row>
    <row r="134" spans="1:43" ht="15.9" customHeight="1" x14ac:dyDescent="0.3">
      <c r="A134" s="468"/>
      <c r="B134" s="52" t="s">
        <v>128</v>
      </c>
      <c r="C134" s="53">
        <v>38492</v>
      </c>
      <c r="D134" s="86">
        <v>10396</v>
      </c>
      <c r="E134" s="85">
        <v>10</v>
      </c>
      <c r="F134" s="54">
        <v>4378.57</v>
      </c>
      <c r="G134" s="54">
        <f t="shared" si="193"/>
        <v>6017.43</v>
      </c>
      <c r="H134" s="57">
        <f t="shared" si="190"/>
        <v>520</v>
      </c>
      <c r="I134" s="58">
        <f t="shared" si="191"/>
        <v>3238</v>
      </c>
      <c r="J134" s="53">
        <f t="shared" si="192"/>
        <v>42143</v>
      </c>
      <c r="K134" s="60">
        <f>+J134-C134-I134+1</f>
        <v>414</v>
      </c>
      <c r="L134" s="80">
        <v>0</v>
      </c>
      <c r="M134" s="80"/>
      <c r="N134" s="57">
        <f>+ROUND((G134-H134)*365/K134,0)</f>
        <v>4847</v>
      </c>
      <c r="O134" s="57">
        <f>+ROUND((G134-H134)*(K134-365)/K134,0)</f>
        <v>651</v>
      </c>
      <c r="P134" s="80">
        <v>0</v>
      </c>
      <c r="Q134" s="80">
        <v>0</v>
      </c>
      <c r="R134" s="80">
        <v>0</v>
      </c>
      <c r="S134" s="80">
        <v>0</v>
      </c>
      <c r="T134" s="80">
        <v>0</v>
      </c>
      <c r="U134" s="353">
        <v>0</v>
      </c>
      <c r="V134" s="80">
        <v>0</v>
      </c>
      <c r="W134" s="80">
        <v>0</v>
      </c>
      <c r="X134" s="80">
        <v>0</v>
      </c>
      <c r="Y134" s="80">
        <v>0</v>
      </c>
      <c r="Z134" s="80">
        <v>0</v>
      </c>
      <c r="AA134" s="80">
        <v>0</v>
      </c>
      <c r="AB134" s="80">
        <v>0</v>
      </c>
      <c r="AC134" s="80">
        <v>0</v>
      </c>
      <c r="AD134" s="80">
        <v>0</v>
      </c>
      <c r="AE134" s="80">
        <v>0</v>
      </c>
      <c r="AF134" s="59">
        <f t="shared" si="189"/>
        <v>519.43000000000029</v>
      </c>
      <c r="AP134" s="101"/>
      <c r="AQ134" s="101"/>
    </row>
    <row r="135" spans="1:43" ht="15.9" customHeight="1" x14ac:dyDescent="0.3">
      <c r="A135" s="468"/>
      <c r="B135" s="52" t="s">
        <v>333</v>
      </c>
      <c r="C135" s="53">
        <v>38493</v>
      </c>
      <c r="D135" s="86">
        <v>123147</v>
      </c>
      <c r="E135" s="85">
        <v>10</v>
      </c>
      <c r="F135" s="54">
        <v>123147</v>
      </c>
      <c r="G135" s="54">
        <f t="shared" si="193"/>
        <v>0</v>
      </c>
      <c r="H135" s="57">
        <v>0</v>
      </c>
      <c r="I135" s="58">
        <v>0</v>
      </c>
      <c r="J135" s="58">
        <v>0</v>
      </c>
      <c r="K135" s="58">
        <v>0</v>
      </c>
      <c r="L135" s="80">
        <v>0</v>
      </c>
      <c r="M135" s="80"/>
      <c r="N135" s="80">
        <v>0</v>
      </c>
      <c r="O135" s="80">
        <v>0</v>
      </c>
      <c r="P135" s="80">
        <v>0</v>
      </c>
      <c r="Q135" s="80">
        <v>0</v>
      </c>
      <c r="R135" s="80">
        <v>0</v>
      </c>
      <c r="S135" s="80">
        <v>0</v>
      </c>
      <c r="T135" s="80">
        <v>0</v>
      </c>
      <c r="U135" s="353">
        <v>0</v>
      </c>
      <c r="V135" s="80">
        <v>0</v>
      </c>
      <c r="W135" s="80">
        <v>0</v>
      </c>
      <c r="X135" s="80">
        <v>0</v>
      </c>
      <c r="Y135" s="80">
        <v>0</v>
      </c>
      <c r="Z135" s="80">
        <v>0</v>
      </c>
      <c r="AA135" s="80">
        <v>0</v>
      </c>
      <c r="AB135" s="80">
        <v>0</v>
      </c>
      <c r="AC135" s="80">
        <v>0</v>
      </c>
      <c r="AD135" s="80">
        <v>0</v>
      </c>
      <c r="AE135" s="80">
        <v>0</v>
      </c>
      <c r="AF135" s="59">
        <f t="shared" si="189"/>
        <v>0</v>
      </c>
      <c r="AP135" s="101"/>
      <c r="AQ135" s="101"/>
    </row>
    <row r="136" spans="1:43" ht="15.9" customHeight="1" x14ac:dyDescent="0.3">
      <c r="A136" s="468"/>
      <c r="B136" s="52" t="s">
        <v>223</v>
      </c>
      <c r="C136" s="53">
        <v>38503</v>
      </c>
      <c r="D136" s="86">
        <v>18025</v>
      </c>
      <c r="E136" s="85">
        <v>10</v>
      </c>
      <c r="F136" s="54">
        <v>7565</v>
      </c>
      <c r="G136" s="54">
        <f t="shared" si="193"/>
        <v>10460</v>
      </c>
      <c r="H136" s="57">
        <f t="shared" si="190"/>
        <v>901</v>
      </c>
      <c r="I136" s="58">
        <f t="shared" si="191"/>
        <v>3227</v>
      </c>
      <c r="J136" s="53">
        <f t="shared" si="192"/>
        <v>42154</v>
      </c>
      <c r="K136" s="60">
        <f>+J136-C136-I136+1</f>
        <v>425</v>
      </c>
      <c r="L136" s="80">
        <v>0</v>
      </c>
      <c r="M136" s="80"/>
      <c r="N136" s="57">
        <f>+ROUND((G136-H136)*365/K136,0)</f>
        <v>8209</v>
      </c>
      <c r="O136" s="57">
        <f>+ROUND((G136-H136)*(K136-365)/K136,0)</f>
        <v>1350</v>
      </c>
      <c r="P136" s="80">
        <v>0</v>
      </c>
      <c r="Q136" s="80">
        <v>0</v>
      </c>
      <c r="R136" s="80">
        <v>0</v>
      </c>
      <c r="S136" s="80">
        <v>0</v>
      </c>
      <c r="T136" s="80">
        <v>0</v>
      </c>
      <c r="U136" s="353">
        <v>0</v>
      </c>
      <c r="V136" s="80">
        <v>0</v>
      </c>
      <c r="W136" s="80">
        <v>0</v>
      </c>
      <c r="X136" s="80">
        <v>0</v>
      </c>
      <c r="Y136" s="80">
        <v>0</v>
      </c>
      <c r="Z136" s="80">
        <v>0</v>
      </c>
      <c r="AA136" s="80">
        <v>0</v>
      </c>
      <c r="AB136" s="80">
        <v>0</v>
      </c>
      <c r="AC136" s="80">
        <v>0</v>
      </c>
      <c r="AD136" s="80">
        <v>0</v>
      </c>
      <c r="AE136" s="80">
        <v>0</v>
      </c>
      <c r="AF136" s="59">
        <f t="shared" si="189"/>
        <v>901</v>
      </c>
      <c r="AP136" s="101"/>
      <c r="AQ136" s="101"/>
    </row>
    <row r="137" spans="1:43" ht="15.9" customHeight="1" x14ac:dyDescent="0.3">
      <c r="A137" s="468"/>
      <c r="B137" s="52" t="s">
        <v>223</v>
      </c>
      <c r="C137" s="53">
        <v>38512</v>
      </c>
      <c r="D137" s="86">
        <v>18025</v>
      </c>
      <c r="E137" s="85">
        <v>10</v>
      </c>
      <c r="F137" s="54">
        <v>7544</v>
      </c>
      <c r="G137" s="54">
        <f t="shared" si="193"/>
        <v>10481</v>
      </c>
      <c r="H137" s="57">
        <f t="shared" si="190"/>
        <v>901</v>
      </c>
      <c r="I137" s="58">
        <f t="shared" si="191"/>
        <v>3218</v>
      </c>
      <c r="J137" s="53">
        <f t="shared" si="192"/>
        <v>42163</v>
      </c>
      <c r="K137" s="60">
        <f>+J137-C137-I137+1</f>
        <v>434</v>
      </c>
      <c r="L137" s="80">
        <v>0</v>
      </c>
      <c r="M137" s="80"/>
      <c r="N137" s="57">
        <f>+ROUND((G137-H137)*365/K137,0)</f>
        <v>8057</v>
      </c>
      <c r="O137" s="57">
        <f>+ROUND((G137-H137)*(K137-365)/K137,0)</f>
        <v>1523</v>
      </c>
      <c r="P137" s="80">
        <v>0</v>
      </c>
      <c r="Q137" s="80">
        <v>0</v>
      </c>
      <c r="R137" s="80">
        <v>0</v>
      </c>
      <c r="S137" s="80">
        <v>0</v>
      </c>
      <c r="T137" s="80">
        <v>0</v>
      </c>
      <c r="U137" s="353">
        <v>0</v>
      </c>
      <c r="V137" s="80">
        <v>0</v>
      </c>
      <c r="W137" s="80">
        <v>0</v>
      </c>
      <c r="X137" s="80">
        <v>0</v>
      </c>
      <c r="Y137" s="80">
        <v>0</v>
      </c>
      <c r="Z137" s="80">
        <v>0</v>
      </c>
      <c r="AA137" s="80">
        <v>0</v>
      </c>
      <c r="AB137" s="80">
        <v>0</v>
      </c>
      <c r="AC137" s="80">
        <v>0</v>
      </c>
      <c r="AD137" s="80">
        <v>0</v>
      </c>
      <c r="AE137" s="80">
        <v>0</v>
      </c>
      <c r="AF137" s="59">
        <f t="shared" si="189"/>
        <v>901</v>
      </c>
      <c r="AP137" s="101"/>
      <c r="AQ137" s="101"/>
    </row>
    <row r="138" spans="1:43" ht="15.9" customHeight="1" x14ac:dyDescent="0.3">
      <c r="A138" s="468"/>
      <c r="B138" s="52" t="s">
        <v>129</v>
      </c>
      <c r="C138" s="53">
        <v>38538</v>
      </c>
      <c r="D138" s="86">
        <v>6100</v>
      </c>
      <c r="E138" s="85">
        <v>10</v>
      </c>
      <c r="F138" s="54">
        <v>2533.09</v>
      </c>
      <c r="G138" s="54">
        <f t="shared" si="193"/>
        <v>3566.91</v>
      </c>
      <c r="H138" s="57">
        <f t="shared" si="190"/>
        <v>305</v>
      </c>
      <c r="I138" s="58">
        <f t="shared" si="191"/>
        <v>3192</v>
      </c>
      <c r="J138" s="53">
        <f t="shared" si="192"/>
        <v>42189</v>
      </c>
      <c r="K138" s="60">
        <f>+J138-C138-I138+1</f>
        <v>460</v>
      </c>
      <c r="L138" s="80">
        <v>0</v>
      </c>
      <c r="M138" s="80"/>
      <c r="N138" s="57">
        <f>+ROUND((G138-H138)*365/K138,0)</f>
        <v>2588</v>
      </c>
      <c r="O138" s="57">
        <f>+ROUND((G138-H138)*(K138-365)/K138,0)</f>
        <v>674</v>
      </c>
      <c r="P138" s="80">
        <v>0</v>
      </c>
      <c r="Q138" s="80">
        <v>0</v>
      </c>
      <c r="R138" s="80">
        <v>0</v>
      </c>
      <c r="S138" s="80">
        <v>0</v>
      </c>
      <c r="T138" s="80">
        <v>0</v>
      </c>
      <c r="U138" s="353">
        <v>0</v>
      </c>
      <c r="V138" s="80">
        <v>0</v>
      </c>
      <c r="W138" s="80">
        <v>0</v>
      </c>
      <c r="X138" s="80">
        <v>0</v>
      </c>
      <c r="Y138" s="80">
        <v>0</v>
      </c>
      <c r="Z138" s="80">
        <v>0</v>
      </c>
      <c r="AA138" s="80">
        <v>0</v>
      </c>
      <c r="AB138" s="80">
        <v>0</v>
      </c>
      <c r="AC138" s="80">
        <v>0</v>
      </c>
      <c r="AD138" s="80">
        <v>0</v>
      </c>
      <c r="AE138" s="80">
        <v>0</v>
      </c>
      <c r="AF138" s="59">
        <f t="shared" si="189"/>
        <v>304.90999999999985</v>
      </c>
      <c r="AP138" s="101"/>
      <c r="AQ138" s="101"/>
    </row>
    <row r="139" spans="1:43" ht="15.9" customHeight="1" x14ac:dyDescent="0.3">
      <c r="A139" s="468"/>
      <c r="B139" s="52" t="s">
        <v>340</v>
      </c>
      <c r="C139" s="53">
        <v>38548</v>
      </c>
      <c r="D139" s="86">
        <v>11950</v>
      </c>
      <c r="E139" s="85">
        <v>10</v>
      </c>
      <c r="F139" s="54">
        <v>11950</v>
      </c>
      <c r="G139" s="54">
        <f t="shared" si="193"/>
        <v>0</v>
      </c>
      <c r="H139" s="57">
        <v>0</v>
      </c>
      <c r="I139" s="58">
        <v>0</v>
      </c>
      <c r="J139" s="58">
        <v>0</v>
      </c>
      <c r="K139" s="58">
        <v>0</v>
      </c>
      <c r="L139" s="80">
        <v>0</v>
      </c>
      <c r="M139" s="80"/>
      <c r="N139" s="80">
        <v>0</v>
      </c>
      <c r="O139" s="80">
        <v>0</v>
      </c>
      <c r="P139" s="80">
        <v>0</v>
      </c>
      <c r="Q139" s="80">
        <v>0</v>
      </c>
      <c r="R139" s="80">
        <v>0</v>
      </c>
      <c r="S139" s="80">
        <v>0</v>
      </c>
      <c r="T139" s="80">
        <v>0</v>
      </c>
      <c r="U139" s="353">
        <v>0</v>
      </c>
      <c r="V139" s="80">
        <v>0</v>
      </c>
      <c r="W139" s="80">
        <v>0</v>
      </c>
      <c r="X139" s="80">
        <v>0</v>
      </c>
      <c r="Y139" s="80">
        <v>0</v>
      </c>
      <c r="Z139" s="80">
        <v>0</v>
      </c>
      <c r="AA139" s="80">
        <v>0</v>
      </c>
      <c r="AB139" s="80">
        <v>0</v>
      </c>
      <c r="AC139" s="80">
        <v>0</v>
      </c>
      <c r="AD139" s="80">
        <v>0</v>
      </c>
      <c r="AE139" s="80">
        <v>0</v>
      </c>
      <c r="AF139" s="59">
        <f t="shared" si="189"/>
        <v>0</v>
      </c>
      <c r="AP139" s="101"/>
      <c r="AQ139" s="101"/>
    </row>
    <row r="140" spans="1:43" ht="15.9" customHeight="1" x14ac:dyDescent="0.3">
      <c r="A140" s="468"/>
      <c r="B140" s="52" t="s">
        <v>130</v>
      </c>
      <c r="C140" s="53">
        <v>38554</v>
      </c>
      <c r="D140" s="86">
        <v>19980</v>
      </c>
      <c r="E140" s="85">
        <v>10</v>
      </c>
      <c r="F140" s="54">
        <v>8252.67</v>
      </c>
      <c r="G140" s="54">
        <f t="shared" si="193"/>
        <v>11727.33</v>
      </c>
      <c r="H140" s="57">
        <f t="shared" si="190"/>
        <v>999</v>
      </c>
      <c r="I140" s="58">
        <f t="shared" si="191"/>
        <v>3176</v>
      </c>
      <c r="J140" s="53">
        <f t="shared" si="192"/>
        <v>42205</v>
      </c>
      <c r="K140" s="60">
        <f>+J140-C140-I140+1</f>
        <v>476</v>
      </c>
      <c r="L140" s="80">
        <v>0</v>
      </c>
      <c r="M140" s="80"/>
      <c r="N140" s="57">
        <f>+ROUND((G140-H140)*365/K140,0)</f>
        <v>8227</v>
      </c>
      <c r="O140" s="57">
        <f>+ROUND((G140-H140)*(K140-365)/K140,0)</f>
        <v>2502</v>
      </c>
      <c r="P140" s="80">
        <v>0</v>
      </c>
      <c r="Q140" s="80">
        <v>0</v>
      </c>
      <c r="R140" s="80">
        <v>0</v>
      </c>
      <c r="S140" s="80">
        <v>0</v>
      </c>
      <c r="T140" s="80">
        <v>0</v>
      </c>
      <c r="U140" s="353">
        <v>0</v>
      </c>
      <c r="V140" s="80">
        <v>0</v>
      </c>
      <c r="W140" s="80">
        <v>0</v>
      </c>
      <c r="X140" s="80">
        <v>0</v>
      </c>
      <c r="Y140" s="80">
        <v>0</v>
      </c>
      <c r="Z140" s="80">
        <v>0</v>
      </c>
      <c r="AA140" s="80">
        <v>0</v>
      </c>
      <c r="AB140" s="80">
        <v>0</v>
      </c>
      <c r="AC140" s="80">
        <v>0</v>
      </c>
      <c r="AD140" s="80">
        <v>0</v>
      </c>
      <c r="AE140" s="80">
        <v>0</v>
      </c>
      <c r="AF140" s="59">
        <f t="shared" si="189"/>
        <v>998.32999999999993</v>
      </c>
      <c r="AP140" s="101"/>
      <c r="AQ140" s="101"/>
    </row>
    <row r="141" spans="1:43" ht="15.9" customHeight="1" x14ac:dyDescent="0.3">
      <c r="A141" s="468"/>
      <c r="B141" s="52" t="s">
        <v>131</v>
      </c>
      <c r="C141" s="53">
        <v>38873</v>
      </c>
      <c r="D141" s="86">
        <v>60320</v>
      </c>
      <c r="E141" s="85">
        <v>10</v>
      </c>
      <c r="F141" s="54">
        <v>22410.760000000002</v>
      </c>
      <c r="G141" s="54">
        <f t="shared" si="193"/>
        <v>37909.24</v>
      </c>
      <c r="H141" s="57">
        <f t="shared" si="190"/>
        <v>3016</v>
      </c>
      <c r="I141" s="58">
        <f t="shared" si="191"/>
        <v>2857</v>
      </c>
      <c r="J141" s="53">
        <f>+C141+3652</f>
        <v>42525</v>
      </c>
      <c r="K141" s="60">
        <f>+J141-C141-I141+1</f>
        <v>796</v>
      </c>
      <c r="L141" s="80">
        <v>0</v>
      </c>
      <c r="M141" s="80"/>
      <c r="N141" s="57">
        <f>+ROUND((G141-H141)*365/K141,0)</f>
        <v>16000</v>
      </c>
      <c r="O141" s="57">
        <f>+ROUND((G141-H141)*365/K141,0)</f>
        <v>16000</v>
      </c>
      <c r="P141" s="57">
        <f>+ROUND((G141-H141)*(K141-730)/K141,0)</f>
        <v>2893</v>
      </c>
      <c r="Q141" s="80">
        <v>0</v>
      </c>
      <c r="R141" s="80">
        <v>0</v>
      </c>
      <c r="S141" s="80">
        <v>0</v>
      </c>
      <c r="T141" s="80">
        <v>0</v>
      </c>
      <c r="U141" s="353">
        <v>0</v>
      </c>
      <c r="V141" s="80">
        <v>0</v>
      </c>
      <c r="W141" s="80">
        <v>0</v>
      </c>
      <c r="X141" s="80">
        <v>0</v>
      </c>
      <c r="Y141" s="80">
        <v>0</v>
      </c>
      <c r="Z141" s="80">
        <v>0</v>
      </c>
      <c r="AA141" s="80">
        <v>0</v>
      </c>
      <c r="AB141" s="80">
        <v>0</v>
      </c>
      <c r="AC141" s="80">
        <v>0</v>
      </c>
      <c r="AD141" s="80">
        <v>0</v>
      </c>
      <c r="AE141" s="80">
        <v>0</v>
      </c>
      <c r="AF141" s="59">
        <f t="shared" si="189"/>
        <v>3016.239999999998</v>
      </c>
      <c r="AP141" s="101"/>
      <c r="AQ141" s="101"/>
    </row>
    <row r="142" spans="1:43" ht="15.9" customHeight="1" x14ac:dyDescent="0.3">
      <c r="A142" s="468"/>
      <c r="B142" s="52" t="s">
        <v>329</v>
      </c>
      <c r="C142" s="53">
        <v>38858</v>
      </c>
      <c r="D142" s="86">
        <v>8500</v>
      </c>
      <c r="E142" s="85">
        <v>10</v>
      </c>
      <c r="F142" s="54">
        <v>8500</v>
      </c>
      <c r="G142" s="54">
        <f t="shared" si="193"/>
        <v>0</v>
      </c>
      <c r="H142" s="57">
        <v>0</v>
      </c>
      <c r="I142" s="58">
        <v>0</v>
      </c>
      <c r="J142" s="58">
        <v>0</v>
      </c>
      <c r="K142" s="58">
        <v>0</v>
      </c>
      <c r="L142" s="80">
        <v>0</v>
      </c>
      <c r="M142" s="80"/>
      <c r="N142" s="80">
        <v>0</v>
      </c>
      <c r="O142" s="80">
        <v>0</v>
      </c>
      <c r="P142" s="80">
        <v>0</v>
      </c>
      <c r="Q142" s="80">
        <v>0</v>
      </c>
      <c r="R142" s="80">
        <v>0</v>
      </c>
      <c r="S142" s="80">
        <v>0</v>
      </c>
      <c r="T142" s="80">
        <v>0</v>
      </c>
      <c r="U142" s="353">
        <v>0</v>
      </c>
      <c r="V142" s="80">
        <v>0</v>
      </c>
      <c r="W142" s="80">
        <v>0</v>
      </c>
      <c r="X142" s="80">
        <v>0</v>
      </c>
      <c r="Y142" s="80">
        <v>0</v>
      </c>
      <c r="Z142" s="80">
        <v>0</v>
      </c>
      <c r="AA142" s="80">
        <v>0</v>
      </c>
      <c r="AB142" s="80">
        <v>0</v>
      </c>
      <c r="AC142" s="80">
        <v>0</v>
      </c>
      <c r="AD142" s="80">
        <v>0</v>
      </c>
      <c r="AE142" s="80">
        <v>0</v>
      </c>
      <c r="AF142" s="59">
        <f t="shared" si="189"/>
        <v>0</v>
      </c>
      <c r="AP142" s="101"/>
      <c r="AQ142" s="101"/>
    </row>
    <row r="143" spans="1:43" ht="15.9" customHeight="1" x14ac:dyDescent="0.3">
      <c r="A143" s="468"/>
      <c r="B143" s="52" t="s">
        <v>330</v>
      </c>
      <c r="C143" s="53">
        <v>38961</v>
      </c>
      <c r="D143" s="86">
        <v>3000</v>
      </c>
      <c r="E143" s="85">
        <v>10</v>
      </c>
      <c r="F143" s="54">
        <v>3000</v>
      </c>
      <c r="G143" s="54">
        <f t="shared" si="193"/>
        <v>0</v>
      </c>
      <c r="H143" s="57">
        <v>0</v>
      </c>
      <c r="I143" s="58">
        <v>0</v>
      </c>
      <c r="J143" s="58">
        <v>0</v>
      </c>
      <c r="K143" s="58">
        <v>0</v>
      </c>
      <c r="L143" s="80">
        <v>0</v>
      </c>
      <c r="M143" s="80"/>
      <c r="N143" s="80">
        <v>0</v>
      </c>
      <c r="O143" s="80">
        <v>0</v>
      </c>
      <c r="P143" s="80">
        <v>0</v>
      </c>
      <c r="Q143" s="80">
        <v>0</v>
      </c>
      <c r="R143" s="80">
        <v>0</v>
      </c>
      <c r="S143" s="80">
        <v>0</v>
      </c>
      <c r="T143" s="80">
        <v>0</v>
      </c>
      <c r="U143" s="353">
        <v>0</v>
      </c>
      <c r="V143" s="80">
        <v>0</v>
      </c>
      <c r="W143" s="80">
        <v>0</v>
      </c>
      <c r="X143" s="80">
        <v>0</v>
      </c>
      <c r="Y143" s="80">
        <v>0</v>
      </c>
      <c r="Z143" s="80">
        <v>0</v>
      </c>
      <c r="AA143" s="80">
        <v>0</v>
      </c>
      <c r="AB143" s="80">
        <v>0</v>
      </c>
      <c r="AC143" s="80">
        <v>0</v>
      </c>
      <c r="AD143" s="80">
        <v>0</v>
      </c>
      <c r="AE143" s="80">
        <v>0</v>
      </c>
      <c r="AF143" s="59">
        <f t="shared" si="189"/>
        <v>0</v>
      </c>
      <c r="AP143" s="101"/>
      <c r="AQ143" s="101"/>
    </row>
    <row r="144" spans="1:43" ht="15.9" customHeight="1" x14ac:dyDescent="0.3">
      <c r="A144" s="468"/>
      <c r="B144" s="52" t="s">
        <v>331</v>
      </c>
      <c r="C144" s="53">
        <v>39111</v>
      </c>
      <c r="D144" s="86">
        <v>13950</v>
      </c>
      <c r="E144" s="85">
        <v>10</v>
      </c>
      <c r="F144" s="54">
        <v>13950</v>
      </c>
      <c r="G144" s="54">
        <f t="shared" si="193"/>
        <v>0</v>
      </c>
      <c r="H144" s="57">
        <v>0</v>
      </c>
      <c r="I144" s="58">
        <v>0</v>
      </c>
      <c r="J144" s="58">
        <v>0</v>
      </c>
      <c r="K144" s="58">
        <v>0</v>
      </c>
      <c r="L144" s="80">
        <v>0</v>
      </c>
      <c r="M144" s="80"/>
      <c r="N144" s="80">
        <v>0</v>
      </c>
      <c r="O144" s="80">
        <v>0</v>
      </c>
      <c r="P144" s="80">
        <v>0</v>
      </c>
      <c r="Q144" s="80">
        <v>0</v>
      </c>
      <c r="R144" s="80">
        <v>0</v>
      </c>
      <c r="S144" s="80">
        <v>0</v>
      </c>
      <c r="T144" s="80">
        <v>0</v>
      </c>
      <c r="U144" s="353">
        <v>0</v>
      </c>
      <c r="V144" s="80">
        <v>0</v>
      </c>
      <c r="W144" s="80">
        <v>0</v>
      </c>
      <c r="X144" s="80">
        <v>0</v>
      </c>
      <c r="Y144" s="80">
        <v>0</v>
      </c>
      <c r="Z144" s="80">
        <v>0</v>
      </c>
      <c r="AA144" s="80">
        <v>0</v>
      </c>
      <c r="AB144" s="80">
        <v>0</v>
      </c>
      <c r="AC144" s="80">
        <v>0</v>
      </c>
      <c r="AD144" s="80">
        <v>0</v>
      </c>
      <c r="AE144" s="80">
        <v>0</v>
      </c>
      <c r="AF144" s="59">
        <f t="shared" si="189"/>
        <v>0</v>
      </c>
      <c r="AP144" s="101"/>
      <c r="AQ144" s="101"/>
    </row>
    <row r="145" spans="1:43" ht="15.9" customHeight="1" x14ac:dyDescent="0.3">
      <c r="A145" s="468"/>
      <c r="B145" s="52" t="s">
        <v>332</v>
      </c>
      <c r="C145" s="53">
        <v>39903</v>
      </c>
      <c r="D145" s="86">
        <v>6733</v>
      </c>
      <c r="E145" s="85">
        <v>10</v>
      </c>
      <c r="F145" s="54">
        <v>6733</v>
      </c>
      <c r="G145" s="54">
        <f t="shared" si="193"/>
        <v>0</v>
      </c>
      <c r="H145" s="57">
        <v>0</v>
      </c>
      <c r="I145" s="58">
        <v>0</v>
      </c>
      <c r="J145" s="58">
        <v>0</v>
      </c>
      <c r="K145" s="58">
        <v>0</v>
      </c>
      <c r="L145" s="80">
        <v>0</v>
      </c>
      <c r="M145" s="80"/>
      <c r="N145" s="80">
        <v>0</v>
      </c>
      <c r="O145" s="80">
        <v>0</v>
      </c>
      <c r="P145" s="80">
        <v>0</v>
      </c>
      <c r="Q145" s="80">
        <v>0</v>
      </c>
      <c r="R145" s="80">
        <v>0</v>
      </c>
      <c r="S145" s="80">
        <v>0</v>
      </c>
      <c r="T145" s="80">
        <v>0</v>
      </c>
      <c r="U145" s="353">
        <v>0</v>
      </c>
      <c r="V145" s="80">
        <v>0</v>
      </c>
      <c r="W145" s="80">
        <v>0</v>
      </c>
      <c r="X145" s="80">
        <v>0</v>
      </c>
      <c r="Y145" s="80">
        <v>0</v>
      </c>
      <c r="Z145" s="80">
        <v>0</v>
      </c>
      <c r="AA145" s="80">
        <v>0</v>
      </c>
      <c r="AB145" s="80">
        <v>0</v>
      </c>
      <c r="AC145" s="80">
        <v>0</v>
      </c>
      <c r="AD145" s="80">
        <v>0</v>
      </c>
      <c r="AE145" s="80">
        <v>0</v>
      </c>
      <c r="AF145" s="59">
        <f t="shared" si="189"/>
        <v>0</v>
      </c>
      <c r="AP145" s="101"/>
      <c r="AQ145" s="101"/>
    </row>
    <row r="146" spans="1:43" ht="15.9" customHeight="1" x14ac:dyDescent="0.3">
      <c r="A146" s="468"/>
      <c r="B146" s="52" t="s">
        <v>132</v>
      </c>
      <c r="C146" s="53">
        <v>39833</v>
      </c>
      <c r="D146" s="86">
        <v>1124884</v>
      </c>
      <c r="E146" s="85">
        <v>10</v>
      </c>
      <c r="F146" s="54">
        <v>277553.59999999998</v>
      </c>
      <c r="G146" s="54">
        <f t="shared" si="193"/>
        <v>847330.4</v>
      </c>
      <c r="H146" s="57">
        <f t="shared" si="190"/>
        <v>56244</v>
      </c>
      <c r="I146" s="58">
        <f t="shared" si="191"/>
        <v>1897</v>
      </c>
      <c r="J146" s="53">
        <f t="shared" si="192"/>
        <v>43484</v>
      </c>
      <c r="K146" s="60">
        <f>+J146-C146-I146+1</f>
        <v>1755</v>
      </c>
      <c r="L146" s="80">
        <v>0</v>
      </c>
      <c r="M146" s="80"/>
      <c r="N146" s="57">
        <f>+ROUND((G146-H146)*365/K146,0)</f>
        <v>164528</v>
      </c>
      <c r="O146" s="57">
        <f>+ROUND((G146-H146)*365/K146,0)</f>
        <v>164528</v>
      </c>
      <c r="P146" s="57">
        <f>+ROUND((G146-H146)*365/K146,0)</f>
        <v>164528</v>
      </c>
      <c r="Q146" s="57">
        <f>+ROUND((G146-H146)*365/K146,0)</f>
        <v>164528</v>
      </c>
      <c r="R146" s="57">
        <f>+ROUND((G146-H146)*(K146-1460)/K146,0)</f>
        <v>132975</v>
      </c>
      <c r="S146" s="80"/>
      <c r="T146" s="80"/>
      <c r="U146" s="353"/>
      <c r="V146" s="80"/>
      <c r="W146" s="80"/>
      <c r="X146" s="91"/>
      <c r="Y146" s="80"/>
      <c r="Z146" s="80"/>
      <c r="AA146" s="80">
        <v>0</v>
      </c>
      <c r="AB146" s="80">
        <v>0</v>
      </c>
      <c r="AC146" s="80">
        <v>0</v>
      </c>
      <c r="AD146" s="80">
        <v>0</v>
      </c>
      <c r="AE146" s="80">
        <v>0</v>
      </c>
      <c r="AF146" s="59">
        <f t="shared" si="189"/>
        <v>56243.400000000023</v>
      </c>
      <c r="AP146" s="101"/>
      <c r="AQ146" s="101"/>
    </row>
    <row r="147" spans="1:43" ht="15.9" customHeight="1" x14ac:dyDescent="0.3">
      <c r="A147" s="468"/>
      <c r="B147" s="52" t="s">
        <v>133</v>
      </c>
      <c r="C147" s="53">
        <v>39842</v>
      </c>
      <c r="D147" s="86">
        <v>544530</v>
      </c>
      <c r="E147" s="85">
        <v>10</v>
      </c>
      <c r="F147" s="54">
        <v>133718.89000000001</v>
      </c>
      <c r="G147" s="54">
        <f t="shared" si="193"/>
        <v>410811.11</v>
      </c>
      <c r="H147" s="57">
        <f t="shared" si="190"/>
        <v>27227</v>
      </c>
      <c r="I147" s="58">
        <f t="shared" si="191"/>
        <v>1888</v>
      </c>
      <c r="J147" s="53">
        <f t="shared" si="192"/>
        <v>43493</v>
      </c>
      <c r="K147" s="60">
        <f>+J147-C147-I147+1</f>
        <v>1764</v>
      </c>
      <c r="L147" s="80">
        <v>0</v>
      </c>
      <c r="M147" s="80"/>
      <c r="N147" s="57">
        <f>+ROUND((G147-H147)*365/K147,0)</f>
        <v>79370</v>
      </c>
      <c r="O147" s="57">
        <f>+ROUND((G147-H147)*365/K147,0)</f>
        <v>79370</v>
      </c>
      <c r="P147" s="57">
        <f>+ROUND((G147-H147)*365/K147,0)</f>
        <v>79370</v>
      </c>
      <c r="Q147" s="57">
        <f>+ROUND((G147-H147)*365/K147,0)</f>
        <v>79370</v>
      </c>
      <c r="R147" s="57">
        <f>+ROUND((G147-H147)*(K147-1460)/K147,0)</f>
        <v>66105</v>
      </c>
      <c r="S147" s="80"/>
      <c r="T147" s="80"/>
      <c r="U147" s="353"/>
      <c r="V147" s="80"/>
      <c r="W147" s="80"/>
      <c r="X147" s="91"/>
      <c r="Y147" s="80"/>
      <c r="Z147" s="80"/>
      <c r="AA147" s="80">
        <v>0</v>
      </c>
      <c r="AB147" s="80">
        <v>0</v>
      </c>
      <c r="AC147" s="80">
        <v>0</v>
      </c>
      <c r="AD147" s="80">
        <v>0</v>
      </c>
      <c r="AE147" s="80">
        <v>0</v>
      </c>
      <c r="AF147" s="59">
        <f t="shared" si="189"/>
        <v>27226.109999999986</v>
      </c>
      <c r="AP147" s="101"/>
      <c r="AQ147" s="101"/>
    </row>
    <row r="148" spans="1:43" ht="15.9" customHeight="1" x14ac:dyDescent="0.3">
      <c r="A148" s="468"/>
      <c r="B148" s="52" t="s">
        <v>341</v>
      </c>
      <c r="C148" s="53">
        <v>39903</v>
      </c>
      <c r="D148" s="86">
        <v>37618</v>
      </c>
      <c r="E148" s="85">
        <v>10</v>
      </c>
      <c r="F148" s="54">
        <v>37618</v>
      </c>
      <c r="G148" s="54">
        <f t="shared" si="193"/>
        <v>0</v>
      </c>
      <c r="H148" s="57">
        <v>0</v>
      </c>
      <c r="I148" s="58">
        <v>0</v>
      </c>
      <c r="J148" s="58">
        <v>0</v>
      </c>
      <c r="K148" s="58">
        <v>0</v>
      </c>
      <c r="L148" s="80">
        <v>0</v>
      </c>
      <c r="M148" s="80"/>
      <c r="N148" s="80">
        <v>0</v>
      </c>
      <c r="O148" s="80">
        <v>0</v>
      </c>
      <c r="P148" s="80">
        <v>0</v>
      </c>
      <c r="Q148" s="80">
        <v>0</v>
      </c>
      <c r="R148" s="80">
        <v>0</v>
      </c>
      <c r="S148" s="80">
        <v>0</v>
      </c>
      <c r="T148" s="80">
        <v>0</v>
      </c>
      <c r="U148" s="353">
        <v>0</v>
      </c>
      <c r="V148" s="80">
        <v>0</v>
      </c>
      <c r="W148" s="80">
        <v>0</v>
      </c>
      <c r="X148" s="80">
        <v>0</v>
      </c>
      <c r="Y148" s="80">
        <v>0</v>
      </c>
      <c r="Z148" s="80">
        <v>0</v>
      </c>
      <c r="AA148" s="80">
        <v>0</v>
      </c>
      <c r="AB148" s="80">
        <v>0</v>
      </c>
      <c r="AC148" s="80">
        <v>0</v>
      </c>
      <c r="AD148" s="80">
        <v>0</v>
      </c>
      <c r="AE148" s="80">
        <v>0</v>
      </c>
      <c r="AF148" s="59">
        <f t="shared" si="189"/>
        <v>0</v>
      </c>
      <c r="AP148" s="101"/>
      <c r="AQ148" s="101"/>
    </row>
    <row r="149" spans="1:43" ht="15.9" customHeight="1" x14ac:dyDescent="0.3">
      <c r="A149" s="468"/>
      <c r="B149" s="52" t="s">
        <v>309</v>
      </c>
      <c r="C149" s="53">
        <v>40297</v>
      </c>
      <c r="D149" s="86">
        <v>5075</v>
      </c>
      <c r="E149" s="85">
        <v>10</v>
      </c>
      <c r="F149" s="54">
        <v>5075</v>
      </c>
      <c r="G149" s="54">
        <f t="shared" si="193"/>
        <v>0</v>
      </c>
      <c r="H149" s="57">
        <v>0</v>
      </c>
      <c r="I149" s="58">
        <v>0</v>
      </c>
      <c r="J149" s="58">
        <v>0</v>
      </c>
      <c r="K149" s="58">
        <v>0</v>
      </c>
      <c r="L149" s="80">
        <v>0</v>
      </c>
      <c r="M149" s="80"/>
      <c r="N149" s="80">
        <v>0</v>
      </c>
      <c r="O149" s="80">
        <v>0</v>
      </c>
      <c r="P149" s="80">
        <v>0</v>
      </c>
      <c r="Q149" s="80">
        <v>0</v>
      </c>
      <c r="R149" s="80">
        <v>0</v>
      </c>
      <c r="S149" s="80">
        <v>0</v>
      </c>
      <c r="T149" s="80">
        <v>0</v>
      </c>
      <c r="U149" s="353">
        <v>0</v>
      </c>
      <c r="V149" s="80">
        <v>0</v>
      </c>
      <c r="W149" s="80">
        <v>0</v>
      </c>
      <c r="X149" s="80">
        <v>0</v>
      </c>
      <c r="Y149" s="80">
        <v>0</v>
      </c>
      <c r="Z149" s="80">
        <v>0</v>
      </c>
      <c r="AA149" s="80">
        <v>0</v>
      </c>
      <c r="AB149" s="80">
        <v>0</v>
      </c>
      <c r="AC149" s="80">
        <v>0</v>
      </c>
      <c r="AD149" s="80">
        <v>0</v>
      </c>
      <c r="AE149" s="80">
        <v>0</v>
      </c>
      <c r="AF149" s="59">
        <f t="shared" si="189"/>
        <v>0</v>
      </c>
      <c r="AP149" s="101"/>
      <c r="AQ149" s="101"/>
    </row>
    <row r="150" spans="1:43" ht="15.9" customHeight="1" x14ac:dyDescent="0.3">
      <c r="A150" s="468"/>
      <c r="B150" s="52" t="s">
        <v>307</v>
      </c>
      <c r="C150" s="53">
        <v>40767</v>
      </c>
      <c r="D150" s="86">
        <v>5750</v>
      </c>
      <c r="E150" s="85">
        <v>10</v>
      </c>
      <c r="F150" s="54">
        <v>5750</v>
      </c>
      <c r="G150" s="54">
        <f t="shared" si="193"/>
        <v>0</v>
      </c>
      <c r="H150" s="57">
        <v>0</v>
      </c>
      <c r="I150" s="58">
        <v>0</v>
      </c>
      <c r="J150" s="58">
        <v>0</v>
      </c>
      <c r="K150" s="58">
        <v>0</v>
      </c>
      <c r="L150" s="80">
        <v>0</v>
      </c>
      <c r="M150" s="80"/>
      <c r="N150" s="80">
        <v>0</v>
      </c>
      <c r="O150" s="80">
        <v>0</v>
      </c>
      <c r="P150" s="80">
        <v>0</v>
      </c>
      <c r="Q150" s="80">
        <v>0</v>
      </c>
      <c r="R150" s="80">
        <v>0</v>
      </c>
      <c r="S150" s="80">
        <v>0</v>
      </c>
      <c r="T150" s="80">
        <v>0</v>
      </c>
      <c r="U150" s="353">
        <v>0</v>
      </c>
      <c r="V150" s="80">
        <v>0</v>
      </c>
      <c r="W150" s="80">
        <v>0</v>
      </c>
      <c r="X150" s="80">
        <v>0</v>
      </c>
      <c r="Y150" s="80">
        <v>0</v>
      </c>
      <c r="Z150" s="80">
        <v>0</v>
      </c>
      <c r="AA150" s="80">
        <v>0</v>
      </c>
      <c r="AB150" s="80">
        <v>0</v>
      </c>
      <c r="AC150" s="80">
        <v>0</v>
      </c>
      <c r="AD150" s="80">
        <v>0</v>
      </c>
      <c r="AE150" s="80">
        <v>0</v>
      </c>
      <c r="AF150" s="59">
        <f t="shared" si="189"/>
        <v>0</v>
      </c>
      <c r="AP150" s="101"/>
      <c r="AQ150" s="101"/>
    </row>
    <row r="151" spans="1:43" ht="15.9" customHeight="1" x14ac:dyDescent="0.3">
      <c r="A151" s="468"/>
      <c r="B151" s="52" t="s">
        <v>134</v>
      </c>
      <c r="C151" s="53">
        <v>40717</v>
      </c>
      <c r="D151" s="86">
        <v>171299</v>
      </c>
      <c r="E151" s="85">
        <v>10</v>
      </c>
      <c r="F151" s="54">
        <v>22565</v>
      </c>
      <c r="G151" s="54">
        <v>148734</v>
      </c>
      <c r="H151" s="57">
        <f t="shared" si="190"/>
        <v>8565</v>
      </c>
      <c r="I151" s="58">
        <f t="shared" si="191"/>
        <v>1013</v>
      </c>
      <c r="J151" s="53">
        <f>+C151+3652</f>
        <v>44369</v>
      </c>
      <c r="K151" s="60">
        <f t="shared" ref="K151:K159" si="194">+J151-C151-I151+1</f>
        <v>2640</v>
      </c>
      <c r="L151" s="80">
        <v>0</v>
      </c>
      <c r="M151" s="80"/>
      <c r="N151" s="57">
        <f t="shared" ref="N151:N157" si="195">+ROUND((G151-H151)*365/K151,0)</f>
        <v>19379</v>
      </c>
      <c r="O151" s="57">
        <f t="shared" ref="O151:O157" si="196">+ROUND((G151-H151)*365/K151,0)</f>
        <v>19379</v>
      </c>
      <c r="P151" s="57">
        <f>+ROUND((G151-H151)*365/K151,0)</f>
        <v>19379</v>
      </c>
      <c r="Q151" s="57">
        <f>+ROUND((G151-H151)*365/K151,0)</f>
        <v>19379</v>
      </c>
      <c r="R151" s="57">
        <f>+ROUND((G151-H151)*365/K151,0)</f>
        <v>19379</v>
      </c>
      <c r="S151" s="57">
        <f>+ROUND((G151-H151)*365/K151,0)</f>
        <v>19379</v>
      </c>
      <c r="T151" s="57">
        <f>+ROUND((G151-H151)*365/K151,0)</f>
        <v>19379</v>
      </c>
      <c r="U151" s="352">
        <f>+ROUND((G151-H151)*(K151-2555)/K151,0)</f>
        <v>4513</v>
      </c>
      <c r="V151" s="80">
        <v>0</v>
      </c>
      <c r="W151" s="80"/>
      <c r="X151" s="91"/>
      <c r="Y151" s="80"/>
      <c r="Z151" s="80"/>
      <c r="AA151" s="80">
        <v>0</v>
      </c>
      <c r="AB151" s="80">
        <v>0</v>
      </c>
      <c r="AC151" s="80">
        <v>0</v>
      </c>
      <c r="AD151" s="80">
        <v>0</v>
      </c>
      <c r="AE151" s="80">
        <v>0</v>
      </c>
      <c r="AF151" s="59">
        <f t="shared" si="189"/>
        <v>8568</v>
      </c>
      <c r="AP151" s="101"/>
      <c r="AQ151" s="101"/>
    </row>
    <row r="152" spans="1:43" ht="15.9" customHeight="1" x14ac:dyDescent="0.3">
      <c r="A152" s="468"/>
      <c r="B152" s="52" t="s">
        <v>135</v>
      </c>
      <c r="C152" s="53">
        <v>41031</v>
      </c>
      <c r="D152" s="86">
        <v>79785619</v>
      </c>
      <c r="E152" s="85">
        <v>10</v>
      </c>
      <c r="F152" s="54">
        <v>7257759</v>
      </c>
      <c r="G152" s="54">
        <v>72527860</v>
      </c>
      <c r="H152" s="57">
        <f t="shared" si="190"/>
        <v>3989281</v>
      </c>
      <c r="I152" s="58">
        <f t="shared" si="191"/>
        <v>699</v>
      </c>
      <c r="J152" s="53">
        <f t="shared" si="192"/>
        <v>44682</v>
      </c>
      <c r="K152" s="60">
        <f t="shared" si="194"/>
        <v>2953</v>
      </c>
      <c r="L152" s="80">
        <v>0</v>
      </c>
      <c r="M152" s="80"/>
      <c r="N152" s="57">
        <f t="shared" si="195"/>
        <v>8471582</v>
      </c>
      <c r="O152" s="57">
        <f t="shared" si="196"/>
        <v>8471582</v>
      </c>
      <c r="P152" s="57">
        <f>+ROUND((G152-H152)*365/K152,0)</f>
        <v>8471582</v>
      </c>
      <c r="Q152" s="57">
        <f>+ROUND((G152-H152)*365/K152,0)</f>
        <v>8471582</v>
      </c>
      <c r="R152" s="57">
        <f>+ROUND((G152-H152)*365/K152,0)</f>
        <v>8471582</v>
      </c>
      <c r="S152" s="57">
        <f>+ROUND((G152-H152)*365/K152,0)</f>
        <v>8471582</v>
      </c>
      <c r="T152" s="57">
        <f>+ROUND((G152-H152)*365/K152,0)</f>
        <v>8471582</v>
      </c>
      <c r="U152" s="352">
        <f>+ROUND((G152-H152)*365/K152,0)</f>
        <v>8471582</v>
      </c>
      <c r="V152" s="57">
        <f>+ROUND((G152-H152)*(K152-2920)/K152,0)</f>
        <v>765924</v>
      </c>
      <c r="W152" s="80">
        <v>0</v>
      </c>
      <c r="X152" s="80">
        <v>0</v>
      </c>
      <c r="Y152" s="80">
        <v>0</v>
      </c>
      <c r="Z152" s="80">
        <v>0</v>
      </c>
      <c r="AA152" s="80">
        <v>0</v>
      </c>
      <c r="AB152" s="80">
        <v>0</v>
      </c>
      <c r="AC152" s="80">
        <v>0</v>
      </c>
      <c r="AD152" s="80">
        <v>0</v>
      </c>
      <c r="AE152" s="80">
        <v>0</v>
      </c>
      <c r="AF152" s="59">
        <f t="shared" si="189"/>
        <v>4755204</v>
      </c>
      <c r="AP152" s="101"/>
      <c r="AQ152" s="101"/>
    </row>
    <row r="153" spans="1:43" ht="15.9" customHeight="1" x14ac:dyDescent="0.3">
      <c r="A153" s="468"/>
      <c r="B153" s="52" t="s">
        <v>136</v>
      </c>
      <c r="C153" s="53">
        <v>41060</v>
      </c>
      <c r="D153" s="86">
        <v>1905486</v>
      </c>
      <c r="E153" s="85">
        <v>10</v>
      </c>
      <c r="F153" s="54">
        <v>166143</v>
      </c>
      <c r="G153" s="54">
        <v>1739343</v>
      </c>
      <c r="H153" s="57">
        <f t="shared" si="190"/>
        <v>95274</v>
      </c>
      <c r="I153" s="58">
        <f t="shared" si="191"/>
        <v>670</v>
      </c>
      <c r="J153" s="53">
        <f t="shared" si="192"/>
        <v>44711</v>
      </c>
      <c r="K153" s="60">
        <f t="shared" si="194"/>
        <v>2982</v>
      </c>
      <c r="L153" s="80">
        <v>0</v>
      </c>
      <c r="M153" s="80"/>
      <c r="N153" s="57">
        <f t="shared" si="195"/>
        <v>201236</v>
      </c>
      <c r="O153" s="57">
        <f t="shared" si="196"/>
        <v>201236</v>
      </c>
      <c r="P153" s="57">
        <f>+ROUND((G153-H153)*365/K153,0)</f>
        <v>201236</v>
      </c>
      <c r="Q153" s="57">
        <f>+ROUND((G153-H153)*365/K153,0)</f>
        <v>201236</v>
      </c>
      <c r="R153" s="57">
        <f>+ROUND((G153-H153)*365/K153,0)</f>
        <v>201236</v>
      </c>
      <c r="S153" s="57">
        <f>+ROUND((G153-H153)*365/K153,0)</f>
        <v>201236</v>
      </c>
      <c r="T153" s="57">
        <f>+ROUND((G153-H153)*365/K153,0)</f>
        <v>201236</v>
      </c>
      <c r="U153" s="352">
        <f>+ROUND((G153-H153)*365/K153,0)</f>
        <v>201236</v>
      </c>
      <c r="V153" s="57">
        <f>+ROUND((G153-H153)*(K153-2920)/K153,0)</f>
        <v>34183</v>
      </c>
      <c r="W153" s="80">
        <v>0</v>
      </c>
      <c r="X153" s="80">
        <v>0</v>
      </c>
      <c r="Y153" s="80">
        <v>0</v>
      </c>
      <c r="Z153" s="80">
        <v>0</v>
      </c>
      <c r="AA153" s="80">
        <v>0</v>
      </c>
      <c r="AB153" s="80">
        <v>0</v>
      </c>
      <c r="AC153" s="80">
        <v>0</v>
      </c>
      <c r="AD153" s="80">
        <v>0</v>
      </c>
      <c r="AE153" s="80">
        <v>0</v>
      </c>
      <c r="AF153" s="59">
        <f t="shared" si="189"/>
        <v>129455</v>
      </c>
      <c r="AP153" s="101"/>
      <c r="AQ153" s="101"/>
    </row>
    <row r="154" spans="1:43" ht="15.9" customHeight="1" x14ac:dyDescent="0.3">
      <c r="A154" s="468"/>
      <c r="B154" s="52" t="s">
        <v>137</v>
      </c>
      <c r="C154" s="53">
        <v>41065</v>
      </c>
      <c r="D154" s="86">
        <v>214946</v>
      </c>
      <c r="E154" s="85">
        <v>10</v>
      </c>
      <c r="F154" s="54">
        <v>18602</v>
      </c>
      <c r="G154" s="54">
        <v>196344</v>
      </c>
      <c r="H154" s="57">
        <f t="shared" si="190"/>
        <v>10747</v>
      </c>
      <c r="I154" s="58">
        <f t="shared" si="191"/>
        <v>665</v>
      </c>
      <c r="J154" s="53">
        <f t="shared" si="192"/>
        <v>44716</v>
      </c>
      <c r="K154" s="60">
        <f t="shared" si="194"/>
        <v>2987</v>
      </c>
      <c r="L154" s="80">
        <v>0</v>
      </c>
      <c r="M154" s="80"/>
      <c r="N154" s="57">
        <f t="shared" si="195"/>
        <v>22679</v>
      </c>
      <c r="O154" s="57">
        <f t="shared" si="196"/>
        <v>22679</v>
      </c>
      <c r="P154" s="57">
        <f>+ROUND((G154-H154)*365/K154,0)</f>
        <v>22679</v>
      </c>
      <c r="Q154" s="57">
        <f>+ROUND((G154-H154)*365/K154,0)</f>
        <v>22679</v>
      </c>
      <c r="R154" s="57">
        <f>+ROUND((G154-H154)*365/K154,0)</f>
        <v>22679</v>
      </c>
      <c r="S154" s="57">
        <f>+ROUND((G154-H154)*365/K154,0)</f>
        <v>22679</v>
      </c>
      <c r="T154" s="57">
        <f>+ROUND((G154-H154)*365/K154,0)</f>
        <v>22679</v>
      </c>
      <c r="U154" s="352">
        <f>+ROUND((G154-H154)*365/K154,0)</f>
        <v>22679</v>
      </c>
      <c r="V154" s="57">
        <f>+ROUND((G154-H154)*(K154-2920)/K154,0)</f>
        <v>4163</v>
      </c>
      <c r="W154" s="80">
        <v>0</v>
      </c>
      <c r="X154" s="80">
        <v>0</v>
      </c>
      <c r="Y154" s="80">
        <v>0</v>
      </c>
      <c r="Z154" s="80">
        <v>0</v>
      </c>
      <c r="AA154" s="80">
        <v>0</v>
      </c>
      <c r="AB154" s="80">
        <v>0</v>
      </c>
      <c r="AC154" s="80">
        <v>0</v>
      </c>
      <c r="AD154" s="80">
        <v>0</v>
      </c>
      <c r="AE154" s="80">
        <v>0</v>
      </c>
      <c r="AF154" s="59">
        <f t="shared" si="189"/>
        <v>14912</v>
      </c>
      <c r="AP154" s="101"/>
      <c r="AQ154" s="101"/>
    </row>
    <row r="155" spans="1:43" ht="15.9" customHeight="1" x14ac:dyDescent="0.3">
      <c r="A155" s="468"/>
      <c r="B155" s="52" t="s">
        <v>143</v>
      </c>
      <c r="C155" s="53">
        <v>38839</v>
      </c>
      <c r="D155" s="86">
        <v>13920034</v>
      </c>
      <c r="E155" s="85">
        <v>10</v>
      </c>
      <c r="F155" s="54">
        <v>5233457.2350000003</v>
      </c>
      <c r="G155" s="54">
        <f t="shared" ref="G155:G157" si="197">D155-F155</f>
        <v>8686576.7650000006</v>
      </c>
      <c r="H155" s="57">
        <f t="shared" si="190"/>
        <v>696002</v>
      </c>
      <c r="I155" s="58">
        <f t="shared" si="191"/>
        <v>2891</v>
      </c>
      <c r="J155" s="53">
        <f>+C155+3652</f>
        <v>42491</v>
      </c>
      <c r="K155" s="60">
        <f t="shared" si="194"/>
        <v>762</v>
      </c>
      <c r="L155" s="80">
        <v>0</v>
      </c>
      <c r="M155" s="80"/>
      <c r="N155" s="57">
        <f t="shared" si="195"/>
        <v>3827506</v>
      </c>
      <c r="O155" s="57">
        <f t="shared" si="196"/>
        <v>3827506</v>
      </c>
      <c r="P155" s="57">
        <f>+ROUND((G155-H155)*(K155-730)/K155,0)+1</f>
        <v>335563</v>
      </c>
      <c r="Q155" s="80">
        <v>0</v>
      </c>
      <c r="R155" s="80">
        <v>0</v>
      </c>
      <c r="S155" s="80">
        <v>0</v>
      </c>
      <c r="T155" s="80">
        <v>0</v>
      </c>
      <c r="U155" s="353">
        <v>0</v>
      </c>
      <c r="V155" s="80">
        <v>0</v>
      </c>
      <c r="W155" s="80">
        <v>0</v>
      </c>
      <c r="X155" s="80">
        <v>0</v>
      </c>
      <c r="Y155" s="80">
        <v>0</v>
      </c>
      <c r="Z155" s="80">
        <v>0</v>
      </c>
      <c r="AA155" s="80">
        <v>0</v>
      </c>
      <c r="AB155" s="80">
        <v>0</v>
      </c>
      <c r="AC155" s="80">
        <v>0</v>
      </c>
      <c r="AD155" s="80">
        <v>0</v>
      </c>
      <c r="AE155" s="80">
        <v>0</v>
      </c>
      <c r="AF155" s="59">
        <f t="shared" si="189"/>
        <v>696001.7650000006</v>
      </c>
      <c r="AP155" s="101"/>
      <c r="AQ155" s="101"/>
    </row>
    <row r="156" spans="1:43" ht="15.9" customHeight="1" x14ac:dyDescent="0.3">
      <c r="A156" s="468"/>
      <c r="B156" s="52" t="s">
        <v>144</v>
      </c>
      <c r="C156" s="53">
        <v>40211</v>
      </c>
      <c r="D156" s="86">
        <v>157292</v>
      </c>
      <c r="E156" s="85">
        <v>10</v>
      </c>
      <c r="F156" s="54">
        <v>31071.601397260274</v>
      </c>
      <c r="G156" s="54">
        <f t="shared" si="197"/>
        <v>126220.39860273973</v>
      </c>
      <c r="H156" s="57">
        <f t="shared" si="190"/>
        <v>7865</v>
      </c>
      <c r="I156" s="58">
        <f t="shared" si="191"/>
        <v>1519</v>
      </c>
      <c r="J156" s="53">
        <f t="shared" si="192"/>
        <v>43862</v>
      </c>
      <c r="K156" s="60">
        <f t="shared" si="194"/>
        <v>2133</v>
      </c>
      <c r="L156" s="80">
        <v>0</v>
      </c>
      <c r="M156" s="80"/>
      <c r="N156" s="57">
        <f t="shared" si="195"/>
        <v>20253</v>
      </c>
      <c r="O156" s="57">
        <f t="shared" si="196"/>
        <v>20253</v>
      </c>
      <c r="P156" s="57">
        <f>+ROUND((G156-H156)*365/K156,0)</f>
        <v>20253</v>
      </c>
      <c r="Q156" s="57">
        <f>+ROUND((G156-H156)*365/K156,0)</f>
        <v>20253</v>
      </c>
      <c r="R156" s="57">
        <f>+ROUND((G156-H156)*365/K156,0)</f>
        <v>20253</v>
      </c>
      <c r="S156" s="57">
        <f>+ROUND((G156-H156)*(K156-1825)/K156,0)</f>
        <v>17090</v>
      </c>
      <c r="T156" s="57">
        <v>0</v>
      </c>
      <c r="U156" s="352">
        <v>0</v>
      </c>
      <c r="V156" s="57">
        <v>0</v>
      </c>
      <c r="W156" s="57">
        <v>0</v>
      </c>
      <c r="X156" s="57">
        <v>0</v>
      </c>
      <c r="Y156" s="57">
        <v>0</v>
      </c>
      <c r="Z156" s="57">
        <v>0</v>
      </c>
      <c r="AA156" s="80">
        <v>0</v>
      </c>
      <c r="AB156" s="80">
        <v>0</v>
      </c>
      <c r="AC156" s="80">
        <v>0</v>
      </c>
      <c r="AD156" s="80">
        <v>0</v>
      </c>
      <c r="AE156" s="80">
        <v>0</v>
      </c>
      <c r="AF156" s="59">
        <f t="shared" si="189"/>
        <v>7865.3986027397332</v>
      </c>
      <c r="AP156" s="101"/>
      <c r="AQ156" s="101"/>
    </row>
    <row r="157" spans="1:43" ht="15.9" customHeight="1" x14ac:dyDescent="0.3">
      <c r="A157" s="468"/>
      <c r="B157" s="92" t="s">
        <v>145</v>
      </c>
      <c r="C157" s="53">
        <v>41031</v>
      </c>
      <c r="D157" s="93">
        <v>2561721</v>
      </c>
      <c r="E157" s="85">
        <v>10</v>
      </c>
      <c r="F157" s="94">
        <v>233029</v>
      </c>
      <c r="G157" s="95">
        <f t="shared" si="197"/>
        <v>2328692</v>
      </c>
      <c r="H157" s="57">
        <f t="shared" si="190"/>
        <v>128086</v>
      </c>
      <c r="I157" s="58">
        <f t="shared" si="191"/>
        <v>699</v>
      </c>
      <c r="J157" s="53">
        <f t="shared" si="192"/>
        <v>44682</v>
      </c>
      <c r="K157" s="60">
        <f t="shared" si="194"/>
        <v>2953</v>
      </c>
      <c r="L157" s="80">
        <v>0</v>
      </c>
      <c r="M157" s="80"/>
      <c r="N157" s="57">
        <f t="shared" si="195"/>
        <v>272002</v>
      </c>
      <c r="O157" s="57">
        <f t="shared" si="196"/>
        <v>272002</v>
      </c>
      <c r="P157" s="57">
        <f>+ROUND((G157-H157)*365/K157,0)</f>
        <v>272002</v>
      </c>
      <c r="Q157" s="57">
        <f>+ROUND((G157-H157)*365/K157,0)</f>
        <v>272002</v>
      </c>
      <c r="R157" s="57">
        <f>+ROUND((G157-H157)*365/K157,0)</f>
        <v>272002</v>
      </c>
      <c r="S157" s="57">
        <f>+ROUND((G157-H157)*365/K157,0)</f>
        <v>272002</v>
      </c>
      <c r="T157" s="57">
        <f>+ROUND((G157-H157)*365/K157,0)</f>
        <v>272002</v>
      </c>
      <c r="U157" s="352">
        <f>+ROUND((G157-H157)*365/K157,0)</f>
        <v>272002</v>
      </c>
      <c r="V157" s="57">
        <f>+ROUND((G157-H157)*365/K157,0)</f>
        <v>272002</v>
      </c>
      <c r="W157" s="80">
        <v>0</v>
      </c>
      <c r="X157" s="80">
        <v>0</v>
      </c>
      <c r="Y157" s="80"/>
      <c r="Z157" s="80"/>
      <c r="AA157" s="80">
        <v>0</v>
      </c>
      <c r="AB157" s="80">
        <v>0</v>
      </c>
      <c r="AC157" s="80">
        <v>0</v>
      </c>
      <c r="AD157" s="80">
        <v>0</v>
      </c>
      <c r="AE157" s="80">
        <v>0</v>
      </c>
      <c r="AF157" s="59">
        <f t="shared" si="189"/>
        <v>152676</v>
      </c>
      <c r="AP157" s="101"/>
      <c r="AQ157" s="101"/>
    </row>
    <row r="158" spans="1:43" ht="15.9" customHeight="1" x14ac:dyDescent="0.3">
      <c r="A158" s="468"/>
      <c r="B158" s="92" t="s">
        <v>465</v>
      </c>
      <c r="C158" s="53">
        <v>44390</v>
      </c>
      <c r="D158" s="93">
        <v>366450</v>
      </c>
      <c r="E158" s="85">
        <v>10</v>
      </c>
      <c r="F158" s="94"/>
      <c r="G158" s="95">
        <f t="shared" ref="G158:G167" si="198">D158</f>
        <v>366450</v>
      </c>
      <c r="H158" s="57">
        <f t="shared" si="190"/>
        <v>18323</v>
      </c>
      <c r="I158" s="58"/>
      <c r="J158" s="53">
        <f t="shared" si="192"/>
        <v>48041</v>
      </c>
      <c r="K158" s="60">
        <f t="shared" si="194"/>
        <v>3652</v>
      </c>
      <c r="L158" s="80"/>
      <c r="M158" s="80">
        <f>$U$3-C158</f>
        <v>261</v>
      </c>
      <c r="N158" s="57"/>
      <c r="O158" s="57"/>
      <c r="P158" s="57"/>
      <c r="Q158" s="57"/>
      <c r="R158" s="57"/>
      <c r="S158" s="57"/>
      <c r="T158" s="57"/>
      <c r="U158" s="57">
        <f>(D158-H158)*M158/K158</f>
        <v>24879.832146768895</v>
      </c>
      <c r="V158" s="57">
        <f t="shared" ref="V158:V159" si="199">+ROUND((G158-H158)*365/K158,0)</f>
        <v>34794</v>
      </c>
      <c r="W158" s="80"/>
      <c r="X158" s="80"/>
      <c r="Y158" s="80"/>
      <c r="Z158" s="80"/>
      <c r="AA158" s="80"/>
      <c r="AB158" s="80"/>
      <c r="AC158" s="80"/>
      <c r="AD158" s="80"/>
      <c r="AE158" s="80"/>
      <c r="AF158" s="59">
        <f t="shared" si="189"/>
        <v>341570.16785323108</v>
      </c>
      <c r="AP158" s="101"/>
      <c r="AQ158" s="101"/>
    </row>
    <row r="159" spans="1:43" ht="15.9" customHeight="1" x14ac:dyDescent="0.3">
      <c r="A159" s="468"/>
      <c r="B159" s="92" t="s">
        <v>466</v>
      </c>
      <c r="C159" s="53">
        <v>44468</v>
      </c>
      <c r="D159" s="93">
        <v>155000</v>
      </c>
      <c r="E159" s="85">
        <v>10</v>
      </c>
      <c r="F159" s="94"/>
      <c r="G159" s="95">
        <f t="shared" si="198"/>
        <v>155000</v>
      </c>
      <c r="H159" s="57">
        <f t="shared" si="190"/>
        <v>7750</v>
      </c>
      <c r="I159" s="58"/>
      <c r="J159" s="53">
        <f t="shared" si="192"/>
        <v>48119</v>
      </c>
      <c r="K159" s="60">
        <f t="shared" si="194"/>
        <v>3652</v>
      </c>
      <c r="L159" s="80"/>
      <c r="M159" s="80">
        <f>$U$3-C159</f>
        <v>183</v>
      </c>
      <c r="N159" s="57"/>
      <c r="O159" s="57"/>
      <c r="P159" s="57"/>
      <c r="Q159" s="57"/>
      <c r="R159" s="57"/>
      <c r="S159" s="57"/>
      <c r="T159" s="57"/>
      <c r="U159" s="57">
        <f>(D159-H159)*M159/K159</f>
        <v>7378.6281489594739</v>
      </c>
      <c r="V159" s="57">
        <f t="shared" si="199"/>
        <v>14717</v>
      </c>
      <c r="W159" s="80"/>
      <c r="X159" s="80"/>
      <c r="Y159" s="80"/>
      <c r="Z159" s="80"/>
      <c r="AA159" s="80"/>
      <c r="AB159" s="80"/>
      <c r="AC159" s="80"/>
      <c r="AD159" s="80"/>
      <c r="AE159" s="80"/>
      <c r="AF159" s="59">
        <f t="shared" si="189"/>
        <v>147621.37185104052</v>
      </c>
      <c r="AG159" s="32">
        <f>SUM(AF118:AF159)</f>
        <v>7179845.1233070102</v>
      </c>
      <c r="AP159" s="101"/>
      <c r="AQ159" s="101"/>
    </row>
    <row r="160" spans="1:43" s="333" customFormat="1" ht="15.9" customHeight="1" x14ac:dyDescent="0.3">
      <c r="A160" s="468"/>
      <c r="B160" s="361" t="s">
        <v>579</v>
      </c>
      <c r="C160" s="335">
        <v>44803</v>
      </c>
      <c r="D160" s="336">
        <v>259364</v>
      </c>
      <c r="E160" s="414">
        <v>10</v>
      </c>
      <c r="F160" s="338"/>
      <c r="G160" s="339">
        <f t="shared" si="198"/>
        <v>259364</v>
      </c>
      <c r="H160" s="327">
        <f t="shared" ref="H160:H167" si="200">ROUND(D160*5%,0)</f>
        <v>12968</v>
      </c>
      <c r="I160" s="328"/>
      <c r="J160" s="263">
        <f t="shared" ref="J160:J167" si="201">C160+(E160*365)</f>
        <v>48453</v>
      </c>
      <c r="K160" s="327">
        <f t="shared" ref="K160:K167" si="202">+J160-C160-M160+1</f>
        <v>3437</v>
      </c>
      <c r="L160" s="327"/>
      <c r="M160" s="327">
        <f t="shared" ref="M160:M167" si="203">$V$3-C160+1</f>
        <v>214</v>
      </c>
      <c r="N160" s="327"/>
      <c r="O160" s="327"/>
      <c r="P160" s="330"/>
      <c r="Q160" s="327"/>
      <c r="R160" s="327"/>
      <c r="S160" s="327"/>
      <c r="T160" s="327"/>
      <c r="U160" s="353"/>
      <c r="V160" s="327">
        <f t="shared" ref="V160:V167" si="204">+ROUND((G160-H160)*M160/K160,0)</f>
        <v>15342</v>
      </c>
      <c r="W160" s="327"/>
      <c r="X160" s="327"/>
      <c r="Y160" s="327"/>
      <c r="Z160" s="327"/>
      <c r="AA160" s="327"/>
      <c r="AB160" s="330"/>
      <c r="AC160" s="330"/>
      <c r="AD160" s="330"/>
      <c r="AE160" s="330"/>
      <c r="AF160" s="331"/>
      <c r="AG160" s="332"/>
      <c r="AI160" s="332"/>
      <c r="AN160" s="340"/>
      <c r="AO160" s="340"/>
      <c r="AP160" s="334"/>
      <c r="AQ160" s="334"/>
    </row>
    <row r="161" spans="1:43" s="333" customFormat="1" ht="15.9" customHeight="1" x14ac:dyDescent="0.3">
      <c r="A161" s="468"/>
      <c r="B161" s="361" t="s">
        <v>545</v>
      </c>
      <c r="C161" s="335">
        <v>44820</v>
      </c>
      <c r="D161" s="336">
        <v>393644</v>
      </c>
      <c r="E161" s="414">
        <v>10</v>
      </c>
      <c r="F161" s="338"/>
      <c r="G161" s="339">
        <f t="shared" si="198"/>
        <v>393644</v>
      </c>
      <c r="H161" s="327">
        <f t="shared" si="200"/>
        <v>19682</v>
      </c>
      <c r="I161" s="328"/>
      <c r="J161" s="263">
        <f t="shared" si="201"/>
        <v>48470</v>
      </c>
      <c r="K161" s="327">
        <f t="shared" si="202"/>
        <v>3454</v>
      </c>
      <c r="L161" s="327"/>
      <c r="M161" s="327">
        <f t="shared" si="203"/>
        <v>197</v>
      </c>
      <c r="N161" s="327"/>
      <c r="O161" s="327"/>
      <c r="P161" s="330"/>
      <c r="Q161" s="327"/>
      <c r="R161" s="327"/>
      <c r="S161" s="327"/>
      <c r="T161" s="327"/>
      <c r="U161" s="353"/>
      <c r="V161" s="327">
        <f t="shared" si="204"/>
        <v>21329</v>
      </c>
      <c r="W161" s="327"/>
      <c r="X161" s="327"/>
      <c r="Y161" s="327"/>
      <c r="Z161" s="327"/>
      <c r="AA161" s="327"/>
      <c r="AB161" s="330"/>
      <c r="AC161" s="330"/>
      <c r="AD161" s="330"/>
      <c r="AE161" s="330"/>
      <c r="AF161" s="331"/>
      <c r="AG161" s="332"/>
      <c r="AI161" s="332"/>
      <c r="AN161" s="340"/>
      <c r="AO161" s="340"/>
      <c r="AP161" s="334"/>
      <c r="AQ161" s="334"/>
    </row>
    <row r="162" spans="1:43" s="333" customFormat="1" ht="15.9" customHeight="1" x14ac:dyDescent="0.3">
      <c r="A162" s="468"/>
      <c r="B162" s="361" t="s">
        <v>548</v>
      </c>
      <c r="C162" s="335">
        <v>44888</v>
      </c>
      <c r="D162" s="415">
        <v>70508.47</v>
      </c>
      <c r="E162" s="414">
        <v>10</v>
      </c>
      <c r="F162" s="338"/>
      <c r="G162" s="339">
        <f>D162</f>
        <v>70508.47</v>
      </c>
      <c r="H162" s="327">
        <f>ROUND(D162*5%,0)</f>
        <v>3525</v>
      </c>
      <c r="I162" s="328"/>
      <c r="J162" s="263">
        <f>C162+(E162*365)</f>
        <v>48538</v>
      </c>
      <c r="K162" s="327">
        <f>+J162-C162-M162+1</f>
        <v>3522</v>
      </c>
      <c r="L162" s="327"/>
      <c r="M162" s="327">
        <f>$V$3-C162+1</f>
        <v>129</v>
      </c>
      <c r="N162" s="327"/>
      <c r="O162" s="327"/>
      <c r="P162" s="330"/>
      <c r="Q162" s="327"/>
      <c r="R162" s="327"/>
      <c r="S162" s="327"/>
      <c r="T162" s="327"/>
      <c r="U162" s="353"/>
      <c r="V162" s="327">
        <f>+ROUND((G162-H162)*M162/K162,0)</f>
        <v>2453</v>
      </c>
      <c r="W162" s="327"/>
      <c r="X162" s="327"/>
      <c r="Y162" s="327"/>
      <c r="Z162" s="327"/>
      <c r="AA162" s="327"/>
      <c r="AB162" s="330"/>
      <c r="AC162" s="330"/>
      <c r="AD162" s="330"/>
      <c r="AE162" s="330"/>
      <c r="AF162" s="331"/>
      <c r="AG162" s="332"/>
      <c r="AI162" s="332"/>
      <c r="AN162" s="340"/>
      <c r="AO162" s="340"/>
      <c r="AP162" s="334"/>
      <c r="AQ162" s="334"/>
    </row>
    <row r="163" spans="1:43" s="333" customFormat="1" ht="15.9" customHeight="1" x14ac:dyDescent="0.3">
      <c r="A163" s="468"/>
      <c r="B163" s="361" t="s">
        <v>549</v>
      </c>
      <c r="C163" s="335">
        <v>44911</v>
      </c>
      <c r="D163" s="415">
        <v>29237.26</v>
      </c>
      <c r="E163" s="414">
        <v>10</v>
      </c>
      <c r="F163" s="338"/>
      <c r="G163" s="339">
        <f>D163</f>
        <v>29237.26</v>
      </c>
      <c r="H163" s="327">
        <f>ROUND(D163*5%,0)</f>
        <v>1462</v>
      </c>
      <c r="I163" s="328"/>
      <c r="J163" s="263">
        <f>C163+(E163*365)</f>
        <v>48561</v>
      </c>
      <c r="K163" s="327">
        <f>+J163-C163-M163+1</f>
        <v>3545</v>
      </c>
      <c r="L163" s="327"/>
      <c r="M163" s="327">
        <f>$V$3-C163+1</f>
        <v>106</v>
      </c>
      <c r="N163" s="327"/>
      <c r="O163" s="327"/>
      <c r="P163" s="330"/>
      <c r="Q163" s="327"/>
      <c r="R163" s="327"/>
      <c r="S163" s="327"/>
      <c r="T163" s="327"/>
      <c r="U163" s="353"/>
      <c r="V163" s="327">
        <f>+ROUND((G163-H163)*M163/K163,0)</f>
        <v>831</v>
      </c>
      <c r="W163" s="327"/>
      <c r="X163" s="327"/>
      <c r="Y163" s="327"/>
      <c r="Z163" s="327"/>
      <c r="AA163" s="327"/>
      <c r="AB163" s="330"/>
      <c r="AC163" s="330"/>
      <c r="AD163" s="330"/>
      <c r="AE163" s="330"/>
      <c r="AF163" s="331"/>
      <c r="AG163" s="332"/>
      <c r="AI163" s="332"/>
      <c r="AN163" s="340"/>
      <c r="AO163" s="340"/>
      <c r="AP163" s="334"/>
      <c r="AQ163" s="334"/>
    </row>
    <row r="164" spans="1:43" s="333" customFormat="1" ht="15.9" customHeight="1" x14ac:dyDescent="0.3">
      <c r="A164" s="468"/>
      <c r="B164" s="361" t="s">
        <v>555</v>
      </c>
      <c r="C164" s="335">
        <v>44950</v>
      </c>
      <c r="D164" s="415">
        <v>172000</v>
      </c>
      <c r="E164" s="414">
        <v>10</v>
      </c>
      <c r="F164" s="338"/>
      <c r="G164" s="339">
        <f>D164</f>
        <v>172000</v>
      </c>
      <c r="H164" s="327">
        <f>ROUND(D164*5%,0)</f>
        <v>8600</v>
      </c>
      <c r="I164" s="328"/>
      <c r="J164" s="263">
        <f>C164+(E164*365)</f>
        <v>48600</v>
      </c>
      <c r="K164" s="327">
        <f>+J164-C164-M164+1</f>
        <v>3584</v>
      </c>
      <c r="L164" s="327"/>
      <c r="M164" s="327">
        <f>$V$3-C164+1</f>
        <v>67</v>
      </c>
      <c r="N164" s="327"/>
      <c r="O164" s="327"/>
      <c r="P164" s="330"/>
      <c r="Q164" s="327"/>
      <c r="R164" s="327"/>
      <c r="S164" s="327"/>
      <c r="T164" s="327"/>
      <c r="U164" s="353"/>
      <c r="V164" s="327">
        <f>+ROUND((G164-H164)*M164/K164,0)</f>
        <v>3055</v>
      </c>
      <c r="W164" s="327"/>
      <c r="X164" s="327"/>
      <c r="Y164" s="327"/>
      <c r="Z164" s="327"/>
      <c r="AA164" s="327"/>
      <c r="AB164" s="330"/>
      <c r="AC164" s="330"/>
      <c r="AD164" s="330"/>
      <c r="AE164" s="330"/>
      <c r="AF164" s="331"/>
      <c r="AG164" s="332"/>
      <c r="AI164" s="332"/>
      <c r="AN164" s="340"/>
      <c r="AO164" s="340"/>
      <c r="AP164" s="334"/>
      <c r="AQ164" s="334"/>
    </row>
    <row r="165" spans="1:43" s="333" customFormat="1" ht="15.9" customHeight="1" x14ac:dyDescent="0.3">
      <c r="A165" s="468"/>
      <c r="B165" s="361" t="s">
        <v>563</v>
      </c>
      <c r="C165" s="335">
        <v>44971</v>
      </c>
      <c r="D165" s="336">
        <v>2700</v>
      </c>
      <c r="E165" s="414">
        <v>10</v>
      </c>
      <c r="F165" s="338"/>
      <c r="G165" s="339">
        <f>D165</f>
        <v>2700</v>
      </c>
      <c r="H165" s="327">
        <f>ROUND(D165*5%,0)</f>
        <v>135</v>
      </c>
      <c r="I165" s="328"/>
      <c r="J165" s="263">
        <f>C165+(E165*365)</f>
        <v>48621</v>
      </c>
      <c r="K165" s="327">
        <f>+J165-C165-M165+1</f>
        <v>3605</v>
      </c>
      <c r="L165" s="327"/>
      <c r="M165" s="327">
        <f>$V$3-C165+1</f>
        <v>46</v>
      </c>
      <c r="N165" s="327"/>
      <c r="O165" s="327"/>
      <c r="P165" s="330"/>
      <c r="Q165" s="327"/>
      <c r="R165" s="327"/>
      <c r="S165" s="327"/>
      <c r="T165" s="327"/>
      <c r="U165" s="353"/>
      <c r="V165" s="327">
        <f>+ROUND((G165-H165)*M165/K165,0)</f>
        <v>33</v>
      </c>
      <c r="W165" s="327"/>
      <c r="X165" s="327"/>
      <c r="Y165" s="327"/>
      <c r="Z165" s="327"/>
      <c r="AA165" s="327"/>
      <c r="AB165" s="330"/>
      <c r="AC165" s="330"/>
      <c r="AD165" s="330"/>
      <c r="AE165" s="330"/>
      <c r="AF165" s="331"/>
      <c r="AG165" s="332"/>
      <c r="AI165" s="332"/>
      <c r="AN165" s="340"/>
      <c r="AO165" s="340"/>
      <c r="AP165" s="334"/>
      <c r="AQ165" s="334"/>
    </row>
    <row r="166" spans="1:43" s="333" customFormat="1" ht="15.9" customHeight="1" x14ac:dyDescent="0.3">
      <c r="A166" s="468"/>
      <c r="B166" s="361" t="s">
        <v>563</v>
      </c>
      <c r="C166" s="335">
        <v>44974</v>
      </c>
      <c r="D166" s="336">
        <v>1800</v>
      </c>
      <c r="E166" s="414">
        <v>10</v>
      </c>
      <c r="F166" s="338"/>
      <c r="G166" s="339">
        <f>D166</f>
        <v>1800</v>
      </c>
      <c r="H166" s="327">
        <f>ROUND(D166*5%,0)</f>
        <v>90</v>
      </c>
      <c r="I166" s="328"/>
      <c r="J166" s="263">
        <f>C166+(E166*365)</f>
        <v>48624</v>
      </c>
      <c r="K166" s="327">
        <f>+J166-C166-M166+1</f>
        <v>3608</v>
      </c>
      <c r="L166" s="327"/>
      <c r="M166" s="327">
        <f>$V$3-C166+1</f>
        <v>43</v>
      </c>
      <c r="N166" s="327"/>
      <c r="O166" s="327"/>
      <c r="P166" s="330"/>
      <c r="Q166" s="327"/>
      <c r="R166" s="327"/>
      <c r="S166" s="327"/>
      <c r="T166" s="327"/>
      <c r="U166" s="353"/>
      <c r="V166" s="327">
        <f>+ROUND((G166-H166)*M166/K166,0)</f>
        <v>20</v>
      </c>
      <c r="W166" s="327"/>
      <c r="X166" s="327"/>
      <c r="Y166" s="327"/>
      <c r="Z166" s="327"/>
      <c r="AA166" s="327"/>
      <c r="AB166" s="330"/>
      <c r="AC166" s="330"/>
      <c r="AD166" s="330"/>
      <c r="AE166" s="330"/>
      <c r="AF166" s="331"/>
      <c r="AG166" s="332"/>
      <c r="AI166" s="332"/>
      <c r="AN166" s="340"/>
      <c r="AO166" s="340"/>
      <c r="AP166" s="334"/>
      <c r="AQ166" s="334"/>
    </row>
    <row r="167" spans="1:43" s="333" customFormat="1" ht="15.9" customHeight="1" x14ac:dyDescent="0.3">
      <c r="A167" s="468"/>
      <c r="B167" s="361" t="s">
        <v>534</v>
      </c>
      <c r="C167" s="335">
        <v>44981</v>
      </c>
      <c r="D167" s="415">
        <v>30338.98</v>
      </c>
      <c r="E167" s="337">
        <v>10</v>
      </c>
      <c r="F167" s="338"/>
      <c r="G167" s="339">
        <f t="shared" si="198"/>
        <v>30338.98</v>
      </c>
      <c r="H167" s="327">
        <f t="shared" si="200"/>
        <v>1517</v>
      </c>
      <c r="I167" s="328"/>
      <c r="J167" s="263">
        <f t="shared" si="201"/>
        <v>48631</v>
      </c>
      <c r="K167" s="327">
        <f t="shared" si="202"/>
        <v>3615</v>
      </c>
      <c r="L167" s="327"/>
      <c r="M167" s="327">
        <f t="shared" si="203"/>
        <v>36</v>
      </c>
      <c r="N167" s="327"/>
      <c r="O167" s="327"/>
      <c r="P167" s="330"/>
      <c r="Q167" s="327"/>
      <c r="R167" s="327"/>
      <c r="S167" s="327"/>
      <c r="T167" s="327"/>
      <c r="U167" s="353"/>
      <c r="V167" s="327">
        <f t="shared" si="204"/>
        <v>287</v>
      </c>
      <c r="W167" s="327"/>
      <c r="X167" s="327"/>
      <c r="Y167" s="327"/>
      <c r="Z167" s="327"/>
      <c r="AA167" s="327"/>
      <c r="AB167" s="330"/>
      <c r="AC167" s="330"/>
      <c r="AD167" s="330"/>
      <c r="AE167" s="330"/>
      <c r="AF167" s="331"/>
      <c r="AG167" s="332"/>
      <c r="AI167" s="332"/>
      <c r="AN167" s="340"/>
      <c r="AO167" s="340"/>
      <c r="AP167" s="334"/>
      <c r="AQ167" s="334"/>
    </row>
    <row r="168" spans="1:43" s="35" customFormat="1" ht="15.9" customHeight="1" x14ac:dyDescent="0.3">
      <c r="A168" s="468"/>
      <c r="B168" s="87" t="s">
        <v>2</v>
      </c>
      <c r="C168" s="62"/>
      <c r="D168" s="63">
        <f>SUM(D118:D167)</f>
        <v>143131827.90999997</v>
      </c>
      <c r="E168" s="88"/>
      <c r="F168" s="63">
        <f>SUM(F118:F159)</f>
        <v>31348750.546397265</v>
      </c>
      <c r="G168" s="63">
        <f>SUM(G118:G167)</f>
        <v>112972186.36360274</v>
      </c>
      <c r="H168" s="63">
        <f>SUM(H118:H167)</f>
        <v>7124956</v>
      </c>
      <c r="I168" s="63"/>
      <c r="J168" s="63"/>
      <c r="K168" s="63"/>
      <c r="L168" s="63">
        <f>SUM(L118:L167)</f>
        <v>1189109.0699999998</v>
      </c>
      <c r="M168" s="63"/>
      <c r="N168" s="63">
        <f>SUM(N118:N159)</f>
        <v>34062849</v>
      </c>
      <c r="O168" s="63">
        <f>SUM(O118:O159)</f>
        <v>13349840</v>
      </c>
      <c r="P168" s="63">
        <f>SUM(P118:P159)</f>
        <v>9589485</v>
      </c>
      <c r="Q168" s="63">
        <f>SUM(Q118:Q159)</f>
        <v>9251029</v>
      </c>
      <c r="R168" s="63">
        <f>SUM(R118:R159)</f>
        <v>9206211</v>
      </c>
      <c r="S168" s="63">
        <f>SUM(S118:S159)</f>
        <v>9003968</v>
      </c>
      <c r="T168" s="63">
        <f>SUM(T118:T159)</f>
        <v>8986878</v>
      </c>
      <c r="U168" s="63">
        <f>SUM(U118:U159)</f>
        <v>9004270.4602957293</v>
      </c>
      <c r="V168" s="63">
        <f>SUM(V118:V167)</f>
        <v>1169133</v>
      </c>
      <c r="W168" s="63">
        <f>SUM(W118:W159)</f>
        <v>0</v>
      </c>
      <c r="X168" s="63">
        <f>SUM(X118:X159)</f>
        <v>0</v>
      </c>
      <c r="Y168" s="63">
        <f>SUM(Y118:Y159)</f>
        <v>0</v>
      </c>
      <c r="Z168" s="63">
        <f>SUM(Z118:Z159)</f>
        <v>0</v>
      </c>
      <c r="AA168" s="63">
        <f>SUM(AA118:AA159)</f>
        <v>0</v>
      </c>
      <c r="AB168" s="63">
        <f>SUM(AB118:AB159)</f>
        <v>0</v>
      </c>
      <c r="AC168" s="63">
        <f>SUM(AC118:AC159)</f>
        <v>0</v>
      </c>
      <c r="AD168" s="63">
        <f>SUM(AD118:AD159)</f>
        <v>0</v>
      </c>
      <c r="AE168" s="63">
        <f>SUM(AE118:AE159)</f>
        <v>0</v>
      </c>
      <c r="AF168" s="59">
        <f>+D168-F168-SUM(N168:U168)-L168</f>
        <v>8139437.8333069608</v>
      </c>
      <c r="AG168" s="68">
        <f>AG159-AF168</f>
        <v>-959592.7099999506</v>
      </c>
      <c r="AI168" s="32"/>
      <c r="AP168" s="101"/>
    </row>
    <row r="169" spans="1:43" ht="15.9" customHeight="1" x14ac:dyDescent="0.3">
      <c r="B169" s="42"/>
      <c r="C169" s="96"/>
      <c r="D169" s="82"/>
      <c r="E169" s="83"/>
      <c r="F169" s="82"/>
      <c r="G169" s="82"/>
      <c r="H169" s="71"/>
      <c r="I169" s="73"/>
      <c r="J169" s="74"/>
      <c r="K169" s="75"/>
      <c r="L169" s="71"/>
      <c r="M169" s="71"/>
      <c r="N169" s="71"/>
      <c r="O169" s="71"/>
      <c r="P169" s="71"/>
      <c r="Q169" s="71"/>
      <c r="R169" s="71"/>
      <c r="S169" s="71"/>
      <c r="T169" s="71"/>
      <c r="U169" s="351"/>
      <c r="V169" s="71"/>
      <c r="W169" s="71"/>
      <c r="X169" s="71"/>
      <c r="Y169" s="71"/>
      <c r="Z169" s="71"/>
      <c r="AA169" s="71"/>
      <c r="AB169" s="71"/>
      <c r="AC169" s="71"/>
      <c r="AD169" s="71"/>
      <c r="AE169" s="71"/>
      <c r="AF169" s="140"/>
      <c r="AP169" s="101"/>
    </row>
    <row r="170" spans="1:43" ht="15.9" customHeight="1" x14ac:dyDescent="0.3">
      <c r="A170" s="474" t="s">
        <v>354</v>
      </c>
      <c r="B170" s="97" t="s">
        <v>10</v>
      </c>
      <c r="C170" s="98">
        <v>38446</v>
      </c>
      <c r="D170" s="99">
        <v>323901106</v>
      </c>
      <c r="E170" s="78">
        <v>25</v>
      </c>
      <c r="F170" s="54">
        <v>153777241</v>
      </c>
      <c r="G170" s="89">
        <f>D170-F170</f>
        <v>170123865</v>
      </c>
      <c r="H170" s="57">
        <f>ROUND(D170*5%,0)</f>
        <v>16195055</v>
      </c>
      <c r="I170" s="58">
        <f>$I$3-C170+1</f>
        <v>3284</v>
      </c>
      <c r="J170" s="100">
        <f>+C170+9130</f>
        <v>47576</v>
      </c>
      <c r="K170" s="60">
        <f>+J170-C170-I170+1</f>
        <v>5847</v>
      </c>
      <c r="L170" s="57">
        <v>0</v>
      </c>
      <c r="M170" s="57"/>
      <c r="N170" s="57">
        <f t="shared" ref="N170:AC170" si="205">+ROUND(($G$170-$H$170)*365/$K$170,0)</f>
        <v>9609033</v>
      </c>
      <c r="O170" s="57">
        <f t="shared" si="205"/>
        <v>9609033</v>
      </c>
      <c r="P170" s="57">
        <f t="shared" si="205"/>
        <v>9609033</v>
      </c>
      <c r="Q170" s="57">
        <f t="shared" si="205"/>
        <v>9609033</v>
      </c>
      <c r="R170" s="57">
        <f t="shared" si="205"/>
        <v>9609033</v>
      </c>
      <c r="S170" s="57">
        <f t="shared" si="205"/>
        <v>9609033</v>
      </c>
      <c r="T170" s="57">
        <f t="shared" si="205"/>
        <v>9609033</v>
      </c>
      <c r="U170" s="352">
        <f t="shared" si="205"/>
        <v>9609033</v>
      </c>
      <c r="V170" s="57">
        <f t="shared" si="205"/>
        <v>9609033</v>
      </c>
      <c r="W170" s="57">
        <f t="shared" si="205"/>
        <v>9609033</v>
      </c>
      <c r="X170" s="57">
        <f t="shared" si="205"/>
        <v>9609033</v>
      </c>
      <c r="Y170" s="57">
        <f t="shared" si="205"/>
        <v>9609033</v>
      </c>
      <c r="Z170" s="57">
        <f t="shared" si="205"/>
        <v>9609033</v>
      </c>
      <c r="AA170" s="57">
        <f t="shared" si="205"/>
        <v>9609033</v>
      </c>
      <c r="AB170" s="57">
        <f t="shared" si="205"/>
        <v>9609033</v>
      </c>
      <c r="AC170" s="57">
        <f t="shared" si="205"/>
        <v>9609033</v>
      </c>
      <c r="AD170" s="57">
        <f>ROUND((G170-H170)*(K170-5840)/K170,0)-1</f>
        <v>184282</v>
      </c>
      <c r="AE170" s="57">
        <v>0</v>
      </c>
      <c r="AF170" s="59">
        <f t="shared" si="189"/>
        <v>93251601</v>
      </c>
      <c r="AG170" s="32">
        <f t="shared" ref="AG170:AG182" si="206">SUM(N170:AD170)</f>
        <v>153928810</v>
      </c>
      <c r="AH170" s="101">
        <f t="shared" ref="AH170:AH201" si="207">G170-H170</f>
        <v>153928810</v>
      </c>
      <c r="AP170" s="101"/>
      <c r="AQ170" s="101"/>
    </row>
    <row r="171" spans="1:43" ht="15.9" customHeight="1" x14ac:dyDescent="0.3">
      <c r="A171" s="475"/>
      <c r="B171" s="97" t="s">
        <v>211</v>
      </c>
      <c r="C171" s="98">
        <v>38449</v>
      </c>
      <c r="D171" s="99">
        <v>52568</v>
      </c>
      <c r="E171" s="78">
        <v>25</v>
      </c>
      <c r="F171" s="54">
        <v>24935</v>
      </c>
      <c r="G171" s="89">
        <f t="shared" ref="G171:G233" si="208">D171-F171</f>
        <v>27633</v>
      </c>
      <c r="H171" s="57">
        <f t="shared" ref="H171:H234" si="209">ROUND(D171*5%,0)</f>
        <v>2628</v>
      </c>
      <c r="I171" s="58">
        <f t="shared" ref="I171:I234" si="210">$I$3-C171+1</f>
        <v>3281</v>
      </c>
      <c r="J171" s="100">
        <f t="shared" ref="J171:J186" si="211">+C171+9130</f>
        <v>47579</v>
      </c>
      <c r="K171" s="60">
        <f t="shared" ref="K171:K186" si="212">+J171-C171-I171+1</f>
        <v>5850</v>
      </c>
      <c r="L171" s="57">
        <v>0</v>
      </c>
      <c r="M171" s="57"/>
      <c r="N171" s="57">
        <f t="shared" ref="N171:AC171" si="213">+ROUND(($G$171-$H$171)*365/$K$171,0)</f>
        <v>1560</v>
      </c>
      <c r="O171" s="57">
        <f t="shared" si="213"/>
        <v>1560</v>
      </c>
      <c r="P171" s="57">
        <f t="shared" si="213"/>
        <v>1560</v>
      </c>
      <c r="Q171" s="57">
        <f t="shared" si="213"/>
        <v>1560</v>
      </c>
      <c r="R171" s="57">
        <f t="shared" si="213"/>
        <v>1560</v>
      </c>
      <c r="S171" s="57">
        <f t="shared" si="213"/>
        <v>1560</v>
      </c>
      <c r="T171" s="57">
        <f t="shared" si="213"/>
        <v>1560</v>
      </c>
      <c r="U171" s="352">
        <f t="shared" si="213"/>
        <v>1560</v>
      </c>
      <c r="V171" s="57">
        <f t="shared" si="213"/>
        <v>1560</v>
      </c>
      <c r="W171" s="57">
        <f t="shared" si="213"/>
        <v>1560</v>
      </c>
      <c r="X171" s="57">
        <f t="shared" si="213"/>
        <v>1560</v>
      </c>
      <c r="Y171" s="57">
        <f t="shared" si="213"/>
        <v>1560</v>
      </c>
      <c r="Z171" s="57">
        <f t="shared" si="213"/>
        <v>1560</v>
      </c>
      <c r="AA171" s="57">
        <f t="shared" si="213"/>
        <v>1560</v>
      </c>
      <c r="AB171" s="57">
        <f t="shared" si="213"/>
        <v>1560</v>
      </c>
      <c r="AC171" s="57">
        <f t="shared" si="213"/>
        <v>1560</v>
      </c>
      <c r="AD171" s="57">
        <f>ROUND((G171-H171)*(K171-5840)/K171,0)+2</f>
        <v>45</v>
      </c>
      <c r="AE171" s="57">
        <v>0</v>
      </c>
      <c r="AF171" s="140">
        <f t="shared" si="189"/>
        <v>15153</v>
      </c>
      <c r="AG171" s="32">
        <f t="shared" si="206"/>
        <v>25005</v>
      </c>
      <c r="AH171" s="101">
        <f t="shared" si="207"/>
        <v>25005</v>
      </c>
      <c r="AP171" s="101"/>
      <c r="AQ171" s="101"/>
    </row>
    <row r="172" spans="1:43" ht="15.9" customHeight="1" x14ac:dyDescent="0.3">
      <c r="A172" s="475"/>
      <c r="B172" s="97" t="s">
        <v>212</v>
      </c>
      <c r="C172" s="98">
        <v>38471</v>
      </c>
      <c r="D172" s="99">
        <v>83914</v>
      </c>
      <c r="E172" s="78">
        <v>25</v>
      </c>
      <c r="F172" s="54">
        <v>39536</v>
      </c>
      <c r="G172" s="89">
        <f t="shared" si="208"/>
        <v>44378</v>
      </c>
      <c r="H172" s="57">
        <f t="shared" si="209"/>
        <v>4196</v>
      </c>
      <c r="I172" s="58">
        <f t="shared" si="210"/>
        <v>3259</v>
      </c>
      <c r="J172" s="100">
        <f t="shared" si="211"/>
        <v>47601</v>
      </c>
      <c r="K172" s="60">
        <f t="shared" si="212"/>
        <v>5872</v>
      </c>
      <c r="L172" s="57">
        <v>0</v>
      </c>
      <c r="M172" s="57"/>
      <c r="N172" s="57">
        <f t="shared" ref="N172:AC172" si="214">+ROUND(($G$172-$H$172)*365/$K$172,0)</f>
        <v>2498</v>
      </c>
      <c r="O172" s="57">
        <f t="shared" si="214"/>
        <v>2498</v>
      </c>
      <c r="P172" s="57">
        <f t="shared" si="214"/>
        <v>2498</v>
      </c>
      <c r="Q172" s="57">
        <f t="shared" si="214"/>
        <v>2498</v>
      </c>
      <c r="R172" s="57">
        <f t="shared" si="214"/>
        <v>2498</v>
      </c>
      <c r="S172" s="57">
        <f t="shared" si="214"/>
        <v>2498</v>
      </c>
      <c r="T172" s="57">
        <f t="shared" si="214"/>
        <v>2498</v>
      </c>
      <c r="U172" s="352">
        <f t="shared" si="214"/>
        <v>2498</v>
      </c>
      <c r="V172" s="57">
        <f t="shared" si="214"/>
        <v>2498</v>
      </c>
      <c r="W172" s="57">
        <f t="shared" si="214"/>
        <v>2498</v>
      </c>
      <c r="X172" s="57">
        <f t="shared" si="214"/>
        <v>2498</v>
      </c>
      <c r="Y172" s="57">
        <f t="shared" si="214"/>
        <v>2498</v>
      </c>
      <c r="Z172" s="57">
        <f t="shared" si="214"/>
        <v>2498</v>
      </c>
      <c r="AA172" s="57">
        <f t="shared" si="214"/>
        <v>2498</v>
      </c>
      <c r="AB172" s="57">
        <f t="shared" si="214"/>
        <v>2498</v>
      </c>
      <c r="AC172" s="57">
        <f t="shared" si="214"/>
        <v>2498</v>
      </c>
      <c r="AD172" s="57">
        <f>ROUND((G172-H172)*(K172-5840)/K172,0)-5</f>
        <v>214</v>
      </c>
      <c r="AE172" s="57">
        <v>0</v>
      </c>
      <c r="AF172" s="140">
        <f t="shared" si="189"/>
        <v>24394</v>
      </c>
      <c r="AG172" s="32">
        <f t="shared" si="206"/>
        <v>40182</v>
      </c>
      <c r="AH172" s="101">
        <f t="shared" si="207"/>
        <v>40182</v>
      </c>
      <c r="AP172" s="101"/>
      <c r="AQ172" s="101"/>
    </row>
    <row r="173" spans="1:43" ht="15.9" customHeight="1" x14ac:dyDescent="0.3">
      <c r="A173" s="475"/>
      <c r="B173" s="97" t="s">
        <v>213</v>
      </c>
      <c r="C173" s="98">
        <v>38513</v>
      </c>
      <c r="D173" s="99">
        <v>36290</v>
      </c>
      <c r="E173" s="78">
        <v>25</v>
      </c>
      <c r="F173" s="54">
        <v>16878</v>
      </c>
      <c r="G173" s="89">
        <f t="shared" si="208"/>
        <v>19412</v>
      </c>
      <c r="H173" s="57">
        <f t="shared" si="209"/>
        <v>1815</v>
      </c>
      <c r="I173" s="58">
        <f t="shared" si="210"/>
        <v>3217</v>
      </c>
      <c r="J173" s="100">
        <f t="shared" si="211"/>
        <v>47643</v>
      </c>
      <c r="K173" s="60">
        <f t="shared" si="212"/>
        <v>5914</v>
      </c>
      <c r="L173" s="57">
        <v>0</v>
      </c>
      <c r="M173" s="57"/>
      <c r="N173" s="57">
        <f t="shared" ref="N173:AC173" si="215">+ROUND(($G$173-$H$173)*365/$K$173,0)</f>
        <v>1086</v>
      </c>
      <c r="O173" s="57">
        <f t="shared" si="215"/>
        <v>1086</v>
      </c>
      <c r="P173" s="57">
        <f t="shared" si="215"/>
        <v>1086</v>
      </c>
      <c r="Q173" s="57">
        <f t="shared" si="215"/>
        <v>1086</v>
      </c>
      <c r="R173" s="57">
        <f t="shared" si="215"/>
        <v>1086</v>
      </c>
      <c r="S173" s="57">
        <f t="shared" si="215"/>
        <v>1086</v>
      </c>
      <c r="T173" s="57">
        <f t="shared" si="215"/>
        <v>1086</v>
      </c>
      <c r="U173" s="352">
        <f t="shared" si="215"/>
        <v>1086</v>
      </c>
      <c r="V173" s="57">
        <f t="shared" si="215"/>
        <v>1086</v>
      </c>
      <c r="W173" s="57">
        <f t="shared" si="215"/>
        <v>1086</v>
      </c>
      <c r="X173" s="57">
        <f t="shared" si="215"/>
        <v>1086</v>
      </c>
      <c r="Y173" s="57">
        <f t="shared" si="215"/>
        <v>1086</v>
      </c>
      <c r="Z173" s="57">
        <f t="shared" si="215"/>
        <v>1086</v>
      </c>
      <c r="AA173" s="57">
        <f t="shared" si="215"/>
        <v>1086</v>
      </c>
      <c r="AB173" s="57">
        <f t="shared" si="215"/>
        <v>1086</v>
      </c>
      <c r="AC173" s="57">
        <f t="shared" si="215"/>
        <v>1086</v>
      </c>
      <c r="AD173" s="57">
        <f>ROUND((G173-H173)*(K173-5840)/K173,0)+1</f>
        <v>221</v>
      </c>
      <c r="AE173" s="57">
        <v>0</v>
      </c>
      <c r="AF173" s="140">
        <f t="shared" si="189"/>
        <v>10724</v>
      </c>
      <c r="AG173" s="32">
        <f t="shared" si="206"/>
        <v>17597</v>
      </c>
      <c r="AH173" s="101">
        <f t="shared" si="207"/>
        <v>17597</v>
      </c>
      <c r="AP173" s="101"/>
      <c r="AQ173" s="101"/>
    </row>
    <row r="174" spans="1:43" ht="15.9" customHeight="1" x14ac:dyDescent="0.3">
      <c r="A174" s="475"/>
      <c r="B174" s="97" t="s">
        <v>214</v>
      </c>
      <c r="C174" s="98">
        <v>38542</v>
      </c>
      <c r="D174" s="99">
        <v>99954</v>
      </c>
      <c r="E174" s="78">
        <v>25</v>
      </c>
      <c r="F174" s="54">
        <v>46067</v>
      </c>
      <c r="G174" s="89">
        <f t="shared" si="208"/>
        <v>53887</v>
      </c>
      <c r="H174" s="57">
        <f t="shared" si="209"/>
        <v>4998</v>
      </c>
      <c r="I174" s="58">
        <f t="shared" si="210"/>
        <v>3188</v>
      </c>
      <c r="J174" s="100">
        <f t="shared" si="211"/>
        <v>47672</v>
      </c>
      <c r="K174" s="60">
        <f t="shared" si="212"/>
        <v>5943</v>
      </c>
      <c r="L174" s="57">
        <v>0</v>
      </c>
      <c r="M174" s="57"/>
      <c r="N174" s="57">
        <f t="shared" ref="N174:AC174" si="216">+ROUND(($G$174-$H$174)*365/$K$174,0)</f>
        <v>3003</v>
      </c>
      <c r="O174" s="57">
        <f t="shared" si="216"/>
        <v>3003</v>
      </c>
      <c r="P174" s="57">
        <f t="shared" si="216"/>
        <v>3003</v>
      </c>
      <c r="Q174" s="57">
        <f t="shared" si="216"/>
        <v>3003</v>
      </c>
      <c r="R174" s="57">
        <f t="shared" si="216"/>
        <v>3003</v>
      </c>
      <c r="S174" s="57">
        <f t="shared" si="216"/>
        <v>3003</v>
      </c>
      <c r="T174" s="57">
        <f t="shared" si="216"/>
        <v>3003</v>
      </c>
      <c r="U174" s="352">
        <f t="shared" si="216"/>
        <v>3003</v>
      </c>
      <c r="V174" s="57">
        <f t="shared" si="216"/>
        <v>3003</v>
      </c>
      <c r="W174" s="57">
        <f t="shared" si="216"/>
        <v>3003</v>
      </c>
      <c r="X174" s="57">
        <f t="shared" si="216"/>
        <v>3003</v>
      </c>
      <c r="Y174" s="57">
        <f t="shared" si="216"/>
        <v>3003</v>
      </c>
      <c r="Z174" s="57">
        <f t="shared" si="216"/>
        <v>3003</v>
      </c>
      <c r="AA174" s="57">
        <f t="shared" si="216"/>
        <v>3003</v>
      </c>
      <c r="AB174" s="57">
        <f t="shared" si="216"/>
        <v>3003</v>
      </c>
      <c r="AC174" s="57">
        <f t="shared" si="216"/>
        <v>3003</v>
      </c>
      <c r="AD174" s="57">
        <f>ROUND((G174-H174)*(K174-5840)/K174,0)-6</f>
        <v>841</v>
      </c>
      <c r="AE174" s="57">
        <v>0</v>
      </c>
      <c r="AF174" s="140">
        <f t="shared" si="189"/>
        <v>29863</v>
      </c>
      <c r="AG174" s="32">
        <f t="shared" si="206"/>
        <v>48889</v>
      </c>
      <c r="AH174" s="101">
        <f t="shared" si="207"/>
        <v>48889</v>
      </c>
      <c r="AP174" s="101"/>
      <c r="AQ174" s="101"/>
    </row>
    <row r="175" spans="1:43" ht="15.9" customHeight="1" x14ac:dyDescent="0.3">
      <c r="A175" s="475"/>
      <c r="B175" s="97" t="s">
        <v>215</v>
      </c>
      <c r="C175" s="98">
        <v>38540</v>
      </c>
      <c r="D175" s="99">
        <v>68676</v>
      </c>
      <c r="E175" s="78">
        <v>25</v>
      </c>
      <c r="F175" s="54">
        <v>31671</v>
      </c>
      <c r="G175" s="89">
        <f t="shared" si="208"/>
        <v>37005</v>
      </c>
      <c r="H175" s="57">
        <f t="shared" si="209"/>
        <v>3434</v>
      </c>
      <c r="I175" s="58">
        <f t="shared" si="210"/>
        <v>3190</v>
      </c>
      <c r="J175" s="100">
        <f t="shared" si="211"/>
        <v>47670</v>
      </c>
      <c r="K175" s="60">
        <f t="shared" si="212"/>
        <v>5941</v>
      </c>
      <c r="L175" s="57">
        <v>0</v>
      </c>
      <c r="M175" s="57"/>
      <c r="N175" s="57">
        <f t="shared" ref="N175:AC175" si="217">+ROUND(($G$175-$H$175)*365/$K$175,0)</f>
        <v>2063</v>
      </c>
      <c r="O175" s="57">
        <f t="shared" si="217"/>
        <v>2063</v>
      </c>
      <c r="P175" s="57">
        <f t="shared" si="217"/>
        <v>2063</v>
      </c>
      <c r="Q175" s="57">
        <f t="shared" si="217"/>
        <v>2063</v>
      </c>
      <c r="R175" s="57">
        <f t="shared" si="217"/>
        <v>2063</v>
      </c>
      <c r="S175" s="57">
        <f t="shared" si="217"/>
        <v>2063</v>
      </c>
      <c r="T175" s="57">
        <f t="shared" si="217"/>
        <v>2063</v>
      </c>
      <c r="U175" s="352">
        <f t="shared" si="217"/>
        <v>2063</v>
      </c>
      <c r="V175" s="57">
        <f t="shared" si="217"/>
        <v>2063</v>
      </c>
      <c r="W175" s="57">
        <f t="shared" si="217"/>
        <v>2063</v>
      </c>
      <c r="X175" s="57">
        <f t="shared" si="217"/>
        <v>2063</v>
      </c>
      <c r="Y175" s="57">
        <f t="shared" si="217"/>
        <v>2063</v>
      </c>
      <c r="Z175" s="57">
        <f t="shared" si="217"/>
        <v>2063</v>
      </c>
      <c r="AA175" s="57">
        <f t="shared" si="217"/>
        <v>2063</v>
      </c>
      <c r="AB175" s="57">
        <f t="shared" si="217"/>
        <v>2063</v>
      </c>
      <c r="AC175" s="57">
        <f t="shared" si="217"/>
        <v>2063</v>
      </c>
      <c r="AD175" s="57">
        <f>ROUND((G175-H175)*(K175-5840)/K175,0)-8</f>
        <v>563</v>
      </c>
      <c r="AE175" s="57">
        <v>0</v>
      </c>
      <c r="AF175" s="140">
        <f t="shared" si="189"/>
        <v>20501</v>
      </c>
      <c r="AG175" s="32">
        <f t="shared" si="206"/>
        <v>33571</v>
      </c>
      <c r="AH175" s="101">
        <f t="shared" si="207"/>
        <v>33571</v>
      </c>
      <c r="AP175" s="101"/>
      <c r="AQ175" s="101"/>
    </row>
    <row r="176" spans="1:43" ht="15.9" customHeight="1" x14ac:dyDescent="0.3">
      <c r="A176" s="475"/>
      <c r="B176" s="97" t="s">
        <v>216</v>
      </c>
      <c r="C176" s="98">
        <v>38598</v>
      </c>
      <c r="D176" s="99">
        <v>613265</v>
      </c>
      <c r="E176" s="78">
        <v>25</v>
      </c>
      <c r="F176" s="54">
        <v>277673</v>
      </c>
      <c r="G176" s="89">
        <f t="shared" si="208"/>
        <v>335592</v>
      </c>
      <c r="H176" s="57">
        <f t="shared" si="209"/>
        <v>30663</v>
      </c>
      <c r="I176" s="58">
        <f t="shared" si="210"/>
        <v>3132</v>
      </c>
      <c r="J176" s="100">
        <f t="shared" si="211"/>
        <v>47728</v>
      </c>
      <c r="K176" s="60">
        <f t="shared" si="212"/>
        <v>5999</v>
      </c>
      <c r="L176" s="57">
        <v>0</v>
      </c>
      <c r="M176" s="57"/>
      <c r="N176" s="57">
        <f t="shared" ref="N176:AC176" si="218">+ROUND(($G$176-$H$176)*365/$K$176,0)</f>
        <v>18553</v>
      </c>
      <c r="O176" s="57">
        <f t="shared" si="218"/>
        <v>18553</v>
      </c>
      <c r="P176" s="57">
        <f t="shared" si="218"/>
        <v>18553</v>
      </c>
      <c r="Q176" s="57">
        <f t="shared" si="218"/>
        <v>18553</v>
      </c>
      <c r="R176" s="57">
        <f t="shared" si="218"/>
        <v>18553</v>
      </c>
      <c r="S176" s="57">
        <f t="shared" si="218"/>
        <v>18553</v>
      </c>
      <c r="T176" s="57">
        <f t="shared" si="218"/>
        <v>18553</v>
      </c>
      <c r="U176" s="352">
        <f t="shared" si="218"/>
        <v>18553</v>
      </c>
      <c r="V176" s="57">
        <f t="shared" si="218"/>
        <v>18553</v>
      </c>
      <c r="W176" s="57">
        <f t="shared" si="218"/>
        <v>18553</v>
      </c>
      <c r="X176" s="57">
        <f t="shared" si="218"/>
        <v>18553</v>
      </c>
      <c r="Y176" s="57">
        <f t="shared" si="218"/>
        <v>18553</v>
      </c>
      <c r="Z176" s="57">
        <f t="shared" si="218"/>
        <v>18553</v>
      </c>
      <c r="AA176" s="57">
        <f t="shared" si="218"/>
        <v>18553</v>
      </c>
      <c r="AB176" s="57">
        <f t="shared" si="218"/>
        <v>18553</v>
      </c>
      <c r="AC176" s="57">
        <f t="shared" si="218"/>
        <v>18553</v>
      </c>
      <c r="AD176" s="57">
        <f>ROUND((G176-H176)*(K176-5840)/K176,0)-1</f>
        <v>8081</v>
      </c>
      <c r="AE176" s="57">
        <v>0</v>
      </c>
      <c r="AF176" s="140">
        <f t="shared" si="189"/>
        <v>187168</v>
      </c>
      <c r="AG176" s="32">
        <f t="shared" si="206"/>
        <v>304929</v>
      </c>
      <c r="AH176" s="101">
        <f t="shared" si="207"/>
        <v>304929</v>
      </c>
      <c r="AP176" s="101"/>
      <c r="AQ176" s="101"/>
    </row>
    <row r="177" spans="1:43" ht="15.9" customHeight="1" x14ac:dyDescent="0.3">
      <c r="A177" s="475"/>
      <c r="B177" s="97" t="s">
        <v>217</v>
      </c>
      <c r="C177" s="98">
        <v>38632</v>
      </c>
      <c r="D177" s="99">
        <v>53877</v>
      </c>
      <c r="E177" s="78">
        <v>25</v>
      </c>
      <c r="F177" s="54">
        <v>24129</v>
      </c>
      <c r="G177" s="89">
        <f t="shared" si="208"/>
        <v>29748</v>
      </c>
      <c r="H177" s="57">
        <f t="shared" si="209"/>
        <v>2694</v>
      </c>
      <c r="I177" s="58">
        <f t="shared" si="210"/>
        <v>3098</v>
      </c>
      <c r="J177" s="100">
        <f t="shared" si="211"/>
        <v>47762</v>
      </c>
      <c r="K177" s="60">
        <f t="shared" si="212"/>
        <v>6033</v>
      </c>
      <c r="L177" s="57">
        <v>0</v>
      </c>
      <c r="M177" s="57"/>
      <c r="N177" s="57">
        <f t="shared" ref="N177:AC177" si="219">+ROUND(($G$177-$H$177)*365/$K$177,0)</f>
        <v>1637</v>
      </c>
      <c r="O177" s="57">
        <f t="shared" si="219"/>
        <v>1637</v>
      </c>
      <c r="P177" s="57">
        <f t="shared" si="219"/>
        <v>1637</v>
      </c>
      <c r="Q177" s="57">
        <f t="shared" si="219"/>
        <v>1637</v>
      </c>
      <c r="R177" s="57">
        <f t="shared" si="219"/>
        <v>1637</v>
      </c>
      <c r="S177" s="57">
        <f t="shared" si="219"/>
        <v>1637</v>
      </c>
      <c r="T177" s="57">
        <f t="shared" si="219"/>
        <v>1637</v>
      </c>
      <c r="U177" s="352">
        <f t="shared" si="219"/>
        <v>1637</v>
      </c>
      <c r="V177" s="57">
        <f t="shared" si="219"/>
        <v>1637</v>
      </c>
      <c r="W177" s="57">
        <f t="shared" si="219"/>
        <v>1637</v>
      </c>
      <c r="X177" s="57">
        <f t="shared" si="219"/>
        <v>1637</v>
      </c>
      <c r="Y177" s="57">
        <f t="shared" si="219"/>
        <v>1637</v>
      </c>
      <c r="Z177" s="57">
        <f t="shared" si="219"/>
        <v>1637</v>
      </c>
      <c r="AA177" s="57">
        <f t="shared" si="219"/>
        <v>1637</v>
      </c>
      <c r="AB177" s="57">
        <f t="shared" si="219"/>
        <v>1637</v>
      </c>
      <c r="AC177" s="57">
        <f t="shared" si="219"/>
        <v>1637</v>
      </c>
      <c r="AD177" s="57">
        <f>ROUND((G177-H177)*(K177-5840)/K177,0)-3</f>
        <v>862</v>
      </c>
      <c r="AE177" s="57">
        <v>0</v>
      </c>
      <c r="AF177" s="140">
        <f t="shared" si="189"/>
        <v>16652</v>
      </c>
      <c r="AG177" s="32">
        <f t="shared" si="206"/>
        <v>27054</v>
      </c>
      <c r="AH177" s="101">
        <f t="shared" si="207"/>
        <v>27054</v>
      </c>
      <c r="AP177" s="101"/>
      <c r="AQ177" s="101"/>
    </row>
    <row r="178" spans="1:43" ht="15.9" customHeight="1" x14ac:dyDescent="0.3">
      <c r="A178" s="475"/>
      <c r="B178" s="97" t="s">
        <v>218</v>
      </c>
      <c r="C178" s="98">
        <v>38645</v>
      </c>
      <c r="D178" s="99">
        <v>177910</v>
      </c>
      <c r="E178" s="78">
        <v>25</v>
      </c>
      <c r="F178" s="54">
        <v>79344</v>
      </c>
      <c r="G178" s="89">
        <f t="shared" si="208"/>
        <v>98566</v>
      </c>
      <c r="H178" s="57">
        <f t="shared" si="209"/>
        <v>8896</v>
      </c>
      <c r="I178" s="58">
        <f t="shared" si="210"/>
        <v>3085</v>
      </c>
      <c r="J178" s="100">
        <f t="shared" si="211"/>
        <v>47775</v>
      </c>
      <c r="K178" s="60">
        <f t="shared" si="212"/>
        <v>6046</v>
      </c>
      <c r="L178" s="57">
        <v>0</v>
      </c>
      <c r="M178" s="57"/>
      <c r="N178" s="57">
        <f t="shared" ref="N178:AC178" si="220">+ROUND(($G$178-$H$178)*365/$K$178,0)</f>
        <v>5413</v>
      </c>
      <c r="O178" s="57">
        <f t="shared" si="220"/>
        <v>5413</v>
      </c>
      <c r="P178" s="57">
        <f t="shared" si="220"/>
        <v>5413</v>
      </c>
      <c r="Q178" s="57">
        <f t="shared" si="220"/>
        <v>5413</v>
      </c>
      <c r="R178" s="57">
        <f t="shared" si="220"/>
        <v>5413</v>
      </c>
      <c r="S178" s="57">
        <f t="shared" si="220"/>
        <v>5413</v>
      </c>
      <c r="T178" s="57">
        <f t="shared" si="220"/>
        <v>5413</v>
      </c>
      <c r="U178" s="352">
        <f t="shared" si="220"/>
        <v>5413</v>
      </c>
      <c r="V178" s="57">
        <f t="shared" si="220"/>
        <v>5413</v>
      </c>
      <c r="W178" s="57">
        <f t="shared" si="220"/>
        <v>5413</v>
      </c>
      <c r="X178" s="57">
        <f t="shared" si="220"/>
        <v>5413</v>
      </c>
      <c r="Y178" s="57">
        <f t="shared" si="220"/>
        <v>5413</v>
      </c>
      <c r="Z178" s="57">
        <f t="shared" si="220"/>
        <v>5413</v>
      </c>
      <c r="AA178" s="57">
        <f t="shared" si="220"/>
        <v>5413</v>
      </c>
      <c r="AB178" s="57">
        <f t="shared" si="220"/>
        <v>5413</v>
      </c>
      <c r="AC178" s="57">
        <f t="shared" si="220"/>
        <v>5413</v>
      </c>
      <c r="AD178" s="57">
        <f>ROUND((G178-H178)*(K178-5840)/K178,0)+7</f>
        <v>3062</v>
      </c>
      <c r="AE178" s="57">
        <v>0</v>
      </c>
      <c r="AF178" s="140">
        <f t="shared" si="189"/>
        <v>55262</v>
      </c>
      <c r="AG178" s="32">
        <f t="shared" si="206"/>
        <v>89670</v>
      </c>
      <c r="AH178" s="101">
        <f t="shared" si="207"/>
        <v>89670</v>
      </c>
      <c r="AP178" s="101"/>
      <c r="AQ178" s="101"/>
    </row>
    <row r="179" spans="1:43" ht="15.9" customHeight="1" x14ac:dyDescent="0.3">
      <c r="A179" s="475"/>
      <c r="B179" s="97" t="s">
        <v>215</v>
      </c>
      <c r="C179" s="98">
        <v>38708</v>
      </c>
      <c r="D179" s="99">
        <v>32188.52</v>
      </c>
      <c r="E179" s="78">
        <v>25</v>
      </c>
      <c r="F179" s="54">
        <v>14062</v>
      </c>
      <c r="G179" s="89">
        <f t="shared" si="208"/>
        <v>18126.52</v>
      </c>
      <c r="H179" s="57">
        <f t="shared" si="209"/>
        <v>1609</v>
      </c>
      <c r="I179" s="58">
        <f t="shared" si="210"/>
        <v>3022</v>
      </c>
      <c r="J179" s="100">
        <f t="shared" si="211"/>
        <v>47838</v>
      </c>
      <c r="K179" s="60">
        <f t="shared" si="212"/>
        <v>6109</v>
      </c>
      <c r="L179" s="57">
        <v>0</v>
      </c>
      <c r="M179" s="57"/>
      <c r="N179" s="57">
        <f t="shared" ref="N179:AC179" si="221">+ROUND(($G$179-$H$179)*365/$K$179,0)</f>
        <v>987</v>
      </c>
      <c r="O179" s="57">
        <f t="shared" si="221"/>
        <v>987</v>
      </c>
      <c r="P179" s="57">
        <f t="shared" si="221"/>
        <v>987</v>
      </c>
      <c r="Q179" s="57">
        <f t="shared" si="221"/>
        <v>987</v>
      </c>
      <c r="R179" s="57">
        <f t="shared" si="221"/>
        <v>987</v>
      </c>
      <c r="S179" s="57">
        <f t="shared" si="221"/>
        <v>987</v>
      </c>
      <c r="T179" s="57">
        <f t="shared" si="221"/>
        <v>987</v>
      </c>
      <c r="U179" s="352">
        <f t="shared" si="221"/>
        <v>987</v>
      </c>
      <c r="V179" s="57">
        <f t="shared" si="221"/>
        <v>987</v>
      </c>
      <c r="W179" s="57">
        <f t="shared" si="221"/>
        <v>987</v>
      </c>
      <c r="X179" s="57">
        <f t="shared" si="221"/>
        <v>987</v>
      </c>
      <c r="Y179" s="57">
        <f t="shared" si="221"/>
        <v>987</v>
      </c>
      <c r="Z179" s="57">
        <f t="shared" si="221"/>
        <v>987</v>
      </c>
      <c r="AA179" s="57">
        <f t="shared" si="221"/>
        <v>987</v>
      </c>
      <c r="AB179" s="57">
        <f t="shared" si="221"/>
        <v>987</v>
      </c>
      <c r="AC179" s="57">
        <f t="shared" si="221"/>
        <v>987</v>
      </c>
      <c r="AD179" s="57">
        <f>ROUND((G179-H179)*(K179-5840)/K179,0)-1</f>
        <v>726</v>
      </c>
      <c r="AE179" s="57">
        <v>0</v>
      </c>
      <c r="AF179" s="140">
        <f t="shared" si="189"/>
        <v>10230.52</v>
      </c>
      <c r="AG179" s="32">
        <f t="shared" si="206"/>
        <v>16518</v>
      </c>
      <c r="AH179" s="101">
        <f t="shared" si="207"/>
        <v>16517.52</v>
      </c>
      <c r="AP179" s="101"/>
      <c r="AQ179" s="101"/>
    </row>
    <row r="180" spans="1:43" ht="15.9" customHeight="1" x14ac:dyDescent="0.3">
      <c r="A180" s="475"/>
      <c r="B180" s="52" t="s">
        <v>11</v>
      </c>
      <c r="C180" s="98">
        <v>38446</v>
      </c>
      <c r="D180" s="54">
        <v>4092793.58</v>
      </c>
      <c r="E180" s="78">
        <v>25</v>
      </c>
      <c r="F180" s="54">
        <v>1943124</v>
      </c>
      <c r="G180" s="89">
        <f t="shared" si="208"/>
        <v>2149669.58</v>
      </c>
      <c r="H180" s="57">
        <f t="shared" si="209"/>
        <v>204640</v>
      </c>
      <c r="I180" s="58">
        <f t="shared" si="210"/>
        <v>3284</v>
      </c>
      <c r="J180" s="100">
        <f t="shared" si="211"/>
        <v>47576</v>
      </c>
      <c r="K180" s="60">
        <f t="shared" si="212"/>
        <v>5847</v>
      </c>
      <c r="L180" s="57">
        <v>0</v>
      </c>
      <c r="M180" s="57"/>
      <c r="N180" s="57">
        <f t="shared" ref="N180:AC180" si="222">+ROUND(($G$180-$H$180)*365/$K$180,0)</f>
        <v>121419</v>
      </c>
      <c r="O180" s="57">
        <f t="shared" si="222"/>
        <v>121419</v>
      </c>
      <c r="P180" s="57">
        <f t="shared" si="222"/>
        <v>121419</v>
      </c>
      <c r="Q180" s="57">
        <f t="shared" si="222"/>
        <v>121419</v>
      </c>
      <c r="R180" s="57">
        <f t="shared" si="222"/>
        <v>121419</v>
      </c>
      <c r="S180" s="57">
        <f t="shared" si="222"/>
        <v>121419</v>
      </c>
      <c r="T180" s="57">
        <f t="shared" si="222"/>
        <v>121419</v>
      </c>
      <c r="U180" s="352">
        <f t="shared" si="222"/>
        <v>121419</v>
      </c>
      <c r="V180" s="57">
        <f t="shared" si="222"/>
        <v>121419</v>
      </c>
      <c r="W180" s="57">
        <f t="shared" si="222"/>
        <v>121419</v>
      </c>
      <c r="X180" s="57">
        <f t="shared" si="222"/>
        <v>121419</v>
      </c>
      <c r="Y180" s="57">
        <f t="shared" si="222"/>
        <v>121419</v>
      </c>
      <c r="Z180" s="57">
        <f t="shared" si="222"/>
        <v>121419</v>
      </c>
      <c r="AA180" s="57">
        <f t="shared" si="222"/>
        <v>121419</v>
      </c>
      <c r="AB180" s="57">
        <f t="shared" si="222"/>
        <v>121419</v>
      </c>
      <c r="AC180" s="57">
        <f t="shared" si="222"/>
        <v>121419</v>
      </c>
      <c r="AD180" s="57">
        <f>ROUND((G180-H180)*(K180-5840)/K180,0)-3</f>
        <v>2326</v>
      </c>
      <c r="AE180" s="57">
        <v>0</v>
      </c>
      <c r="AF180" s="140">
        <f t="shared" si="189"/>
        <v>1178317.58</v>
      </c>
      <c r="AG180" s="32">
        <f t="shared" si="206"/>
        <v>1945030</v>
      </c>
      <c r="AH180" s="101">
        <f t="shared" si="207"/>
        <v>1945029.58</v>
      </c>
      <c r="AP180" s="101"/>
      <c r="AQ180" s="101"/>
    </row>
    <row r="181" spans="1:43" ht="15.9" customHeight="1" x14ac:dyDescent="0.3">
      <c r="A181" s="475"/>
      <c r="B181" s="52" t="s">
        <v>12</v>
      </c>
      <c r="C181" s="98">
        <v>38446</v>
      </c>
      <c r="D181" s="54">
        <v>2215488.86</v>
      </c>
      <c r="E181" s="78">
        <v>25</v>
      </c>
      <c r="F181" s="54">
        <v>1051840</v>
      </c>
      <c r="G181" s="89">
        <f t="shared" si="208"/>
        <v>1163648.8599999999</v>
      </c>
      <c r="H181" s="57">
        <f t="shared" si="209"/>
        <v>110774</v>
      </c>
      <c r="I181" s="58">
        <f t="shared" si="210"/>
        <v>3284</v>
      </c>
      <c r="J181" s="100">
        <f t="shared" si="211"/>
        <v>47576</v>
      </c>
      <c r="K181" s="60">
        <f t="shared" si="212"/>
        <v>5847</v>
      </c>
      <c r="L181" s="57">
        <v>0</v>
      </c>
      <c r="M181" s="57"/>
      <c r="N181" s="57">
        <f t="shared" ref="N181:AC181" si="223">+ROUND(($G$181-$H$181)*365/$K$181,0)</f>
        <v>65726</v>
      </c>
      <c r="O181" s="57">
        <f t="shared" si="223"/>
        <v>65726</v>
      </c>
      <c r="P181" s="57">
        <f t="shared" si="223"/>
        <v>65726</v>
      </c>
      <c r="Q181" s="57">
        <f t="shared" si="223"/>
        <v>65726</v>
      </c>
      <c r="R181" s="57">
        <f t="shared" si="223"/>
        <v>65726</v>
      </c>
      <c r="S181" s="57">
        <f t="shared" si="223"/>
        <v>65726</v>
      </c>
      <c r="T181" s="57">
        <f t="shared" si="223"/>
        <v>65726</v>
      </c>
      <c r="U181" s="352">
        <f t="shared" si="223"/>
        <v>65726</v>
      </c>
      <c r="V181" s="57">
        <f t="shared" si="223"/>
        <v>65726</v>
      </c>
      <c r="W181" s="57">
        <f t="shared" si="223"/>
        <v>65726</v>
      </c>
      <c r="X181" s="57">
        <f t="shared" si="223"/>
        <v>65726</v>
      </c>
      <c r="Y181" s="57">
        <f t="shared" si="223"/>
        <v>65726</v>
      </c>
      <c r="Z181" s="57">
        <f t="shared" si="223"/>
        <v>65726</v>
      </c>
      <c r="AA181" s="57">
        <f t="shared" si="223"/>
        <v>65726</v>
      </c>
      <c r="AB181" s="57">
        <f t="shared" si="223"/>
        <v>65726</v>
      </c>
      <c r="AC181" s="57">
        <f t="shared" si="223"/>
        <v>65726</v>
      </c>
      <c r="AD181" s="57">
        <f>ROUND((G181-H181)*(K181-5840)/K181,0)-1</f>
        <v>1259</v>
      </c>
      <c r="AE181" s="57">
        <v>0</v>
      </c>
      <c r="AF181" s="140">
        <f t="shared" si="189"/>
        <v>637840.85999999987</v>
      </c>
      <c r="AG181" s="32">
        <f t="shared" si="206"/>
        <v>1052875</v>
      </c>
      <c r="AH181" s="101">
        <f t="shared" si="207"/>
        <v>1052874.8599999999</v>
      </c>
      <c r="AP181" s="101"/>
      <c r="AQ181" s="101"/>
    </row>
    <row r="182" spans="1:43" ht="15.9" customHeight="1" x14ac:dyDescent="0.3">
      <c r="A182" s="475"/>
      <c r="B182" s="52" t="s">
        <v>13</v>
      </c>
      <c r="C182" s="98">
        <v>38518</v>
      </c>
      <c r="D182" s="54">
        <v>37202446.340000004</v>
      </c>
      <c r="E182" s="78">
        <v>25</v>
      </c>
      <c r="F182" s="54">
        <v>17274981</v>
      </c>
      <c r="G182" s="89">
        <f t="shared" si="208"/>
        <v>19927465.340000004</v>
      </c>
      <c r="H182" s="57">
        <f t="shared" si="209"/>
        <v>1860122</v>
      </c>
      <c r="I182" s="58">
        <f t="shared" si="210"/>
        <v>3212</v>
      </c>
      <c r="J182" s="100">
        <f t="shared" si="211"/>
        <v>47648</v>
      </c>
      <c r="K182" s="60">
        <f t="shared" si="212"/>
        <v>5919</v>
      </c>
      <c r="L182" s="57">
        <v>0</v>
      </c>
      <c r="M182" s="57"/>
      <c r="N182" s="57">
        <f t="shared" ref="N182:AC182" si="224">+ROUND(($G$182-$H$182)*365/$K$182,0)</f>
        <v>1114138</v>
      </c>
      <c r="O182" s="57">
        <f t="shared" si="224"/>
        <v>1114138</v>
      </c>
      <c r="P182" s="57">
        <f t="shared" si="224"/>
        <v>1114138</v>
      </c>
      <c r="Q182" s="57">
        <f t="shared" si="224"/>
        <v>1114138</v>
      </c>
      <c r="R182" s="57">
        <f t="shared" si="224"/>
        <v>1114138</v>
      </c>
      <c r="S182" s="57">
        <f t="shared" si="224"/>
        <v>1114138</v>
      </c>
      <c r="T182" s="57">
        <f t="shared" si="224"/>
        <v>1114138</v>
      </c>
      <c r="U182" s="352">
        <f t="shared" si="224"/>
        <v>1114138</v>
      </c>
      <c r="V182" s="57">
        <f t="shared" si="224"/>
        <v>1114138</v>
      </c>
      <c r="W182" s="57">
        <f t="shared" si="224"/>
        <v>1114138</v>
      </c>
      <c r="X182" s="57">
        <f t="shared" si="224"/>
        <v>1114138</v>
      </c>
      <c r="Y182" s="57">
        <f t="shared" si="224"/>
        <v>1114138</v>
      </c>
      <c r="Z182" s="57">
        <f t="shared" si="224"/>
        <v>1114138</v>
      </c>
      <c r="AA182" s="57">
        <f t="shared" si="224"/>
        <v>1114138</v>
      </c>
      <c r="AB182" s="57">
        <f t="shared" si="224"/>
        <v>1114138</v>
      </c>
      <c r="AC182" s="57">
        <f t="shared" si="224"/>
        <v>1114138</v>
      </c>
      <c r="AD182" s="57">
        <f>ROUND((G182-H182)*(K182-5840)/K182,0)-7</f>
        <v>241135</v>
      </c>
      <c r="AE182" s="57">
        <v>0</v>
      </c>
      <c r="AF182" s="140">
        <f t="shared" si="189"/>
        <v>11014361.340000004</v>
      </c>
      <c r="AG182" s="32">
        <f t="shared" si="206"/>
        <v>18067343</v>
      </c>
      <c r="AH182" s="101">
        <f t="shared" si="207"/>
        <v>18067343.340000004</v>
      </c>
      <c r="AP182" s="101"/>
      <c r="AQ182" s="101"/>
    </row>
    <row r="183" spans="1:43" ht="15.9" customHeight="1" x14ac:dyDescent="0.3">
      <c r="A183" s="475"/>
      <c r="B183" s="52" t="s">
        <v>210</v>
      </c>
      <c r="C183" s="98">
        <v>39074</v>
      </c>
      <c r="D183" s="54">
        <v>649180.24</v>
      </c>
      <c r="E183" s="78">
        <v>25</v>
      </c>
      <c r="F183" s="54">
        <v>249234</v>
      </c>
      <c r="G183" s="89">
        <f t="shared" si="208"/>
        <v>399946.23999999999</v>
      </c>
      <c r="H183" s="57">
        <f t="shared" si="209"/>
        <v>32459</v>
      </c>
      <c r="I183" s="58">
        <f t="shared" si="210"/>
        <v>2656</v>
      </c>
      <c r="J183" s="100">
        <f t="shared" si="211"/>
        <v>48204</v>
      </c>
      <c r="K183" s="60">
        <f t="shared" si="212"/>
        <v>6475</v>
      </c>
      <c r="L183" s="57">
        <v>0</v>
      </c>
      <c r="M183" s="57"/>
      <c r="N183" s="57">
        <f t="shared" ref="N183:AD183" si="225">+ROUND(($G$183-$H$183)*365/$K$183,0)</f>
        <v>20715</v>
      </c>
      <c r="O183" s="57">
        <f t="shared" si="225"/>
        <v>20715</v>
      </c>
      <c r="P183" s="57">
        <f t="shared" si="225"/>
        <v>20715</v>
      </c>
      <c r="Q183" s="57">
        <f t="shared" si="225"/>
        <v>20715</v>
      </c>
      <c r="R183" s="57">
        <f t="shared" si="225"/>
        <v>20715</v>
      </c>
      <c r="S183" s="57">
        <f t="shared" si="225"/>
        <v>20715</v>
      </c>
      <c r="T183" s="57">
        <f t="shared" si="225"/>
        <v>20715</v>
      </c>
      <c r="U183" s="352">
        <f t="shared" si="225"/>
        <v>20715</v>
      </c>
      <c r="V183" s="57">
        <f t="shared" si="225"/>
        <v>20715</v>
      </c>
      <c r="W183" s="57">
        <f t="shared" si="225"/>
        <v>20715</v>
      </c>
      <c r="X183" s="57">
        <f t="shared" si="225"/>
        <v>20715</v>
      </c>
      <c r="Y183" s="57">
        <f t="shared" si="225"/>
        <v>20715</v>
      </c>
      <c r="Z183" s="57">
        <f t="shared" si="225"/>
        <v>20715</v>
      </c>
      <c r="AA183" s="57">
        <f t="shared" si="225"/>
        <v>20715</v>
      </c>
      <c r="AB183" s="57">
        <f t="shared" si="225"/>
        <v>20715</v>
      </c>
      <c r="AC183" s="57">
        <f t="shared" si="225"/>
        <v>20715</v>
      </c>
      <c r="AD183" s="57">
        <f t="shared" si="225"/>
        <v>20715</v>
      </c>
      <c r="AE183" s="57">
        <f>ROUND((G183-H183)*(K183-6205)/K183,0)+8</f>
        <v>15332</v>
      </c>
      <c r="AF183" s="140">
        <f t="shared" si="189"/>
        <v>234226.24</v>
      </c>
      <c r="AG183" s="32">
        <f t="shared" ref="AG183:AG234" si="226">SUM(N183:AE183)</f>
        <v>367487</v>
      </c>
      <c r="AH183" s="101">
        <f t="shared" si="207"/>
        <v>367487.24</v>
      </c>
      <c r="AP183" s="101"/>
      <c r="AQ183" s="101"/>
    </row>
    <row r="184" spans="1:43" ht="15.9" customHeight="1" x14ac:dyDescent="0.3">
      <c r="A184" s="475"/>
      <c r="B184" s="52" t="s">
        <v>14</v>
      </c>
      <c r="C184" s="98">
        <v>38688</v>
      </c>
      <c r="D184" s="54">
        <v>17277475.829999998</v>
      </c>
      <c r="E184" s="78">
        <v>25</v>
      </c>
      <c r="F184" s="54">
        <v>7597924.6614720002</v>
      </c>
      <c r="G184" s="89">
        <f t="shared" si="208"/>
        <v>9679551.168527998</v>
      </c>
      <c r="H184" s="57">
        <f t="shared" si="209"/>
        <v>863874</v>
      </c>
      <c r="I184" s="58">
        <f t="shared" si="210"/>
        <v>3042</v>
      </c>
      <c r="J184" s="100">
        <f t="shared" si="211"/>
        <v>47818</v>
      </c>
      <c r="K184" s="60">
        <f t="shared" si="212"/>
        <v>6089</v>
      </c>
      <c r="L184" s="57">
        <v>0</v>
      </c>
      <c r="M184" s="57"/>
      <c r="N184" s="57">
        <f t="shared" ref="N184:AC184" si="227">+ROUND(($G$184-$H$184)*365/$K$184,0)</f>
        <v>528448</v>
      </c>
      <c r="O184" s="57">
        <f t="shared" si="227"/>
        <v>528448</v>
      </c>
      <c r="P184" s="57">
        <f t="shared" si="227"/>
        <v>528448</v>
      </c>
      <c r="Q184" s="57">
        <f t="shared" si="227"/>
        <v>528448</v>
      </c>
      <c r="R184" s="57">
        <f t="shared" si="227"/>
        <v>528448</v>
      </c>
      <c r="S184" s="57">
        <f t="shared" si="227"/>
        <v>528448</v>
      </c>
      <c r="T184" s="57">
        <f t="shared" si="227"/>
        <v>528448</v>
      </c>
      <c r="U184" s="352">
        <f t="shared" si="227"/>
        <v>528448</v>
      </c>
      <c r="V184" s="57">
        <f t="shared" si="227"/>
        <v>528448</v>
      </c>
      <c r="W184" s="57">
        <f t="shared" si="227"/>
        <v>528448</v>
      </c>
      <c r="X184" s="57">
        <f t="shared" si="227"/>
        <v>528448</v>
      </c>
      <c r="Y184" s="57">
        <f t="shared" si="227"/>
        <v>528448</v>
      </c>
      <c r="Z184" s="57">
        <f t="shared" si="227"/>
        <v>528448</v>
      </c>
      <c r="AA184" s="57">
        <f t="shared" si="227"/>
        <v>528448</v>
      </c>
      <c r="AB184" s="57">
        <f t="shared" si="227"/>
        <v>528448</v>
      </c>
      <c r="AC184" s="57">
        <f t="shared" si="227"/>
        <v>528448</v>
      </c>
      <c r="AD184" s="57"/>
      <c r="AE184" s="57">
        <f>ROUND((G184-H184)*(K184-5840)/K184,0)+6</f>
        <v>360509</v>
      </c>
      <c r="AF184" s="140">
        <f t="shared" si="189"/>
        <v>5451967.168527998</v>
      </c>
      <c r="AG184" s="32">
        <f t="shared" si="226"/>
        <v>8815677</v>
      </c>
      <c r="AH184" s="101">
        <f t="shared" si="207"/>
        <v>8815677.168527998</v>
      </c>
      <c r="AP184" s="101"/>
      <c r="AQ184" s="101"/>
    </row>
    <row r="185" spans="1:43" ht="15.9" customHeight="1" x14ac:dyDescent="0.3">
      <c r="A185" s="475"/>
      <c r="B185" s="52" t="s">
        <v>15</v>
      </c>
      <c r="C185" s="98">
        <v>38446</v>
      </c>
      <c r="D185" s="54">
        <v>44338053.700000003</v>
      </c>
      <c r="E185" s="78">
        <v>25</v>
      </c>
      <c r="F185" s="54">
        <f>21094126.20048-33680-9267</f>
        <v>21051179.200479999</v>
      </c>
      <c r="G185" s="89">
        <f t="shared" si="208"/>
        <v>23286874.499520004</v>
      </c>
      <c r="H185" s="57">
        <f t="shared" si="209"/>
        <v>2216903</v>
      </c>
      <c r="I185" s="58">
        <f t="shared" si="210"/>
        <v>3284</v>
      </c>
      <c r="J185" s="100">
        <f t="shared" si="211"/>
        <v>47576</v>
      </c>
      <c r="K185" s="60">
        <f t="shared" si="212"/>
        <v>5847</v>
      </c>
      <c r="L185" s="57">
        <v>0</v>
      </c>
      <c r="M185" s="57"/>
      <c r="N185" s="57">
        <f t="shared" ref="N185:AC185" si="228">+ROUND(($G$185-$H$185)*365/$K$185,0)</f>
        <v>1315297</v>
      </c>
      <c r="O185" s="57">
        <f t="shared" si="228"/>
        <v>1315297</v>
      </c>
      <c r="P185" s="57">
        <f t="shared" si="228"/>
        <v>1315297</v>
      </c>
      <c r="Q185" s="57">
        <f t="shared" si="228"/>
        <v>1315297</v>
      </c>
      <c r="R185" s="57">
        <f t="shared" si="228"/>
        <v>1315297</v>
      </c>
      <c r="S185" s="57">
        <f t="shared" si="228"/>
        <v>1315297</v>
      </c>
      <c r="T185" s="57">
        <f t="shared" si="228"/>
        <v>1315297</v>
      </c>
      <c r="U185" s="352">
        <f t="shared" si="228"/>
        <v>1315297</v>
      </c>
      <c r="V185" s="57">
        <f t="shared" si="228"/>
        <v>1315297</v>
      </c>
      <c r="W185" s="57">
        <f t="shared" si="228"/>
        <v>1315297</v>
      </c>
      <c r="X185" s="57">
        <f t="shared" si="228"/>
        <v>1315297</v>
      </c>
      <c r="Y185" s="57">
        <f t="shared" si="228"/>
        <v>1315297</v>
      </c>
      <c r="Z185" s="57">
        <f t="shared" si="228"/>
        <v>1315297</v>
      </c>
      <c r="AA185" s="57">
        <f t="shared" si="228"/>
        <v>1315297</v>
      </c>
      <c r="AB185" s="57">
        <f t="shared" si="228"/>
        <v>1315297</v>
      </c>
      <c r="AC185" s="57">
        <f t="shared" si="228"/>
        <v>1315297</v>
      </c>
      <c r="AD185" s="57"/>
      <c r="AE185" s="57">
        <f>ROUND((G185-H185)*(K185-5840)/K185,0)-6</f>
        <v>25219</v>
      </c>
      <c r="AF185" s="140">
        <f t="shared" si="189"/>
        <v>12764498.499520004</v>
      </c>
      <c r="AG185" s="32">
        <f t="shared" si="226"/>
        <v>21069971</v>
      </c>
      <c r="AH185" s="101">
        <f t="shared" si="207"/>
        <v>21069971.499520004</v>
      </c>
      <c r="AP185" s="101"/>
      <c r="AQ185" s="101"/>
    </row>
    <row r="186" spans="1:43" ht="15.9" customHeight="1" x14ac:dyDescent="0.3">
      <c r="A186" s="475"/>
      <c r="B186" s="52" t="s">
        <v>15</v>
      </c>
      <c r="C186" s="98">
        <v>38514</v>
      </c>
      <c r="D186" s="54">
        <v>72441</v>
      </c>
      <c r="E186" s="78">
        <v>25</v>
      </c>
      <c r="F186" s="54">
        <v>33680</v>
      </c>
      <c r="G186" s="89">
        <f t="shared" si="208"/>
        <v>38761</v>
      </c>
      <c r="H186" s="57">
        <f t="shared" si="209"/>
        <v>3622</v>
      </c>
      <c r="I186" s="58">
        <f t="shared" si="210"/>
        <v>3216</v>
      </c>
      <c r="J186" s="100">
        <f t="shared" si="211"/>
        <v>47644</v>
      </c>
      <c r="K186" s="60">
        <f t="shared" si="212"/>
        <v>5915</v>
      </c>
      <c r="L186" s="57">
        <v>0</v>
      </c>
      <c r="M186" s="57"/>
      <c r="N186" s="57">
        <f t="shared" ref="N186:AC186" si="229">+ROUND(($G$186-$H$186)*365/$K$186,0)</f>
        <v>2168</v>
      </c>
      <c r="O186" s="57">
        <f t="shared" si="229"/>
        <v>2168</v>
      </c>
      <c r="P186" s="57">
        <f t="shared" si="229"/>
        <v>2168</v>
      </c>
      <c r="Q186" s="57">
        <f t="shared" si="229"/>
        <v>2168</v>
      </c>
      <c r="R186" s="57">
        <f t="shared" si="229"/>
        <v>2168</v>
      </c>
      <c r="S186" s="57">
        <f t="shared" si="229"/>
        <v>2168</v>
      </c>
      <c r="T186" s="57">
        <f t="shared" si="229"/>
        <v>2168</v>
      </c>
      <c r="U186" s="352">
        <f t="shared" si="229"/>
        <v>2168</v>
      </c>
      <c r="V186" s="57">
        <f t="shared" si="229"/>
        <v>2168</v>
      </c>
      <c r="W186" s="57">
        <f t="shared" si="229"/>
        <v>2168</v>
      </c>
      <c r="X186" s="57">
        <f t="shared" si="229"/>
        <v>2168</v>
      </c>
      <c r="Y186" s="57">
        <f t="shared" si="229"/>
        <v>2168</v>
      </c>
      <c r="Z186" s="57">
        <f t="shared" si="229"/>
        <v>2168</v>
      </c>
      <c r="AA186" s="57">
        <f t="shared" si="229"/>
        <v>2168</v>
      </c>
      <c r="AB186" s="57">
        <f t="shared" si="229"/>
        <v>2168</v>
      </c>
      <c r="AC186" s="57">
        <f t="shared" si="229"/>
        <v>2168</v>
      </c>
      <c r="AD186" s="57"/>
      <c r="AE186" s="57">
        <f>ROUND((G186-H186)*(K186-5840)/K186,0)+5</f>
        <v>451</v>
      </c>
      <c r="AF186" s="140">
        <f t="shared" si="189"/>
        <v>21417</v>
      </c>
      <c r="AG186" s="32">
        <f t="shared" si="226"/>
        <v>35139</v>
      </c>
      <c r="AH186" s="101">
        <f t="shared" si="207"/>
        <v>35139</v>
      </c>
      <c r="AP186" s="101"/>
      <c r="AQ186" s="101"/>
    </row>
    <row r="187" spans="1:43" ht="15.9" customHeight="1" x14ac:dyDescent="0.3">
      <c r="A187" s="475"/>
      <c r="B187" s="52" t="s">
        <v>343</v>
      </c>
      <c r="C187" s="98">
        <v>38591</v>
      </c>
      <c r="D187" s="54">
        <v>9267</v>
      </c>
      <c r="E187" s="78">
        <v>25</v>
      </c>
      <c r="F187" s="54">
        <v>9267</v>
      </c>
      <c r="G187" s="89">
        <f t="shared" si="208"/>
        <v>0</v>
      </c>
      <c r="H187" s="57">
        <v>0</v>
      </c>
      <c r="I187" s="58">
        <v>0</v>
      </c>
      <c r="J187" s="58">
        <v>0</v>
      </c>
      <c r="K187" s="60">
        <v>0</v>
      </c>
      <c r="L187" s="57">
        <v>0</v>
      </c>
      <c r="M187" s="57"/>
      <c r="N187" s="57">
        <v>0</v>
      </c>
      <c r="O187" s="80">
        <f t="shared" ref="O187:O215" si="230">+N187</f>
        <v>0</v>
      </c>
      <c r="P187" s="80">
        <f t="shared" ref="P187:AC187" si="231">+O187</f>
        <v>0</v>
      </c>
      <c r="Q187" s="80">
        <f t="shared" si="231"/>
        <v>0</v>
      </c>
      <c r="R187" s="80">
        <f t="shared" si="231"/>
        <v>0</v>
      </c>
      <c r="S187" s="80">
        <f t="shared" si="231"/>
        <v>0</v>
      </c>
      <c r="T187" s="57">
        <v>0</v>
      </c>
      <c r="U187" s="353">
        <f t="shared" si="231"/>
        <v>0</v>
      </c>
      <c r="V187" s="80">
        <f t="shared" si="231"/>
        <v>0</v>
      </c>
      <c r="W187" s="80">
        <f t="shared" si="231"/>
        <v>0</v>
      </c>
      <c r="X187" s="80">
        <f t="shared" si="231"/>
        <v>0</v>
      </c>
      <c r="Y187" s="80">
        <f t="shared" si="231"/>
        <v>0</v>
      </c>
      <c r="Z187" s="80">
        <f t="shared" si="231"/>
        <v>0</v>
      </c>
      <c r="AA187" s="80">
        <f t="shared" si="231"/>
        <v>0</v>
      </c>
      <c r="AB187" s="80">
        <f t="shared" si="231"/>
        <v>0</v>
      </c>
      <c r="AC187" s="80">
        <f t="shared" si="231"/>
        <v>0</v>
      </c>
      <c r="AD187" s="80"/>
      <c r="AE187" s="80">
        <f>+AC187</f>
        <v>0</v>
      </c>
      <c r="AF187" s="140">
        <f t="shared" si="189"/>
        <v>0</v>
      </c>
      <c r="AG187" s="32">
        <f t="shared" si="226"/>
        <v>0</v>
      </c>
      <c r="AH187" s="101">
        <f t="shared" si="207"/>
        <v>0</v>
      </c>
      <c r="AP187" s="101"/>
      <c r="AQ187" s="101"/>
    </row>
    <row r="188" spans="1:43" ht="15.9" customHeight="1" x14ac:dyDescent="0.3">
      <c r="A188" s="475"/>
      <c r="B188" s="52" t="s">
        <v>16</v>
      </c>
      <c r="C188" s="98">
        <v>38446</v>
      </c>
      <c r="D188" s="54">
        <v>54169215.909999996</v>
      </c>
      <c r="E188" s="78">
        <v>25</v>
      </c>
      <c r="F188" s="54">
        <v>25717704.640143998</v>
      </c>
      <c r="G188" s="89">
        <f t="shared" si="208"/>
        <v>28451511.269855998</v>
      </c>
      <c r="H188" s="57">
        <f t="shared" si="209"/>
        <v>2708461</v>
      </c>
      <c r="I188" s="58">
        <f>$I$3-C188+1</f>
        <v>3284</v>
      </c>
      <c r="J188" s="100">
        <f t="shared" ref="J188:J196" si="232">+C188+9130</f>
        <v>47576</v>
      </c>
      <c r="K188" s="60">
        <f t="shared" ref="K188:K206" si="233">+J188-C188-I188+1</f>
        <v>5847</v>
      </c>
      <c r="L188" s="57">
        <v>0</v>
      </c>
      <c r="M188" s="57"/>
      <c r="N188" s="57">
        <f t="shared" ref="N188:AC188" si="234">+ROUND(($G$188-$H$188)*365/$K$188,0)</f>
        <v>1607014</v>
      </c>
      <c r="O188" s="57">
        <f t="shared" si="234"/>
        <v>1607014</v>
      </c>
      <c r="P188" s="57">
        <f t="shared" si="234"/>
        <v>1607014</v>
      </c>
      <c r="Q188" s="57">
        <f t="shared" si="234"/>
        <v>1607014</v>
      </c>
      <c r="R188" s="57">
        <f t="shared" si="234"/>
        <v>1607014</v>
      </c>
      <c r="S188" s="57">
        <f t="shared" si="234"/>
        <v>1607014</v>
      </c>
      <c r="T188" s="57">
        <f t="shared" si="234"/>
        <v>1607014</v>
      </c>
      <c r="U188" s="352">
        <f t="shared" si="234"/>
        <v>1607014</v>
      </c>
      <c r="V188" s="57">
        <f t="shared" si="234"/>
        <v>1607014</v>
      </c>
      <c r="W188" s="57">
        <f t="shared" si="234"/>
        <v>1607014</v>
      </c>
      <c r="X188" s="57">
        <f t="shared" si="234"/>
        <v>1607014</v>
      </c>
      <c r="Y188" s="57">
        <f t="shared" si="234"/>
        <v>1607014</v>
      </c>
      <c r="Z188" s="57">
        <f t="shared" si="234"/>
        <v>1607014</v>
      </c>
      <c r="AA188" s="57">
        <f t="shared" si="234"/>
        <v>1607014</v>
      </c>
      <c r="AB188" s="57">
        <f t="shared" si="234"/>
        <v>1607014</v>
      </c>
      <c r="AC188" s="57">
        <f t="shared" si="234"/>
        <v>1607014</v>
      </c>
      <c r="AD188" s="57"/>
      <c r="AE188" s="57">
        <f>ROUND((G188-H188)*(K188-5840)/K188,0)+7</f>
        <v>30826</v>
      </c>
      <c r="AF188" s="140">
        <f t="shared" si="189"/>
        <v>15595399.269855998</v>
      </c>
      <c r="AG188" s="32">
        <f t="shared" si="226"/>
        <v>25743050</v>
      </c>
      <c r="AH188" s="101">
        <f t="shared" si="207"/>
        <v>25743050.269855998</v>
      </c>
      <c r="AP188" s="101"/>
      <c r="AQ188" s="101"/>
    </row>
    <row r="189" spans="1:43" ht="15.9" customHeight="1" x14ac:dyDescent="0.3">
      <c r="A189" s="475"/>
      <c r="B189" s="52" t="s">
        <v>17</v>
      </c>
      <c r="C189" s="98">
        <v>38470</v>
      </c>
      <c r="D189" s="54">
        <v>805638</v>
      </c>
      <c r="E189" s="78">
        <v>25</v>
      </c>
      <c r="F189" s="54">
        <v>379693.49920000002</v>
      </c>
      <c r="G189" s="89">
        <f t="shared" si="208"/>
        <v>425944.50079999998</v>
      </c>
      <c r="H189" s="57">
        <f t="shared" si="209"/>
        <v>40282</v>
      </c>
      <c r="I189" s="58">
        <f t="shared" si="210"/>
        <v>3260</v>
      </c>
      <c r="J189" s="100">
        <f t="shared" si="232"/>
        <v>47600</v>
      </c>
      <c r="K189" s="60">
        <f t="shared" si="233"/>
        <v>5871</v>
      </c>
      <c r="L189" s="57">
        <v>0</v>
      </c>
      <c r="M189" s="57"/>
      <c r="N189" s="57">
        <f t="shared" ref="N189:AC189" si="235">+ROUND(($G$189-$H$189)*365/$K$189,0)</f>
        <v>23977</v>
      </c>
      <c r="O189" s="57">
        <f t="shared" si="235"/>
        <v>23977</v>
      </c>
      <c r="P189" s="57">
        <f t="shared" si="235"/>
        <v>23977</v>
      </c>
      <c r="Q189" s="57">
        <f t="shared" si="235"/>
        <v>23977</v>
      </c>
      <c r="R189" s="57">
        <f t="shared" si="235"/>
        <v>23977</v>
      </c>
      <c r="S189" s="57">
        <f t="shared" si="235"/>
        <v>23977</v>
      </c>
      <c r="T189" s="57">
        <f t="shared" si="235"/>
        <v>23977</v>
      </c>
      <c r="U189" s="352">
        <f t="shared" si="235"/>
        <v>23977</v>
      </c>
      <c r="V189" s="57">
        <f t="shared" si="235"/>
        <v>23977</v>
      </c>
      <c r="W189" s="57">
        <f t="shared" si="235"/>
        <v>23977</v>
      </c>
      <c r="X189" s="57">
        <f t="shared" si="235"/>
        <v>23977</v>
      </c>
      <c r="Y189" s="57">
        <f t="shared" si="235"/>
        <v>23977</v>
      </c>
      <c r="Z189" s="57">
        <f t="shared" si="235"/>
        <v>23977</v>
      </c>
      <c r="AA189" s="57">
        <f t="shared" si="235"/>
        <v>23977</v>
      </c>
      <c r="AB189" s="57">
        <f t="shared" si="235"/>
        <v>23977</v>
      </c>
      <c r="AC189" s="57">
        <f t="shared" si="235"/>
        <v>23977</v>
      </c>
      <c r="AD189" s="57"/>
      <c r="AE189" s="57">
        <f>ROUND((G189-H189)*(K189-5840)/K189,0)-5</f>
        <v>2031</v>
      </c>
      <c r="AF189" s="140">
        <f t="shared" si="189"/>
        <v>234128.50079999998</v>
      </c>
      <c r="AG189" s="32">
        <f t="shared" si="226"/>
        <v>385663</v>
      </c>
      <c r="AH189" s="101">
        <f t="shared" si="207"/>
        <v>385662.50079999998</v>
      </c>
      <c r="AP189" s="101"/>
      <c r="AQ189" s="101"/>
    </row>
    <row r="190" spans="1:43" ht="15.9" customHeight="1" x14ac:dyDescent="0.3">
      <c r="A190" s="475"/>
      <c r="B190" s="52" t="s">
        <v>18</v>
      </c>
      <c r="C190" s="98">
        <v>38446</v>
      </c>
      <c r="D190" s="54">
        <v>19911592.57</v>
      </c>
      <c r="E190" s="78">
        <v>25</v>
      </c>
      <c r="F190" s="54">
        <f>'wdv Plant &amp; Mac'!C123</f>
        <v>9453347.9077610951</v>
      </c>
      <c r="G190" s="89">
        <f t="shared" si="208"/>
        <v>10458244.662238905</v>
      </c>
      <c r="H190" s="57">
        <f t="shared" si="209"/>
        <v>995580</v>
      </c>
      <c r="I190" s="58">
        <f t="shared" si="210"/>
        <v>3284</v>
      </c>
      <c r="J190" s="100">
        <f t="shared" si="232"/>
        <v>47576</v>
      </c>
      <c r="K190" s="60">
        <f t="shared" si="233"/>
        <v>5847</v>
      </c>
      <c r="L190" s="57">
        <v>0</v>
      </c>
      <c r="M190" s="57"/>
      <c r="N190" s="57">
        <f t="shared" ref="N190:AC190" si="236">+ROUND(($G$190-$H$190)*365/$K$190,0)</f>
        <v>590709</v>
      </c>
      <c r="O190" s="57">
        <f t="shared" si="236"/>
        <v>590709</v>
      </c>
      <c r="P190" s="57">
        <f t="shared" si="236"/>
        <v>590709</v>
      </c>
      <c r="Q190" s="57">
        <f t="shared" si="236"/>
        <v>590709</v>
      </c>
      <c r="R190" s="57">
        <f t="shared" si="236"/>
        <v>590709</v>
      </c>
      <c r="S190" s="57">
        <f t="shared" si="236"/>
        <v>590709</v>
      </c>
      <c r="T190" s="57">
        <f t="shared" si="236"/>
        <v>590709</v>
      </c>
      <c r="U190" s="352">
        <f t="shared" si="236"/>
        <v>590709</v>
      </c>
      <c r="V190" s="57">
        <f t="shared" si="236"/>
        <v>590709</v>
      </c>
      <c r="W190" s="57">
        <f t="shared" si="236"/>
        <v>590709</v>
      </c>
      <c r="X190" s="57">
        <f t="shared" si="236"/>
        <v>590709</v>
      </c>
      <c r="Y190" s="57">
        <f t="shared" si="236"/>
        <v>590709</v>
      </c>
      <c r="Z190" s="57">
        <f t="shared" si="236"/>
        <v>590709</v>
      </c>
      <c r="AA190" s="57">
        <f t="shared" si="236"/>
        <v>590709</v>
      </c>
      <c r="AB190" s="57">
        <f t="shared" si="236"/>
        <v>590709</v>
      </c>
      <c r="AC190" s="57">
        <f t="shared" si="236"/>
        <v>590709</v>
      </c>
      <c r="AD190" s="57"/>
      <c r="AE190" s="57">
        <f>ROUND((G190-H190)*(K190-5840)/K190,0)-8</f>
        <v>11321</v>
      </c>
      <c r="AF190" s="140">
        <f t="shared" ref="AF190:AF253" si="237">+D190-F190-SUM(N190:U190)-L190</f>
        <v>5732572.6622389052</v>
      </c>
      <c r="AG190" s="32">
        <f t="shared" si="226"/>
        <v>9462665</v>
      </c>
      <c r="AH190" s="101">
        <f t="shared" si="207"/>
        <v>9462664.6622389052</v>
      </c>
      <c r="AP190" s="101"/>
      <c r="AQ190" s="101"/>
    </row>
    <row r="191" spans="1:43" ht="15.9" customHeight="1" x14ac:dyDescent="0.3">
      <c r="A191" s="475"/>
      <c r="B191" s="52" t="s">
        <v>18</v>
      </c>
      <c r="C191" s="98">
        <v>38578</v>
      </c>
      <c r="D191" s="54">
        <v>18706</v>
      </c>
      <c r="E191" s="78">
        <v>25</v>
      </c>
      <c r="F191" s="54">
        <f>'wdv Plant &amp; Mac'!C131</f>
        <v>8523.7860821917802</v>
      </c>
      <c r="G191" s="89">
        <f t="shared" si="208"/>
        <v>10182.21391780822</v>
      </c>
      <c r="H191" s="57">
        <f t="shared" si="209"/>
        <v>935</v>
      </c>
      <c r="I191" s="58">
        <f t="shared" si="210"/>
        <v>3152</v>
      </c>
      <c r="J191" s="100">
        <f t="shared" si="232"/>
        <v>47708</v>
      </c>
      <c r="K191" s="60">
        <f t="shared" si="233"/>
        <v>5979</v>
      </c>
      <c r="L191" s="57">
        <v>0</v>
      </c>
      <c r="M191" s="57"/>
      <c r="N191" s="57">
        <f t="shared" ref="N191:AC191" si="238">+ROUND(($G$191-$H$191)*365/$K$191,0)</f>
        <v>565</v>
      </c>
      <c r="O191" s="57">
        <f t="shared" si="238"/>
        <v>565</v>
      </c>
      <c r="P191" s="57">
        <f t="shared" si="238"/>
        <v>565</v>
      </c>
      <c r="Q191" s="57">
        <f t="shared" si="238"/>
        <v>565</v>
      </c>
      <c r="R191" s="57">
        <f t="shared" si="238"/>
        <v>565</v>
      </c>
      <c r="S191" s="57">
        <f t="shared" si="238"/>
        <v>565</v>
      </c>
      <c r="T191" s="57">
        <f t="shared" si="238"/>
        <v>565</v>
      </c>
      <c r="U191" s="352">
        <f t="shared" si="238"/>
        <v>565</v>
      </c>
      <c r="V191" s="57">
        <f t="shared" si="238"/>
        <v>565</v>
      </c>
      <c r="W191" s="57">
        <f t="shared" si="238"/>
        <v>565</v>
      </c>
      <c r="X191" s="57">
        <f t="shared" si="238"/>
        <v>565</v>
      </c>
      <c r="Y191" s="57">
        <f t="shared" si="238"/>
        <v>565</v>
      </c>
      <c r="Z191" s="57">
        <f t="shared" si="238"/>
        <v>565</v>
      </c>
      <c r="AA191" s="57">
        <f t="shared" si="238"/>
        <v>565</v>
      </c>
      <c r="AB191" s="57">
        <f t="shared" si="238"/>
        <v>565</v>
      </c>
      <c r="AC191" s="57">
        <f t="shared" si="238"/>
        <v>565</v>
      </c>
      <c r="AD191" s="57"/>
      <c r="AE191" s="57">
        <f>ROUND((G191-H191)*(K191-5840)/K191,0)-8</f>
        <v>207</v>
      </c>
      <c r="AF191" s="140">
        <f t="shared" si="237"/>
        <v>5662.2139178082198</v>
      </c>
      <c r="AG191" s="32">
        <f t="shared" si="226"/>
        <v>9247</v>
      </c>
      <c r="AH191" s="101">
        <f t="shared" si="207"/>
        <v>9247.2139178082198</v>
      </c>
      <c r="AP191" s="101"/>
      <c r="AQ191" s="101"/>
    </row>
    <row r="192" spans="1:43" ht="15.9" customHeight="1" x14ac:dyDescent="0.3">
      <c r="A192" s="475"/>
      <c r="B192" s="52" t="s">
        <v>19</v>
      </c>
      <c r="C192" s="98">
        <v>38446</v>
      </c>
      <c r="D192" s="54">
        <v>14843454.699999999</v>
      </c>
      <c r="E192" s="78">
        <v>25</v>
      </c>
      <c r="F192" s="86">
        <f>'wdv Plant &amp; Mac'!C140</f>
        <v>7047168.1632000003</v>
      </c>
      <c r="G192" s="89">
        <f t="shared" si="208"/>
        <v>7796286.536799999</v>
      </c>
      <c r="H192" s="57">
        <f t="shared" si="209"/>
        <v>742173</v>
      </c>
      <c r="I192" s="58">
        <f t="shared" si="210"/>
        <v>3284</v>
      </c>
      <c r="J192" s="100">
        <f t="shared" si="232"/>
        <v>47576</v>
      </c>
      <c r="K192" s="60">
        <f t="shared" si="233"/>
        <v>5847</v>
      </c>
      <c r="L192" s="57">
        <v>0</v>
      </c>
      <c r="M192" s="57"/>
      <c r="N192" s="57">
        <f t="shared" ref="N192:AC192" si="239">+ROUND(($G$192-$H$192)*365/$K$192,0)</f>
        <v>440354</v>
      </c>
      <c r="O192" s="57">
        <f t="shared" si="239"/>
        <v>440354</v>
      </c>
      <c r="P192" s="57">
        <f t="shared" si="239"/>
        <v>440354</v>
      </c>
      <c r="Q192" s="57">
        <f t="shared" si="239"/>
        <v>440354</v>
      </c>
      <c r="R192" s="57">
        <f t="shared" si="239"/>
        <v>440354</v>
      </c>
      <c r="S192" s="57">
        <f t="shared" si="239"/>
        <v>440354</v>
      </c>
      <c r="T192" s="57">
        <f t="shared" si="239"/>
        <v>440354</v>
      </c>
      <c r="U192" s="352">
        <f t="shared" si="239"/>
        <v>440354</v>
      </c>
      <c r="V192" s="57">
        <f t="shared" si="239"/>
        <v>440354</v>
      </c>
      <c r="W192" s="57">
        <f t="shared" si="239"/>
        <v>440354</v>
      </c>
      <c r="X192" s="57">
        <f t="shared" si="239"/>
        <v>440354</v>
      </c>
      <c r="Y192" s="57">
        <f t="shared" si="239"/>
        <v>440354</v>
      </c>
      <c r="Z192" s="57">
        <f t="shared" si="239"/>
        <v>440354</v>
      </c>
      <c r="AA192" s="57">
        <f t="shared" si="239"/>
        <v>440354</v>
      </c>
      <c r="AB192" s="57">
        <f t="shared" si="239"/>
        <v>440354</v>
      </c>
      <c r="AC192" s="57">
        <f t="shared" si="239"/>
        <v>440354</v>
      </c>
      <c r="AD192" s="57"/>
      <c r="AE192" s="57">
        <f>ROUND((G192-H192)*(K192-5840)/K192,0)+5</f>
        <v>8450</v>
      </c>
      <c r="AF192" s="140">
        <f t="shared" si="237"/>
        <v>4273454.536799999</v>
      </c>
      <c r="AG192" s="32">
        <f t="shared" si="226"/>
        <v>7054114</v>
      </c>
      <c r="AH192" s="101">
        <f t="shared" si="207"/>
        <v>7054113.536799999</v>
      </c>
      <c r="AP192" s="101"/>
      <c r="AQ192" s="101"/>
    </row>
    <row r="193" spans="1:43" ht="15.9" customHeight="1" x14ac:dyDescent="0.3">
      <c r="A193" s="475"/>
      <c r="B193" s="52" t="s">
        <v>19</v>
      </c>
      <c r="C193" s="98">
        <v>38643</v>
      </c>
      <c r="D193" s="54">
        <v>487711</v>
      </c>
      <c r="E193" s="78">
        <v>25</v>
      </c>
      <c r="F193" s="86">
        <f>'wdv Plant &amp; Mac'!C148</f>
        <v>217651.05306301371</v>
      </c>
      <c r="G193" s="89">
        <f t="shared" si="208"/>
        <v>270059.94693698629</v>
      </c>
      <c r="H193" s="57">
        <f t="shared" si="209"/>
        <v>24386</v>
      </c>
      <c r="I193" s="58">
        <f t="shared" si="210"/>
        <v>3087</v>
      </c>
      <c r="J193" s="100">
        <f t="shared" si="232"/>
        <v>47773</v>
      </c>
      <c r="K193" s="60">
        <f t="shared" si="233"/>
        <v>6044</v>
      </c>
      <c r="L193" s="57">
        <v>0</v>
      </c>
      <c r="M193" s="57"/>
      <c r="N193" s="57">
        <f t="shared" ref="N193:AC193" si="240">+ROUND(($G$193-$H$193)*365/$K$193,0)</f>
        <v>14836</v>
      </c>
      <c r="O193" s="57">
        <f t="shared" si="240"/>
        <v>14836</v>
      </c>
      <c r="P193" s="57">
        <f t="shared" si="240"/>
        <v>14836</v>
      </c>
      <c r="Q193" s="57">
        <f t="shared" si="240"/>
        <v>14836</v>
      </c>
      <c r="R193" s="57">
        <f t="shared" si="240"/>
        <v>14836</v>
      </c>
      <c r="S193" s="57">
        <f t="shared" si="240"/>
        <v>14836</v>
      </c>
      <c r="T193" s="57">
        <f t="shared" si="240"/>
        <v>14836</v>
      </c>
      <c r="U193" s="352">
        <f t="shared" si="240"/>
        <v>14836</v>
      </c>
      <c r="V193" s="57">
        <f t="shared" si="240"/>
        <v>14836</v>
      </c>
      <c r="W193" s="57">
        <f t="shared" si="240"/>
        <v>14836</v>
      </c>
      <c r="X193" s="57">
        <f t="shared" si="240"/>
        <v>14836</v>
      </c>
      <c r="Y193" s="57">
        <f t="shared" si="240"/>
        <v>14836</v>
      </c>
      <c r="Z193" s="57">
        <f t="shared" si="240"/>
        <v>14836</v>
      </c>
      <c r="AA193" s="57">
        <f t="shared" si="240"/>
        <v>14836</v>
      </c>
      <c r="AB193" s="57">
        <f t="shared" si="240"/>
        <v>14836</v>
      </c>
      <c r="AC193" s="57">
        <f t="shared" si="240"/>
        <v>14836</v>
      </c>
      <c r="AD193" s="57"/>
      <c r="AE193" s="57">
        <f>ROUND((G193-H193)*(K193-5840)/K193,0)+6</f>
        <v>8298</v>
      </c>
      <c r="AF193" s="140">
        <f t="shared" si="237"/>
        <v>151371.94693698629</v>
      </c>
      <c r="AG193" s="32">
        <f t="shared" si="226"/>
        <v>245674</v>
      </c>
      <c r="AH193" s="101">
        <f t="shared" si="207"/>
        <v>245673.94693698629</v>
      </c>
      <c r="AP193" s="101"/>
      <c r="AQ193" s="101"/>
    </row>
    <row r="194" spans="1:43" ht="15.9" customHeight="1" x14ac:dyDescent="0.3">
      <c r="A194" s="475"/>
      <c r="B194" s="52" t="s">
        <v>20</v>
      </c>
      <c r="C194" s="98">
        <v>38446</v>
      </c>
      <c r="D194" s="54">
        <v>15616960.279999999</v>
      </c>
      <c r="E194" s="78">
        <v>25</v>
      </c>
      <c r="F194" s="54">
        <f>'wdv Plant &amp; Mac'!C157</f>
        <v>7414403.1921564061</v>
      </c>
      <c r="G194" s="89">
        <f t="shared" si="208"/>
        <v>8202557.0878435932</v>
      </c>
      <c r="H194" s="57">
        <f t="shared" si="209"/>
        <v>780848</v>
      </c>
      <c r="I194" s="58">
        <f t="shared" si="210"/>
        <v>3284</v>
      </c>
      <c r="J194" s="100">
        <f t="shared" si="232"/>
        <v>47576</v>
      </c>
      <c r="K194" s="60">
        <f t="shared" si="233"/>
        <v>5847</v>
      </c>
      <c r="L194" s="57">
        <v>0</v>
      </c>
      <c r="M194" s="57"/>
      <c r="N194" s="57">
        <f t="shared" ref="N194:AC194" si="241">+ROUND(($G$194-$H$194)*365/$K$194,0)</f>
        <v>463301</v>
      </c>
      <c r="O194" s="57">
        <f t="shared" si="241"/>
        <v>463301</v>
      </c>
      <c r="P194" s="57">
        <f t="shared" si="241"/>
        <v>463301</v>
      </c>
      <c r="Q194" s="57">
        <f t="shared" si="241"/>
        <v>463301</v>
      </c>
      <c r="R194" s="57">
        <f t="shared" si="241"/>
        <v>463301</v>
      </c>
      <c r="S194" s="57">
        <f t="shared" si="241"/>
        <v>463301</v>
      </c>
      <c r="T194" s="57">
        <f t="shared" si="241"/>
        <v>463301</v>
      </c>
      <c r="U194" s="352">
        <f t="shared" si="241"/>
        <v>463301</v>
      </c>
      <c r="V194" s="57">
        <f t="shared" si="241"/>
        <v>463301</v>
      </c>
      <c r="W194" s="57">
        <f t="shared" si="241"/>
        <v>463301</v>
      </c>
      <c r="X194" s="57">
        <f t="shared" si="241"/>
        <v>463301</v>
      </c>
      <c r="Y194" s="57">
        <f t="shared" si="241"/>
        <v>463301</v>
      </c>
      <c r="Z194" s="57">
        <f t="shared" si="241"/>
        <v>463301</v>
      </c>
      <c r="AA194" s="57">
        <f t="shared" si="241"/>
        <v>463301</v>
      </c>
      <c r="AB194" s="57">
        <f t="shared" si="241"/>
        <v>463301</v>
      </c>
      <c r="AC194" s="57">
        <f t="shared" si="241"/>
        <v>463301</v>
      </c>
      <c r="AD194" s="57"/>
      <c r="AE194" s="57">
        <f>ROUND((G194-H194)*(K194-5840)/K194,0)+8</f>
        <v>8893</v>
      </c>
      <c r="AF194" s="140">
        <f t="shared" si="237"/>
        <v>4496149.0878435932</v>
      </c>
      <c r="AG194" s="32">
        <f t="shared" si="226"/>
        <v>7421709</v>
      </c>
      <c r="AH194" s="101">
        <f t="shared" si="207"/>
        <v>7421709.0878435932</v>
      </c>
      <c r="AP194" s="101"/>
      <c r="AQ194" s="101"/>
    </row>
    <row r="195" spans="1:43" ht="15.9" customHeight="1" x14ac:dyDescent="0.3">
      <c r="A195" s="475"/>
      <c r="B195" s="52" t="s">
        <v>20</v>
      </c>
      <c r="C195" s="98">
        <v>38558</v>
      </c>
      <c r="D195" s="54">
        <v>20740</v>
      </c>
      <c r="E195" s="78">
        <v>25</v>
      </c>
      <c r="F195" s="54">
        <f>'wdv Plant &amp; Mac'!C165</f>
        <v>9510.6253150684915</v>
      </c>
      <c r="G195" s="89">
        <f t="shared" si="208"/>
        <v>11229.374684931508</v>
      </c>
      <c r="H195" s="57">
        <f t="shared" si="209"/>
        <v>1037</v>
      </c>
      <c r="I195" s="58">
        <f t="shared" si="210"/>
        <v>3172</v>
      </c>
      <c r="J195" s="100">
        <f t="shared" si="232"/>
        <v>47688</v>
      </c>
      <c r="K195" s="60">
        <f t="shared" si="233"/>
        <v>5959</v>
      </c>
      <c r="L195" s="57">
        <v>0</v>
      </c>
      <c r="M195" s="57"/>
      <c r="N195" s="57">
        <f t="shared" ref="N195:AC195" si="242">+ROUND(($G$195-$H$195)*365/$K$195,0)</f>
        <v>624</v>
      </c>
      <c r="O195" s="57">
        <f t="shared" si="242"/>
        <v>624</v>
      </c>
      <c r="P195" s="57">
        <f t="shared" si="242"/>
        <v>624</v>
      </c>
      <c r="Q195" s="57">
        <f t="shared" si="242"/>
        <v>624</v>
      </c>
      <c r="R195" s="57">
        <f t="shared" si="242"/>
        <v>624</v>
      </c>
      <c r="S195" s="57">
        <f t="shared" si="242"/>
        <v>624</v>
      </c>
      <c r="T195" s="57">
        <f t="shared" si="242"/>
        <v>624</v>
      </c>
      <c r="U195" s="352">
        <f t="shared" si="242"/>
        <v>624</v>
      </c>
      <c r="V195" s="57">
        <f t="shared" si="242"/>
        <v>624</v>
      </c>
      <c r="W195" s="57">
        <f t="shared" si="242"/>
        <v>624</v>
      </c>
      <c r="X195" s="57">
        <f t="shared" si="242"/>
        <v>624</v>
      </c>
      <c r="Y195" s="57">
        <f t="shared" si="242"/>
        <v>624</v>
      </c>
      <c r="Z195" s="57">
        <f t="shared" si="242"/>
        <v>624</v>
      </c>
      <c r="AA195" s="57">
        <f t="shared" si="242"/>
        <v>624</v>
      </c>
      <c r="AB195" s="57">
        <f t="shared" si="242"/>
        <v>624</v>
      </c>
      <c r="AC195" s="57">
        <f t="shared" si="242"/>
        <v>624</v>
      </c>
      <c r="AD195" s="57"/>
      <c r="AE195" s="57">
        <f>ROUND((G195-H195)*(K195-5840)/K195,0)+4</f>
        <v>208</v>
      </c>
      <c r="AF195" s="140">
        <f t="shared" si="237"/>
        <v>6237.3746849315085</v>
      </c>
      <c r="AG195" s="32">
        <f t="shared" si="226"/>
        <v>10192</v>
      </c>
      <c r="AH195" s="101">
        <f t="shared" si="207"/>
        <v>10192.374684931508</v>
      </c>
      <c r="AP195" s="101"/>
      <c r="AQ195" s="101"/>
    </row>
    <row r="196" spans="1:43" ht="15.9" customHeight="1" x14ac:dyDescent="0.3">
      <c r="A196" s="475"/>
      <c r="B196" s="52" t="s">
        <v>21</v>
      </c>
      <c r="C196" s="98">
        <v>38446</v>
      </c>
      <c r="D196" s="54">
        <v>567197.9</v>
      </c>
      <c r="E196" s="78">
        <v>25</v>
      </c>
      <c r="F196" s="54">
        <v>269286.14736</v>
      </c>
      <c r="G196" s="89">
        <f t="shared" si="208"/>
        <v>297911.75264000002</v>
      </c>
      <c r="H196" s="57">
        <f t="shared" si="209"/>
        <v>28360</v>
      </c>
      <c r="I196" s="58">
        <f t="shared" si="210"/>
        <v>3284</v>
      </c>
      <c r="J196" s="100">
        <f t="shared" si="232"/>
        <v>47576</v>
      </c>
      <c r="K196" s="60">
        <f t="shared" si="233"/>
        <v>5847</v>
      </c>
      <c r="L196" s="57">
        <v>0</v>
      </c>
      <c r="M196" s="57"/>
      <c r="N196" s="57">
        <f t="shared" ref="N196:AC196" si="243">+ROUND(($G$196-$H$196)*365/$K$196,0)</f>
        <v>16827</v>
      </c>
      <c r="O196" s="57">
        <f t="shared" si="243"/>
        <v>16827</v>
      </c>
      <c r="P196" s="57">
        <f t="shared" si="243"/>
        <v>16827</v>
      </c>
      <c r="Q196" s="57">
        <f t="shared" si="243"/>
        <v>16827</v>
      </c>
      <c r="R196" s="57">
        <f t="shared" si="243"/>
        <v>16827</v>
      </c>
      <c r="S196" s="57">
        <f t="shared" si="243"/>
        <v>16827</v>
      </c>
      <c r="T196" s="57">
        <f t="shared" si="243"/>
        <v>16827</v>
      </c>
      <c r="U196" s="352">
        <f t="shared" si="243"/>
        <v>16827</v>
      </c>
      <c r="V196" s="57">
        <f t="shared" si="243"/>
        <v>16827</v>
      </c>
      <c r="W196" s="57">
        <f t="shared" si="243"/>
        <v>16827</v>
      </c>
      <c r="X196" s="57">
        <f t="shared" si="243"/>
        <v>16827</v>
      </c>
      <c r="Y196" s="57">
        <f t="shared" si="243"/>
        <v>16827</v>
      </c>
      <c r="Z196" s="57">
        <f t="shared" si="243"/>
        <v>16827</v>
      </c>
      <c r="AA196" s="57">
        <f t="shared" si="243"/>
        <v>16827</v>
      </c>
      <c r="AB196" s="57">
        <f t="shared" si="243"/>
        <v>16827</v>
      </c>
      <c r="AC196" s="57">
        <f t="shared" si="243"/>
        <v>16827</v>
      </c>
      <c r="AD196" s="57"/>
      <c r="AE196" s="57">
        <f>ROUND((G196-H196)*(K196-5840)/K196,0)-3</f>
        <v>320</v>
      </c>
      <c r="AF196" s="140">
        <f t="shared" si="237"/>
        <v>163295.75264000002</v>
      </c>
      <c r="AG196" s="32">
        <f t="shared" si="226"/>
        <v>269552</v>
      </c>
      <c r="AH196" s="101">
        <f t="shared" si="207"/>
        <v>269551.75264000002</v>
      </c>
      <c r="AP196" s="101"/>
      <c r="AQ196" s="101"/>
    </row>
    <row r="197" spans="1:43" ht="15.9" customHeight="1" x14ac:dyDescent="0.3">
      <c r="A197" s="475"/>
      <c r="B197" s="52" t="s">
        <v>209</v>
      </c>
      <c r="C197" s="98">
        <v>38446</v>
      </c>
      <c r="D197" s="54">
        <v>114967.74</v>
      </c>
      <c r="E197" s="78">
        <v>15</v>
      </c>
      <c r="F197" s="54">
        <f>'wdv Plant &amp; Mac'!C174</f>
        <v>49103.935232876713</v>
      </c>
      <c r="G197" s="89">
        <f t="shared" si="208"/>
        <v>65863.804767123293</v>
      </c>
      <c r="H197" s="57">
        <f t="shared" si="209"/>
        <v>5748</v>
      </c>
      <c r="I197" s="58">
        <f t="shared" si="210"/>
        <v>3284</v>
      </c>
      <c r="J197" s="100">
        <f>+C197+5478</f>
        <v>43924</v>
      </c>
      <c r="K197" s="60">
        <f t="shared" si="233"/>
        <v>2195</v>
      </c>
      <c r="L197" s="57">
        <v>0</v>
      </c>
      <c r="M197" s="57"/>
      <c r="N197" s="57">
        <f t="shared" ref="N197:N206" si="244">+ROUND((G197-H197)*365/K197,0)</f>
        <v>9996</v>
      </c>
      <c r="O197" s="80">
        <f t="shared" si="230"/>
        <v>9996</v>
      </c>
      <c r="P197" s="80">
        <f t="shared" ref="P197:S197" si="245">+O197</f>
        <v>9996</v>
      </c>
      <c r="Q197" s="80">
        <f t="shared" si="245"/>
        <v>9996</v>
      </c>
      <c r="R197" s="80">
        <f t="shared" si="245"/>
        <v>9996</v>
      </c>
      <c r="S197" s="80">
        <f t="shared" si="245"/>
        <v>9996</v>
      </c>
      <c r="T197" s="57">
        <f>+ROUND((G197-H197)*(K197-2190)/K197,0)+3</f>
        <v>140</v>
      </c>
      <c r="U197" s="353">
        <v>0</v>
      </c>
      <c r="V197" s="80">
        <f t="shared" ref="V197:AC197" si="246">+U197</f>
        <v>0</v>
      </c>
      <c r="W197" s="80">
        <f t="shared" si="246"/>
        <v>0</v>
      </c>
      <c r="X197" s="80">
        <f t="shared" si="246"/>
        <v>0</v>
      </c>
      <c r="Y197" s="80">
        <f t="shared" si="246"/>
        <v>0</v>
      </c>
      <c r="Z197" s="80">
        <f t="shared" si="246"/>
        <v>0</v>
      </c>
      <c r="AA197" s="80">
        <f t="shared" si="246"/>
        <v>0</v>
      </c>
      <c r="AB197" s="80">
        <f t="shared" si="246"/>
        <v>0</v>
      </c>
      <c r="AC197" s="80">
        <f t="shared" si="246"/>
        <v>0</v>
      </c>
      <c r="AD197" s="80"/>
      <c r="AE197" s="80">
        <f t="shared" ref="AE197:AE210" si="247">+AC197</f>
        <v>0</v>
      </c>
      <c r="AF197" s="140">
        <f t="shared" si="237"/>
        <v>5747.8047671232925</v>
      </c>
      <c r="AG197" s="32">
        <f t="shared" si="226"/>
        <v>60116</v>
      </c>
      <c r="AH197" s="101">
        <f t="shared" si="207"/>
        <v>60115.804767123293</v>
      </c>
      <c r="AP197" s="101"/>
      <c r="AQ197" s="101"/>
    </row>
    <row r="198" spans="1:43" ht="15.9" customHeight="1" x14ac:dyDescent="0.3">
      <c r="A198" s="475"/>
      <c r="B198" s="52" t="s">
        <v>209</v>
      </c>
      <c r="C198" s="98">
        <v>38492</v>
      </c>
      <c r="D198" s="54">
        <v>120356</v>
      </c>
      <c r="E198" s="78">
        <v>15</v>
      </c>
      <c r="F198" s="54">
        <f>'wdv Plant &amp; Mac'!C182</f>
        <v>50684.714410958906</v>
      </c>
      <c r="G198" s="89">
        <f t="shared" si="208"/>
        <v>69671.285589041101</v>
      </c>
      <c r="H198" s="57">
        <f t="shared" si="209"/>
        <v>6018</v>
      </c>
      <c r="I198" s="58">
        <f t="shared" si="210"/>
        <v>3238</v>
      </c>
      <c r="J198" s="100">
        <f t="shared" ref="J198:J210" si="248">+C198+5478</f>
        <v>43970</v>
      </c>
      <c r="K198" s="60">
        <f t="shared" si="233"/>
        <v>2241</v>
      </c>
      <c r="L198" s="57">
        <v>0</v>
      </c>
      <c r="M198" s="57"/>
      <c r="N198" s="57">
        <f t="shared" si="244"/>
        <v>10367</v>
      </c>
      <c r="O198" s="80">
        <f t="shared" si="230"/>
        <v>10367</v>
      </c>
      <c r="P198" s="80">
        <f t="shared" ref="P198:S198" si="249">+O198</f>
        <v>10367</v>
      </c>
      <c r="Q198" s="80">
        <f t="shared" si="249"/>
        <v>10367</v>
      </c>
      <c r="R198" s="80">
        <f t="shared" si="249"/>
        <v>10367</v>
      </c>
      <c r="S198" s="80">
        <f t="shared" si="249"/>
        <v>10367</v>
      </c>
      <c r="T198" s="57">
        <f>+ROUND((G198-H198)*(K198-2190)/K198,0)+2</f>
        <v>1451</v>
      </c>
      <c r="U198" s="353">
        <v>0</v>
      </c>
      <c r="V198" s="80">
        <f t="shared" ref="V198:AC198" si="250">+U198</f>
        <v>0</v>
      </c>
      <c r="W198" s="80">
        <f t="shared" si="250"/>
        <v>0</v>
      </c>
      <c r="X198" s="80">
        <f t="shared" si="250"/>
        <v>0</v>
      </c>
      <c r="Y198" s="80">
        <f t="shared" si="250"/>
        <v>0</v>
      </c>
      <c r="Z198" s="80">
        <f t="shared" si="250"/>
        <v>0</v>
      </c>
      <c r="AA198" s="80">
        <f t="shared" si="250"/>
        <v>0</v>
      </c>
      <c r="AB198" s="80">
        <f t="shared" si="250"/>
        <v>0</v>
      </c>
      <c r="AC198" s="80">
        <f t="shared" si="250"/>
        <v>0</v>
      </c>
      <c r="AD198" s="80"/>
      <c r="AE198" s="80">
        <f t="shared" si="247"/>
        <v>0</v>
      </c>
      <c r="AF198" s="140">
        <f t="shared" si="237"/>
        <v>6018.285589041101</v>
      </c>
      <c r="AG198" s="32">
        <f t="shared" si="226"/>
        <v>63653</v>
      </c>
      <c r="AH198" s="101">
        <f t="shared" si="207"/>
        <v>63653.285589041101</v>
      </c>
      <c r="AP198" s="101"/>
      <c r="AQ198" s="101"/>
    </row>
    <row r="199" spans="1:43" ht="15.9" customHeight="1" x14ac:dyDescent="0.3">
      <c r="A199" s="475"/>
      <c r="B199" s="52" t="s">
        <v>22</v>
      </c>
      <c r="C199" s="98">
        <v>38446</v>
      </c>
      <c r="D199" s="54">
        <v>2644368.35</v>
      </c>
      <c r="E199" s="78">
        <v>15</v>
      </c>
      <c r="F199" s="54">
        <v>1065140.9771500002</v>
      </c>
      <c r="G199" s="89">
        <f t="shared" si="208"/>
        <v>1579227.3728499999</v>
      </c>
      <c r="H199" s="57">
        <f t="shared" si="209"/>
        <v>132218</v>
      </c>
      <c r="I199" s="58">
        <f t="shared" si="210"/>
        <v>3284</v>
      </c>
      <c r="J199" s="100">
        <f t="shared" si="248"/>
        <v>43924</v>
      </c>
      <c r="K199" s="60">
        <f t="shared" si="233"/>
        <v>2195</v>
      </c>
      <c r="L199" s="57">
        <v>0</v>
      </c>
      <c r="M199" s="57"/>
      <c r="N199" s="57">
        <f t="shared" si="244"/>
        <v>240619</v>
      </c>
      <c r="O199" s="80">
        <f t="shared" si="230"/>
        <v>240619</v>
      </c>
      <c r="P199" s="80">
        <f t="shared" ref="P199:S199" si="251">+O199</f>
        <v>240619</v>
      </c>
      <c r="Q199" s="80">
        <f t="shared" si="251"/>
        <v>240619</v>
      </c>
      <c r="R199" s="80">
        <f t="shared" si="251"/>
        <v>240619</v>
      </c>
      <c r="S199" s="80">
        <f t="shared" si="251"/>
        <v>240619</v>
      </c>
      <c r="T199" s="57">
        <f>+ROUND((G199-H199)*(K199-2190)/K199,0)-1</f>
        <v>3295</v>
      </c>
      <c r="U199" s="353">
        <v>0</v>
      </c>
      <c r="V199" s="80">
        <f t="shared" ref="V199:AC199" si="252">+U199</f>
        <v>0</v>
      </c>
      <c r="W199" s="80">
        <f t="shared" si="252"/>
        <v>0</v>
      </c>
      <c r="X199" s="80">
        <f t="shared" si="252"/>
        <v>0</v>
      </c>
      <c r="Y199" s="80">
        <f t="shared" si="252"/>
        <v>0</v>
      </c>
      <c r="Z199" s="80">
        <f t="shared" si="252"/>
        <v>0</v>
      </c>
      <c r="AA199" s="80">
        <f t="shared" si="252"/>
        <v>0</v>
      </c>
      <c r="AB199" s="80">
        <f t="shared" si="252"/>
        <v>0</v>
      </c>
      <c r="AC199" s="80">
        <f t="shared" si="252"/>
        <v>0</v>
      </c>
      <c r="AD199" s="80"/>
      <c r="AE199" s="80">
        <f t="shared" si="247"/>
        <v>0</v>
      </c>
      <c r="AF199" s="140">
        <f t="shared" si="237"/>
        <v>132218.37284999993</v>
      </c>
      <c r="AG199" s="32">
        <f t="shared" si="226"/>
        <v>1447009</v>
      </c>
      <c r="AH199" s="101">
        <f t="shared" si="207"/>
        <v>1447009.3728499999</v>
      </c>
      <c r="AP199" s="101"/>
      <c r="AQ199" s="101"/>
    </row>
    <row r="200" spans="1:43" ht="15.9" customHeight="1" x14ac:dyDescent="0.3">
      <c r="A200" s="475"/>
      <c r="B200" s="52" t="s">
        <v>23</v>
      </c>
      <c r="C200" s="98">
        <v>38446</v>
      </c>
      <c r="D200" s="54">
        <v>322053.88</v>
      </c>
      <c r="E200" s="78">
        <v>15</v>
      </c>
      <c r="F200" s="54">
        <v>137553.62789999999</v>
      </c>
      <c r="G200" s="89">
        <f t="shared" si="208"/>
        <v>184500.25210000001</v>
      </c>
      <c r="H200" s="57">
        <f t="shared" si="209"/>
        <v>16103</v>
      </c>
      <c r="I200" s="58">
        <f t="shared" si="210"/>
        <v>3284</v>
      </c>
      <c r="J200" s="100">
        <f t="shared" si="248"/>
        <v>43924</v>
      </c>
      <c r="K200" s="60">
        <f t="shared" si="233"/>
        <v>2195</v>
      </c>
      <c r="L200" s="57">
        <v>0</v>
      </c>
      <c r="M200" s="57"/>
      <c r="N200" s="57">
        <f t="shared" si="244"/>
        <v>28002</v>
      </c>
      <c r="O200" s="80">
        <f t="shared" si="230"/>
        <v>28002</v>
      </c>
      <c r="P200" s="80">
        <f t="shared" ref="P200:S200" si="253">+O200</f>
        <v>28002</v>
      </c>
      <c r="Q200" s="80">
        <f t="shared" si="253"/>
        <v>28002</v>
      </c>
      <c r="R200" s="80">
        <f t="shared" si="253"/>
        <v>28002</v>
      </c>
      <c r="S200" s="80">
        <f t="shared" si="253"/>
        <v>28002</v>
      </c>
      <c r="T200" s="57">
        <f>+ROUND((G200-H200)*(K200-2190)/K200,0)+1</f>
        <v>385</v>
      </c>
      <c r="U200" s="353">
        <v>0</v>
      </c>
      <c r="V200" s="80">
        <f t="shared" ref="V200:AC200" si="254">+U200</f>
        <v>0</v>
      </c>
      <c r="W200" s="80">
        <f t="shared" si="254"/>
        <v>0</v>
      </c>
      <c r="X200" s="80">
        <f t="shared" si="254"/>
        <v>0</v>
      </c>
      <c r="Y200" s="80">
        <f t="shared" si="254"/>
        <v>0</v>
      </c>
      <c r="Z200" s="80">
        <f t="shared" si="254"/>
        <v>0</v>
      </c>
      <c r="AA200" s="80">
        <f t="shared" si="254"/>
        <v>0</v>
      </c>
      <c r="AB200" s="80">
        <f t="shared" si="254"/>
        <v>0</v>
      </c>
      <c r="AC200" s="80">
        <f t="shared" si="254"/>
        <v>0</v>
      </c>
      <c r="AD200" s="80"/>
      <c r="AE200" s="80">
        <f t="shared" si="247"/>
        <v>0</v>
      </c>
      <c r="AF200" s="140">
        <f t="shared" si="237"/>
        <v>16103.252100000012</v>
      </c>
      <c r="AG200" s="32">
        <f t="shared" si="226"/>
        <v>168397</v>
      </c>
      <c r="AH200" s="101">
        <f t="shared" si="207"/>
        <v>168397.25210000001</v>
      </c>
      <c r="AP200" s="101"/>
      <c r="AQ200" s="101"/>
    </row>
    <row r="201" spans="1:43" ht="15.9" customHeight="1" x14ac:dyDescent="0.3">
      <c r="A201" s="475"/>
      <c r="B201" s="90" t="s">
        <v>24</v>
      </c>
      <c r="C201" s="98">
        <v>38550</v>
      </c>
      <c r="D201" s="54">
        <v>20104</v>
      </c>
      <c r="E201" s="78">
        <v>15</v>
      </c>
      <c r="F201" s="54">
        <v>8314.7000000000007</v>
      </c>
      <c r="G201" s="89">
        <f t="shared" si="208"/>
        <v>11789.3</v>
      </c>
      <c r="H201" s="57">
        <f t="shared" si="209"/>
        <v>1005</v>
      </c>
      <c r="I201" s="58">
        <f t="shared" si="210"/>
        <v>3180</v>
      </c>
      <c r="J201" s="100">
        <f t="shared" si="248"/>
        <v>44028</v>
      </c>
      <c r="K201" s="60">
        <f t="shared" si="233"/>
        <v>2299</v>
      </c>
      <c r="L201" s="57">
        <v>0</v>
      </c>
      <c r="M201" s="57"/>
      <c r="N201" s="57">
        <f t="shared" si="244"/>
        <v>1712</v>
      </c>
      <c r="O201" s="80">
        <f t="shared" si="230"/>
        <v>1712</v>
      </c>
      <c r="P201" s="80">
        <f t="shared" ref="P201:S201" si="255">+O201</f>
        <v>1712</v>
      </c>
      <c r="Q201" s="80">
        <f t="shared" si="255"/>
        <v>1712</v>
      </c>
      <c r="R201" s="80">
        <f t="shared" si="255"/>
        <v>1712</v>
      </c>
      <c r="S201" s="80">
        <f t="shared" si="255"/>
        <v>1712</v>
      </c>
      <c r="T201" s="57">
        <f>+ROUND((G201-H201)*(K201-2190)/K201,0)+1</f>
        <v>512</v>
      </c>
      <c r="U201" s="353">
        <v>0</v>
      </c>
      <c r="V201" s="80">
        <f t="shared" ref="V201:AC201" si="256">+U201</f>
        <v>0</v>
      </c>
      <c r="W201" s="80">
        <f t="shared" si="256"/>
        <v>0</v>
      </c>
      <c r="X201" s="80">
        <f t="shared" si="256"/>
        <v>0</v>
      </c>
      <c r="Y201" s="80">
        <f t="shared" si="256"/>
        <v>0</v>
      </c>
      <c r="Z201" s="80">
        <f t="shared" si="256"/>
        <v>0</v>
      </c>
      <c r="AA201" s="80">
        <f t="shared" si="256"/>
        <v>0</v>
      </c>
      <c r="AB201" s="80">
        <f t="shared" si="256"/>
        <v>0</v>
      </c>
      <c r="AC201" s="80">
        <f t="shared" si="256"/>
        <v>0</v>
      </c>
      <c r="AD201" s="80"/>
      <c r="AE201" s="80">
        <f t="shared" si="247"/>
        <v>0</v>
      </c>
      <c r="AF201" s="140">
        <f t="shared" si="237"/>
        <v>1005.2999999999993</v>
      </c>
      <c r="AG201" s="32">
        <f t="shared" si="226"/>
        <v>10784</v>
      </c>
      <c r="AH201" s="101">
        <f t="shared" si="207"/>
        <v>10784.3</v>
      </c>
      <c r="AP201" s="101"/>
      <c r="AQ201" s="101"/>
    </row>
    <row r="202" spans="1:43" ht="15.9" customHeight="1" x14ac:dyDescent="0.3">
      <c r="A202" s="475"/>
      <c r="B202" s="90" t="s">
        <v>206</v>
      </c>
      <c r="C202" s="98">
        <v>38501</v>
      </c>
      <c r="D202" s="54">
        <v>43026</v>
      </c>
      <c r="E202" s="78">
        <v>15</v>
      </c>
      <c r="F202" s="54">
        <f>'wdv Plant &amp; Mac'!C191</f>
        <v>18068.857109589044</v>
      </c>
      <c r="G202" s="89">
        <f t="shared" si="208"/>
        <v>24957.142890410956</v>
      </c>
      <c r="H202" s="57">
        <f t="shared" si="209"/>
        <v>2151</v>
      </c>
      <c r="I202" s="58">
        <f t="shared" si="210"/>
        <v>3229</v>
      </c>
      <c r="J202" s="100">
        <f t="shared" si="248"/>
        <v>43979</v>
      </c>
      <c r="K202" s="60">
        <f t="shared" si="233"/>
        <v>2250</v>
      </c>
      <c r="L202" s="57">
        <v>0</v>
      </c>
      <c r="M202" s="57"/>
      <c r="N202" s="57">
        <f t="shared" si="244"/>
        <v>3700</v>
      </c>
      <c r="O202" s="80">
        <f t="shared" si="230"/>
        <v>3700</v>
      </c>
      <c r="P202" s="80">
        <f t="shared" ref="P202:S202" si="257">+O202</f>
        <v>3700</v>
      </c>
      <c r="Q202" s="80">
        <f t="shared" si="257"/>
        <v>3700</v>
      </c>
      <c r="R202" s="80">
        <f t="shared" si="257"/>
        <v>3700</v>
      </c>
      <c r="S202" s="80">
        <f t="shared" si="257"/>
        <v>3700</v>
      </c>
      <c r="T202" s="57">
        <f>+ROUND((G202-H202)*(K202-2190)/K202,0)-2</f>
        <v>606</v>
      </c>
      <c r="U202" s="353">
        <v>0</v>
      </c>
      <c r="V202" s="80">
        <f t="shared" ref="V202:AC202" si="258">+U202</f>
        <v>0</v>
      </c>
      <c r="W202" s="80">
        <f t="shared" si="258"/>
        <v>0</v>
      </c>
      <c r="X202" s="80">
        <f t="shared" si="258"/>
        <v>0</v>
      </c>
      <c r="Y202" s="80">
        <f t="shared" si="258"/>
        <v>0</v>
      </c>
      <c r="Z202" s="80">
        <f t="shared" si="258"/>
        <v>0</v>
      </c>
      <c r="AA202" s="80">
        <f t="shared" si="258"/>
        <v>0</v>
      </c>
      <c r="AB202" s="80">
        <f t="shared" si="258"/>
        <v>0</v>
      </c>
      <c r="AC202" s="80">
        <f t="shared" si="258"/>
        <v>0</v>
      </c>
      <c r="AD202" s="80"/>
      <c r="AE202" s="80">
        <f t="shared" si="247"/>
        <v>0</v>
      </c>
      <c r="AF202" s="140">
        <f t="shared" si="237"/>
        <v>2151.1428904109562</v>
      </c>
      <c r="AG202" s="32">
        <f t="shared" si="226"/>
        <v>22806</v>
      </c>
      <c r="AH202" s="101">
        <f t="shared" ref="AH202:AH233" si="259">G202-H202</f>
        <v>22806.142890410956</v>
      </c>
      <c r="AP202" s="101"/>
      <c r="AQ202" s="101"/>
    </row>
    <row r="203" spans="1:43" ht="15.9" customHeight="1" x14ac:dyDescent="0.3">
      <c r="A203" s="475"/>
      <c r="B203" s="90" t="s">
        <v>207</v>
      </c>
      <c r="C203" s="98">
        <v>38591</v>
      </c>
      <c r="D203" s="54">
        <v>108555</v>
      </c>
      <c r="E203" s="78">
        <v>15</v>
      </c>
      <c r="F203" s="54">
        <f>'wdv Plant &amp; Mac'!C199</f>
        <v>44316.463458904109</v>
      </c>
      <c r="G203" s="89">
        <f t="shared" si="208"/>
        <v>64238.536541095891</v>
      </c>
      <c r="H203" s="57">
        <f t="shared" si="209"/>
        <v>5428</v>
      </c>
      <c r="I203" s="58">
        <f t="shared" si="210"/>
        <v>3139</v>
      </c>
      <c r="J203" s="100">
        <f t="shared" si="248"/>
        <v>44069</v>
      </c>
      <c r="K203" s="60">
        <f t="shared" si="233"/>
        <v>2340</v>
      </c>
      <c r="L203" s="57">
        <v>0</v>
      </c>
      <c r="M203" s="57"/>
      <c r="N203" s="57">
        <f t="shared" si="244"/>
        <v>9173</v>
      </c>
      <c r="O203" s="80">
        <f t="shared" si="230"/>
        <v>9173</v>
      </c>
      <c r="P203" s="80">
        <f t="shared" ref="P203:S203" si="260">+O203</f>
        <v>9173</v>
      </c>
      <c r="Q203" s="80">
        <f t="shared" si="260"/>
        <v>9173</v>
      </c>
      <c r="R203" s="80">
        <f t="shared" si="260"/>
        <v>9173</v>
      </c>
      <c r="S203" s="80">
        <f t="shared" si="260"/>
        <v>9173</v>
      </c>
      <c r="T203" s="57">
        <f>+ROUND((G203-H203)*(K203-2190)/K203,0)+3</f>
        <v>3773</v>
      </c>
      <c r="U203" s="353">
        <v>0</v>
      </c>
      <c r="V203" s="80">
        <f t="shared" ref="V203:AC203" si="261">+U203</f>
        <v>0</v>
      </c>
      <c r="W203" s="80">
        <f t="shared" si="261"/>
        <v>0</v>
      </c>
      <c r="X203" s="80">
        <f t="shared" si="261"/>
        <v>0</v>
      </c>
      <c r="Y203" s="80">
        <f t="shared" si="261"/>
        <v>0</v>
      </c>
      <c r="Z203" s="80">
        <f t="shared" si="261"/>
        <v>0</v>
      </c>
      <c r="AA203" s="80">
        <f t="shared" si="261"/>
        <v>0</v>
      </c>
      <c r="AB203" s="80">
        <f t="shared" si="261"/>
        <v>0</v>
      </c>
      <c r="AC203" s="80">
        <f t="shared" si="261"/>
        <v>0</v>
      </c>
      <c r="AD203" s="80"/>
      <c r="AE203" s="80">
        <f t="shared" si="247"/>
        <v>0</v>
      </c>
      <c r="AF203" s="140">
        <f t="shared" si="237"/>
        <v>5427.5365410958912</v>
      </c>
      <c r="AG203" s="32">
        <f t="shared" si="226"/>
        <v>58811</v>
      </c>
      <c r="AH203" s="101">
        <f t="shared" si="259"/>
        <v>58810.536541095891</v>
      </c>
      <c r="AP203" s="101"/>
      <c r="AQ203" s="101"/>
    </row>
    <row r="204" spans="1:43" ht="15.9" customHeight="1" x14ac:dyDescent="0.3">
      <c r="A204" s="475"/>
      <c r="B204" s="90" t="s">
        <v>207</v>
      </c>
      <c r="C204" s="98">
        <v>38609</v>
      </c>
      <c r="D204" s="54">
        <v>215864</v>
      </c>
      <c r="E204" s="78">
        <v>15</v>
      </c>
      <c r="F204" s="54">
        <f>'wdv Plant &amp; Mac'!C207</f>
        <v>87618.606191780826</v>
      </c>
      <c r="G204" s="89">
        <f t="shared" si="208"/>
        <v>128245.39380821917</v>
      </c>
      <c r="H204" s="57">
        <f t="shared" si="209"/>
        <v>10793</v>
      </c>
      <c r="I204" s="58">
        <f t="shared" si="210"/>
        <v>3121</v>
      </c>
      <c r="J204" s="100">
        <f t="shared" si="248"/>
        <v>44087</v>
      </c>
      <c r="K204" s="60">
        <f t="shared" si="233"/>
        <v>2358</v>
      </c>
      <c r="L204" s="57">
        <v>0</v>
      </c>
      <c r="M204" s="57"/>
      <c r="N204" s="57">
        <f t="shared" si="244"/>
        <v>18181</v>
      </c>
      <c r="O204" s="80">
        <f t="shared" si="230"/>
        <v>18181</v>
      </c>
      <c r="P204" s="80">
        <f t="shared" ref="P204:S204" si="262">+O204</f>
        <v>18181</v>
      </c>
      <c r="Q204" s="80">
        <f t="shared" si="262"/>
        <v>18181</v>
      </c>
      <c r="R204" s="80">
        <f t="shared" si="262"/>
        <v>18181</v>
      </c>
      <c r="S204" s="80">
        <f t="shared" si="262"/>
        <v>18181</v>
      </c>
      <c r="T204" s="57">
        <f>+ROUND((G204-H204)*(K204-2190)/K204,0)-2</f>
        <v>8366</v>
      </c>
      <c r="U204" s="353">
        <v>0</v>
      </c>
      <c r="V204" s="80">
        <f t="shared" ref="V204:AC204" si="263">+U204</f>
        <v>0</v>
      </c>
      <c r="W204" s="80">
        <f t="shared" si="263"/>
        <v>0</v>
      </c>
      <c r="X204" s="80">
        <f t="shared" si="263"/>
        <v>0</v>
      </c>
      <c r="Y204" s="80">
        <f t="shared" si="263"/>
        <v>0</v>
      </c>
      <c r="Z204" s="80">
        <f t="shared" si="263"/>
        <v>0</v>
      </c>
      <c r="AA204" s="80">
        <f t="shared" si="263"/>
        <v>0</v>
      </c>
      <c r="AB204" s="80">
        <f t="shared" si="263"/>
        <v>0</v>
      </c>
      <c r="AC204" s="80">
        <f t="shared" si="263"/>
        <v>0</v>
      </c>
      <c r="AD204" s="80"/>
      <c r="AE204" s="80">
        <f t="shared" si="247"/>
        <v>0</v>
      </c>
      <c r="AF204" s="140">
        <f t="shared" si="237"/>
        <v>10793.393808219174</v>
      </c>
      <c r="AG204" s="32">
        <f t="shared" si="226"/>
        <v>117452</v>
      </c>
      <c r="AH204" s="101">
        <f t="shared" si="259"/>
        <v>117452.39380821917</v>
      </c>
      <c r="AP204" s="101"/>
      <c r="AQ204" s="101"/>
    </row>
    <row r="205" spans="1:43" ht="15.9" customHeight="1" x14ac:dyDescent="0.3">
      <c r="A205" s="475"/>
      <c r="B205" s="90" t="s">
        <v>207</v>
      </c>
      <c r="C205" s="98">
        <v>38797</v>
      </c>
      <c r="D205" s="54">
        <v>291753</v>
      </c>
      <c r="E205" s="78">
        <v>15</v>
      </c>
      <c r="F205" s="54">
        <f>'wdv Plant &amp; Mac'!C215</f>
        <v>111283.78641780822</v>
      </c>
      <c r="G205" s="89">
        <f t="shared" si="208"/>
        <v>180469.21358219179</v>
      </c>
      <c r="H205" s="57">
        <f t="shared" si="209"/>
        <v>14588</v>
      </c>
      <c r="I205" s="58">
        <f t="shared" si="210"/>
        <v>2933</v>
      </c>
      <c r="J205" s="100">
        <f t="shared" si="248"/>
        <v>44275</v>
      </c>
      <c r="K205" s="60">
        <f t="shared" si="233"/>
        <v>2546</v>
      </c>
      <c r="L205" s="57">
        <v>0</v>
      </c>
      <c r="M205" s="57"/>
      <c r="N205" s="57">
        <f t="shared" si="244"/>
        <v>23781</v>
      </c>
      <c r="O205" s="80">
        <f t="shared" si="230"/>
        <v>23781</v>
      </c>
      <c r="P205" s="80">
        <f t="shared" ref="P205:S205" si="264">+O205</f>
        <v>23781</v>
      </c>
      <c r="Q205" s="80">
        <f t="shared" si="264"/>
        <v>23781</v>
      </c>
      <c r="R205" s="80">
        <f t="shared" si="264"/>
        <v>23781</v>
      </c>
      <c r="S205" s="80">
        <f t="shared" si="264"/>
        <v>23781</v>
      </c>
      <c r="T205" s="57">
        <f>+ROUND((G205-H205)*(K205-2190)/K205,0)</f>
        <v>23195</v>
      </c>
      <c r="U205" s="353">
        <v>0</v>
      </c>
      <c r="V205" s="80">
        <f t="shared" ref="V205:AC205" si="265">+U205</f>
        <v>0</v>
      </c>
      <c r="W205" s="80">
        <f t="shared" si="265"/>
        <v>0</v>
      </c>
      <c r="X205" s="80">
        <f t="shared" si="265"/>
        <v>0</v>
      </c>
      <c r="Y205" s="80">
        <f t="shared" si="265"/>
        <v>0</v>
      </c>
      <c r="Z205" s="80">
        <f t="shared" si="265"/>
        <v>0</v>
      </c>
      <c r="AA205" s="80">
        <f t="shared" si="265"/>
        <v>0</v>
      </c>
      <c r="AB205" s="80">
        <f t="shared" si="265"/>
        <v>0</v>
      </c>
      <c r="AC205" s="80">
        <f t="shared" si="265"/>
        <v>0</v>
      </c>
      <c r="AD205" s="80"/>
      <c r="AE205" s="80">
        <f t="shared" si="247"/>
        <v>0</v>
      </c>
      <c r="AF205" s="140">
        <f t="shared" si="237"/>
        <v>14588.213582191791</v>
      </c>
      <c r="AG205" s="32">
        <f t="shared" si="226"/>
        <v>165881</v>
      </c>
      <c r="AH205" s="101">
        <f t="shared" si="259"/>
        <v>165881.21358219179</v>
      </c>
      <c r="AP205" s="101"/>
      <c r="AQ205" s="101"/>
    </row>
    <row r="206" spans="1:43" ht="15.9" customHeight="1" x14ac:dyDescent="0.3">
      <c r="A206" s="475"/>
      <c r="B206" s="90" t="s">
        <v>208</v>
      </c>
      <c r="C206" s="98">
        <v>38591</v>
      </c>
      <c r="D206" s="54">
        <v>35300</v>
      </c>
      <c r="E206" s="78">
        <v>15</v>
      </c>
      <c r="F206" s="54">
        <f>'wdv Plant &amp; Mac'!C223</f>
        <v>14410.862328767123</v>
      </c>
      <c r="G206" s="89">
        <f t="shared" si="208"/>
        <v>20889.137671232878</v>
      </c>
      <c r="H206" s="57">
        <f t="shared" si="209"/>
        <v>1765</v>
      </c>
      <c r="I206" s="58">
        <f t="shared" si="210"/>
        <v>3139</v>
      </c>
      <c r="J206" s="100">
        <f t="shared" si="248"/>
        <v>44069</v>
      </c>
      <c r="K206" s="60">
        <f t="shared" si="233"/>
        <v>2340</v>
      </c>
      <c r="L206" s="57">
        <v>0</v>
      </c>
      <c r="M206" s="57"/>
      <c r="N206" s="57">
        <f t="shared" si="244"/>
        <v>2983</v>
      </c>
      <c r="O206" s="80">
        <f t="shared" si="230"/>
        <v>2983</v>
      </c>
      <c r="P206" s="80">
        <f t="shared" ref="P206:S206" si="266">+O206</f>
        <v>2983</v>
      </c>
      <c r="Q206" s="80">
        <f t="shared" si="266"/>
        <v>2983</v>
      </c>
      <c r="R206" s="80">
        <f t="shared" si="266"/>
        <v>2983</v>
      </c>
      <c r="S206" s="80">
        <f t="shared" si="266"/>
        <v>2983</v>
      </c>
      <c r="T206" s="57">
        <f>+ROUND((G206-H206)*(K206-2190)/K206,0)</f>
        <v>1226</v>
      </c>
      <c r="U206" s="353">
        <v>0</v>
      </c>
      <c r="V206" s="80">
        <f t="shared" ref="V206:AC206" si="267">+U206</f>
        <v>0</v>
      </c>
      <c r="W206" s="80">
        <f t="shared" si="267"/>
        <v>0</v>
      </c>
      <c r="X206" s="80">
        <f t="shared" si="267"/>
        <v>0</v>
      </c>
      <c r="Y206" s="80">
        <f t="shared" si="267"/>
        <v>0</v>
      </c>
      <c r="Z206" s="80">
        <f t="shared" si="267"/>
        <v>0</v>
      </c>
      <c r="AA206" s="80">
        <f t="shared" si="267"/>
        <v>0</v>
      </c>
      <c r="AB206" s="80">
        <f t="shared" si="267"/>
        <v>0</v>
      </c>
      <c r="AC206" s="80">
        <f t="shared" si="267"/>
        <v>0</v>
      </c>
      <c r="AD206" s="80"/>
      <c r="AE206" s="80">
        <f t="shared" si="247"/>
        <v>0</v>
      </c>
      <c r="AF206" s="140">
        <f t="shared" si="237"/>
        <v>1765.1376712328783</v>
      </c>
      <c r="AG206" s="32">
        <f t="shared" si="226"/>
        <v>19124</v>
      </c>
      <c r="AH206" s="101">
        <f t="shared" si="259"/>
        <v>19124.137671232878</v>
      </c>
      <c r="AP206" s="101"/>
      <c r="AQ206" s="101"/>
    </row>
    <row r="207" spans="1:43" ht="15.9" customHeight="1" x14ac:dyDescent="0.3">
      <c r="A207" s="475"/>
      <c r="B207" s="90" t="s">
        <v>272</v>
      </c>
      <c r="C207" s="98">
        <v>38647</v>
      </c>
      <c r="D207" s="54">
        <v>13488</v>
      </c>
      <c r="E207" s="78">
        <v>15</v>
      </c>
      <c r="F207" s="54">
        <v>13488</v>
      </c>
      <c r="G207" s="89">
        <f t="shared" si="208"/>
        <v>0</v>
      </c>
      <c r="H207" s="57">
        <v>0</v>
      </c>
      <c r="I207" s="58">
        <v>0</v>
      </c>
      <c r="J207" s="58">
        <v>0</v>
      </c>
      <c r="K207" s="60">
        <v>0</v>
      </c>
      <c r="L207" s="57">
        <v>0</v>
      </c>
      <c r="M207" s="57"/>
      <c r="N207" s="57">
        <v>0</v>
      </c>
      <c r="O207" s="80">
        <f t="shared" si="230"/>
        <v>0</v>
      </c>
      <c r="P207" s="80">
        <f t="shared" ref="P207:AC207" si="268">+O207</f>
        <v>0</v>
      </c>
      <c r="Q207" s="80">
        <f t="shared" si="268"/>
        <v>0</v>
      </c>
      <c r="R207" s="80">
        <f t="shared" si="268"/>
        <v>0</v>
      </c>
      <c r="S207" s="80">
        <f t="shared" si="268"/>
        <v>0</v>
      </c>
      <c r="T207" s="57">
        <f t="shared" si="268"/>
        <v>0</v>
      </c>
      <c r="U207" s="353">
        <f t="shared" si="268"/>
        <v>0</v>
      </c>
      <c r="V207" s="80">
        <f t="shared" si="268"/>
        <v>0</v>
      </c>
      <c r="W207" s="80">
        <f t="shared" si="268"/>
        <v>0</v>
      </c>
      <c r="X207" s="80">
        <f t="shared" si="268"/>
        <v>0</v>
      </c>
      <c r="Y207" s="80">
        <f t="shared" si="268"/>
        <v>0</v>
      </c>
      <c r="Z207" s="80">
        <f t="shared" si="268"/>
        <v>0</v>
      </c>
      <c r="AA207" s="80">
        <f t="shared" si="268"/>
        <v>0</v>
      </c>
      <c r="AB207" s="80">
        <f t="shared" si="268"/>
        <v>0</v>
      </c>
      <c r="AC207" s="80">
        <f t="shared" si="268"/>
        <v>0</v>
      </c>
      <c r="AD207" s="80"/>
      <c r="AE207" s="80">
        <f t="shared" si="247"/>
        <v>0</v>
      </c>
      <c r="AF207" s="140">
        <f t="shared" si="237"/>
        <v>0</v>
      </c>
      <c r="AG207" s="32">
        <f t="shared" si="226"/>
        <v>0</v>
      </c>
      <c r="AH207" s="101">
        <f t="shared" si="259"/>
        <v>0</v>
      </c>
      <c r="AP207" s="101"/>
      <c r="AQ207" s="101"/>
    </row>
    <row r="208" spans="1:43" ht="15.9" customHeight="1" x14ac:dyDescent="0.3">
      <c r="A208" s="475"/>
      <c r="B208" s="90" t="s">
        <v>273</v>
      </c>
      <c r="C208" s="98">
        <v>38852</v>
      </c>
      <c r="D208" s="54">
        <v>9169</v>
      </c>
      <c r="E208" s="78">
        <v>15</v>
      </c>
      <c r="F208" s="54">
        <f>18201.1425-13488</f>
        <v>4713.1425000000017</v>
      </c>
      <c r="G208" s="89">
        <f t="shared" si="208"/>
        <v>4455.8574999999983</v>
      </c>
      <c r="H208" s="57">
        <f t="shared" si="209"/>
        <v>458</v>
      </c>
      <c r="I208" s="58">
        <f t="shared" si="210"/>
        <v>2878</v>
      </c>
      <c r="J208" s="100">
        <f t="shared" si="248"/>
        <v>44330</v>
      </c>
      <c r="K208" s="60">
        <f t="shared" ref="K208:K264" si="269">+J208-C208-I208+1</f>
        <v>2601</v>
      </c>
      <c r="L208" s="57">
        <v>0</v>
      </c>
      <c r="M208" s="57"/>
      <c r="N208" s="57">
        <f>+ROUND((G208-H208)*365/K208,0)</f>
        <v>561</v>
      </c>
      <c r="O208" s="80">
        <f t="shared" si="230"/>
        <v>561</v>
      </c>
      <c r="P208" s="80">
        <f t="shared" ref="P208:AC216" si="270">+O208</f>
        <v>561</v>
      </c>
      <c r="Q208" s="80">
        <f t="shared" si="270"/>
        <v>561</v>
      </c>
      <c r="R208" s="80">
        <f t="shared" si="270"/>
        <v>561</v>
      </c>
      <c r="S208" s="80">
        <f t="shared" si="270"/>
        <v>561</v>
      </c>
      <c r="T208" s="57">
        <f>+S208</f>
        <v>561</v>
      </c>
      <c r="U208" s="352">
        <f>+ROUND((G208-H208)*(K208-2555)/K208,0)</f>
        <v>71</v>
      </c>
      <c r="V208" s="80">
        <v>0</v>
      </c>
      <c r="W208" s="80">
        <f t="shared" si="270"/>
        <v>0</v>
      </c>
      <c r="X208" s="80">
        <f t="shared" si="270"/>
        <v>0</v>
      </c>
      <c r="Y208" s="80">
        <f t="shared" si="270"/>
        <v>0</v>
      </c>
      <c r="Z208" s="80">
        <f t="shared" si="270"/>
        <v>0</v>
      </c>
      <c r="AA208" s="80">
        <f t="shared" si="270"/>
        <v>0</v>
      </c>
      <c r="AB208" s="80">
        <f t="shared" si="270"/>
        <v>0</v>
      </c>
      <c r="AC208" s="80">
        <f t="shared" si="270"/>
        <v>0</v>
      </c>
      <c r="AD208" s="80"/>
      <c r="AE208" s="80">
        <f t="shared" si="247"/>
        <v>0</v>
      </c>
      <c r="AF208" s="140">
        <f t="shared" si="237"/>
        <v>457.85749999999825</v>
      </c>
      <c r="AG208" s="32">
        <f t="shared" si="226"/>
        <v>3998</v>
      </c>
      <c r="AH208" s="101">
        <f t="shared" si="259"/>
        <v>3997.8574999999983</v>
      </c>
      <c r="AP208" s="101"/>
      <c r="AQ208" s="101"/>
    </row>
    <row r="209" spans="1:43" ht="15.9" customHeight="1" x14ac:dyDescent="0.3">
      <c r="A209" s="475"/>
      <c r="B209" s="52" t="s">
        <v>25</v>
      </c>
      <c r="C209" s="98">
        <v>38447</v>
      </c>
      <c r="D209" s="54">
        <v>7972</v>
      </c>
      <c r="E209" s="78">
        <v>15</v>
      </c>
      <c r="F209" s="54">
        <v>3404.87</v>
      </c>
      <c r="G209" s="89">
        <f t="shared" si="208"/>
        <v>4567.13</v>
      </c>
      <c r="H209" s="57">
        <f t="shared" si="209"/>
        <v>399</v>
      </c>
      <c r="I209" s="58">
        <f t="shared" si="210"/>
        <v>3283</v>
      </c>
      <c r="J209" s="100">
        <f t="shared" si="248"/>
        <v>43925</v>
      </c>
      <c r="K209" s="60">
        <f t="shared" si="269"/>
        <v>2196</v>
      </c>
      <c r="L209" s="57">
        <v>0</v>
      </c>
      <c r="M209" s="57"/>
      <c r="N209" s="57">
        <f>+ROUND((G209-H209)*365/K209,0)</f>
        <v>693</v>
      </c>
      <c r="O209" s="80">
        <f t="shared" si="230"/>
        <v>693</v>
      </c>
      <c r="P209" s="80">
        <f t="shared" ref="P209:S215" si="271">+O209</f>
        <v>693</v>
      </c>
      <c r="Q209" s="80">
        <f t="shared" si="271"/>
        <v>693</v>
      </c>
      <c r="R209" s="80">
        <f t="shared" si="271"/>
        <v>693</v>
      </c>
      <c r="S209" s="80">
        <f t="shared" si="271"/>
        <v>693</v>
      </c>
      <c r="T209" s="57">
        <f>+ROUND((G209-H209)*(K209-2190)/K209,0)-1</f>
        <v>10</v>
      </c>
      <c r="U209" s="353">
        <v>0</v>
      </c>
      <c r="V209" s="80">
        <f t="shared" si="270"/>
        <v>0</v>
      </c>
      <c r="W209" s="80">
        <f t="shared" si="270"/>
        <v>0</v>
      </c>
      <c r="X209" s="80">
        <f t="shared" si="270"/>
        <v>0</v>
      </c>
      <c r="Y209" s="80">
        <f t="shared" si="270"/>
        <v>0</v>
      </c>
      <c r="Z209" s="80">
        <f t="shared" si="270"/>
        <v>0</v>
      </c>
      <c r="AA209" s="80">
        <f t="shared" si="270"/>
        <v>0</v>
      </c>
      <c r="AB209" s="80">
        <f t="shared" si="270"/>
        <v>0</v>
      </c>
      <c r="AC209" s="80">
        <f t="shared" si="270"/>
        <v>0</v>
      </c>
      <c r="AD209" s="80"/>
      <c r="AE209" s="80">
        <f t="shared" si="247"/>
        <v>0</v>
      </c>
      <c r="AF209" s="140">
        <f t="shared" si="237"/>
        <v>399.13000000000011</v>
      </c>
      <c r="AG209" s="32">
        <f t="shared" si="226"/>
        <v>4168</v>
      </c>
      <c r="AH209" s="101">
        <f t="shared" si="259"/>
        <v>4168.13</v>
      </c>
      <c r="AP209" s="101"/>
      <c r="AQ209" s="101"/>
    </row>
    <row r="210" spans="1:43" ht="15.9" customHeight="1" x14ac:dyDescent="0.3">
      <c r="A210" s="475"/>
      <c r="B210" s="52" t="s">
        <v>26</v>
      </c>
      <c r="C210" s="98">
        <v>38541</v>
      </c>
      <c r="D210" s="54">
        <v>9520</v>
      </c>
      <c r="E210" s="78">
        <v>15</v>
      </c>
      <c r="F210" s="54">
        <v>3947.79</v>
      </c>
      <c r="G210" s="89">
        <f t="shared" si="208"/>
        <v>5572.21</v>
      </c>
      <c r="H210" s="57">
        <f t="shared" si="209"/>
        <v>476</v>
      </c>
      <c r="I210" s="58">
        <f t="shared" si="210"/>
        <v>3189</v>
      </c>
      <c r="J210" s="100">
        <f t="shared" si="248"/>
        <v>44019</v>
      </c>
      <c r="K210" s="60">
        <f t="shared" si="269"/>
        <v>2290</v>
      </c>
      <c r="L210" s="57">
        <v>0</v>
      </c>
      <c r="M210" s="57"/>
      <c r="N210" s="57">
        <f>+ROUND((G210-H210)*365/K210,0)</f>
        <v>812</v>
      </c>
      <c r="O210" s="80">
        <f t="shared" si="230"/>
        <v>812</v>
      </c>
      <c r="P210" s="80">
        <f t="shared" si="271"/>
        <v>812</v>
      </c>
      <c r="Q210" s="80">
        <f t="shared" si="271"/>
        <v>812</v>
      </c>
      <c r="R210" s="80">
        <f t="shared" si="271"/>
        <v>812</v>
      </c>
      <c r="S210" s="80">
        <f t="shared" si="271"/>
        <v>812</v>
      </c>
      <c r="T210" s="57">
        <f>+ROUND((G210-H210)*(K210-2190)/K210,0)+1</f>
        <v>224</v>
      </c>
      <c r="U210" s="353">
        <v>0</v>
      </c>
      <c r="V210" s="80">
        <f t="shared" si="270"/>
        <v>0</v>
      </c>
      <c r="W210" s="80">
        <f t="shared" si="270"/>
        <v>0</v>
      </c>
      <c r="X210" s="80">
        <f t="shared" si="270"/>
        <v>0</v>
      </c>
      <c r="Y210" s="80">
        <f t="shared" si="270"/>
        <v>0</v>
      </c>
      <c r="Z210" s="80">
        <f t="shared" si="270"/>
        <v>0</v>
      </c>
      <c r="AA210" s="80">
        <f t="shared" si="270"/>
        <v>0</v>
      </c>
      <c r="AB210" s="80">
        <f t="shared" si="270"/>
        <v>0</v>
      </c>
      <c r="AC210" s="80">
        <f t="shared" si="270"/>
        <v>0</v>
      </c>
      <c r="AD210" s="80"/>
      <c r="AE210" s="80">
        <f t="shared" si="247"/>
        <v>0</v>
      </c>
      <c r="AF210" s="140">
        <f t="shared" si="237"/>
        <v>476.21000000000004</v>
      </c>
      <c r="AG210" s="32">
        <f t="shared" si="226"/>
        <v>5096</v>
      </c>
      <c r="AH210" s="101">
        <f t="shared" si="259"/>
        <v>5096.21</v>
      </c>
      <c r="AP210" s="101"/>
      <c r="AQ210" s="101"/>
    </row>
    <row r="211" spans="1:43" ht="15.9" customHeight="1" x14ac:dyDescent="0.3">
      <c r="A211" s="475"/>
      <c r="B211" s="52" t="s">
        <v>205</v>
      </c>
      <c r="C211" s="98">
        <v>38539</v>
      </c>
      <c r="D211" s="54">
        <v>111273</v>
      </c>
      <c r="E211" s="78">
        <v>25</v>
      </c>
      <c r="F211" s="54">
        <f>'wdv Plant &amp; Mac'!C232</f>
        <v>51331.667730410954</v>
      </c>
      <c r="G211" s="89">
        <f t="shared" si="208"/>
        <v>59941.332269589046</v>
      </c>
      <c r="H211" s="57">
        <f t="shared" si="209"/>
        <v>5564</v>
      </c>
      <c r="I211" s="58">
        <f t="shared" si="210"/>
        <v>3191</v>
      </c>
      <c r="J211" s="100">
        <f t="shared" ref="J211:J214" si="272">+C211+9130</f>
        <v>47669</v>
      </c>
      <c r="K211" s="60">
        <f t="shared" si="269"/>
        <v>5940</v>
      </c>
      <c r="L211" s="57">
        <v>0</v>
      </c>
      <c r="M211" s="57"/>
      <c r="N211" s="57">
        <f t="shared" ref="N211:AC211" si="273">+ROUND(($G$211-$H$211)*365/$K$211,0)</f>
        <v>3341</v>
      </c>
      <c r="O211" s="57">
        <f t="shared" si="273"/>
        <v>3341</v>
      </c>
      <c r="P211" s="57">
        <f t="shared" si="273"/>
        <v>3341</v>
      </c>
      <c r="Q211" s="57">
        <f t="shared" si="273"/>
        <v>3341</v>
      </c>
      <c r="R211" s="57">
        <f t="shared" si="273"/>
        <v>3341</v>
      </c>
      <c r="S211" s="57">
        <f t="shared" si="273"/>
        <v>3341</v>
      </c>
      <c r="T211" s="57">
        <f t="shared" si="273"/>
        <v>3341</v>
      </c>
      <c r="U211" s="352">
        <f t="shared" si="273"/>
        <v>3341</v>
      </c>
      <c r="V211" s="57">
        <f t="shared" si="273"/>
        <v>3341</v>
      </c>
      <c r="W211" s="57">
        <f t="shared" si="273"/>
        <v>3341</v>
      </c>
      <c r="X211" s="57">
        <f t="shared" si="273"/>
        <v>3341</v>
      </c>
      <c r="Y211" s="57">
        <f t="shared" si="273"/>
        <v>3341</v>
      </c>
      <c r="Z211" s="57">
        <f t="shared" si="273"/>
        <v>3341</v>
      </c>
      <c r="AA211" s="57">
        <f t="shared" si="273"/>
        <v>3341</v>
      </c>
      <c r="AB211" s="57">
        <f t="shared" si="273"/>
        <v>3341</v>
      </c>
      <c r="AC211" s="57">
        <f t="shared" si="273"/>
        <v>3341</v>
      </c>
      <c r="AD211" s="57"/>
      <c r="AE211" s="57">
        <f>ROUND((G211-H211)*(K211-5840)/K211,0)+6</f>
        <v>921</v>
      </c>
      <c r="AF211" s="140">
        <f t="shared" si="237"/>
        <v>33213.332269589046</v>
      </c>
      <c r="AG211" s="32">
        <f t="shared" si="226"/>
        <v>54377</v>
      </c>
      <c r="AH211" s="101">
        <f t="shared" si="259"/>
        <v>54377.332269589046</v>
      </c>
      <c r="AP211" s="101"/>
      <c r="AQ211" s="101"/>
    </row>
    <row r="212" spans="1:43" ht="15.9" customHeight="1" x14ac:dyDescent="0.3">
      <c r="A212" s="475"/>
      <c r="B212" s="52" t="s">
        <v>205</v>
      </c>
      <c r="C212" s="98">
        <v>38665</v>
      </c>
      <c r="D212" s="54">
        <v>111273</v>
      </c>
      <c r="E212" s="78">
        <v>25</v>
      </c>
      <c r="F212" s="54">
        <f>'wdv Plant &amp; Mac'!C240</f>
        <v>49142.546748493151</v>
      </c>
      <c r="G212" s="89">
        <f t="shared" si="208"/>
        <v>62130.453251506849</v>
      </c>
      <c r="H212" s="57">
        <f t="shared" si="209"/>
        <v>5564</v>
      </c>
      <c r="I212" s="58">
        <f t="shared" si="210"/>
        <v>3065</v>
      </c>
      <c r="J212" s="100">
        <f t="shared" si="272"/>
        <v>47795</v>
      </c>
      <c r="K212" s="60">
        <f t="shared" si="269"/>
        <v>6066</v>
      </c>
      <c r="L212" s="57">
        <v>0</v>
      </c>
      <c r="M212" s="57"/>
      <c r="N212" s="57">
        <f t="shared" ref="N212:AC212" si="274">+ROUND(($G$212-$H$212)*365/$K$212,0)</f>
        <v>3404</v>
      </c>
      <c r="O212" s="57">
        <f t="shared" si="274"/>
        <v>3404</v>
      </c>
      <c r="P212" s="57">
        <f t="shared" si="274"/>
        <v>3404</v>
      </c>
      <c r="Q212" s="57">
        <f t="shared" si="274"/>
        <v>3404</v>
      </c>
      <c r="R212" s="57">
        <f t="shared" si="274"/>
        <v>3404</v>
      </c>
      <c r="S212" s="57">
        <f t="shared" si="274"/>
        <v>3404</v>
      </c>
      <c r="T212" s="57">
        <f t="shared" si="274"/>
        <v>3404</v>
      </c>
      <c r="U212" s="352">
        <f t="shared" si="274"/>
        <v>3404</v>
      </c>
      <c r="V212" s="57">
        <f t="shared" si="274"/>
        <v>3404</v>
      </c>
      <c r="W212" s="57">
        <f t="shared" si="274"/>
        <v>3404</v>
      </c>
      <c r="X212" s="57">
        <f t="shared" si="274"/>
        <v>3404</v>
      </c>
      <c r="Y212" s="57">
        <f t="shared" si="274"/>
        <v>3404</v>
      </c>
      <c r="Z212" s="57">
        <f t="shared" si="274"/>
        <v>3404</v>
      </c>
      <c r="AA212" s="57">
        <f t="shared" si="274"/>
        <v>3404</v>
      </c>
      <c r="AB212" s="57">
        <f t="shared" si="274"/>
        <v>3404</v>
      </c>
      <c r="AC212" s="57">
        <f t="shared" si="274"/>
        <v>3404</v>
      </c>
      <c r="AD212" s="57"/>
      <c r="AE212" s="57">
        <f>ROUND((G212-H212)*(K212-5840)/K212,0)-5</f>
        <v>2102</v>
      </c>
      <c r="AF212" s="140">
        <f t="shared" si="237"/>
        <v>34898.453251506849</v>
      </c>
      <c r="AG212" s="32">
        <f t="shared" si="226"/>
        <v>56566</v>
      </c>
      <c r="AH212" s="101">
        <f t="shared" si="259"/>
        <v>56566.453251506849</v>
      </c>
      <c r="AP212" s="101"/>
      <c r="AQ212" s="101"/>
    </row>
    <row r="213" spans="1:43" ht="15.9" customHeight="1" x14ac:dyDescent="0.3">
      <c r="A213" s="475"/>
      <c r="B213" s="52" t="s">
        <v>205</v>
      </c>
      <c r="C213" s="98">
        <v>38708</v>
      </c>
      <c r="D213" s="54">
        <v>111575</v>
      </c>
      <c r="E213" s="78">
        <v>25</v>
      </c>
      <c r="F213" s="54">
        <f>'wdv Plant &amp; Mac'!C248</f>
        <v>48743.296438356163</v>
      </c>
      <c r="G213" s="89">
        <f t="shared" si="208"/>
        <v>62831.703561643837</v>
      </c>
      <c r="H213" s="57">
        <f t="shared" si="209"/>
        <v>5579</v>
      </c>
      <c r="I213" s="58">
        <f t="shared" si="210"/>
        <v>3022</v>
      </c>
      <c r="J213" s="100">
        <f t="shared" si="272"/>
        <v>47838</v>
      </c>
      <c r="K213" s="60">
        <f t="shared" si="269"/>
        <v>6109</v>
      </c>
      <c r="L213" s="57">
        <v>0</v>
      </c>
      <c r="M213" s="57"/>
      <c r="N213" s="57">
        <f t="shared" ref="N213:AC213" si="275">+ROUND(($G$213-$H$213)*365/$K$213,0)</f>
        <v>3421</v>
      </c>
      <c r="O213" s="57">
        <f t="shared" si="275"/>
        <v>3421</v>
      </c>
      <c r="P213" s="57">
        <f t="shared" si="275"/>
        <v>3421</v>
      </c>
      <c r="Q213" s="57">
        <f t="shared" si="275"/>
        <v>3421</v>
      </c>
      <c r="R213" s="57">
        <f t="shared" si="275"/>
        <v>3421</v>
      </c>
      <c r="S213" s="57">
        <f t="shared" si="275"/>
        <v>3421</v>
      </c>
      <c r="T213" s="57">
        <f t="shared" si="275"/>
        <v>3421</v>
      </c>
      <c r="U213" s="352">
        <f t="shared" si="275"/>
        <v>3421</v>
      </c>
      <c r="V213" s="57">
        <f t="shared" si="275"/>
        <v>3421</v>
      </c>
      <c r="W213" s="57">
        <f t="shared" si="275"/>
        <v>3421</v>
      </c>
      <c r="X213" s="57">
        <f t="shared" si="275"/>
        <v>3421</v>
      </c>
      <c r="Y213" s="57">
        <f t="shared" si="275"/>
        <v>3421</v>
      </c>
      <c r="Z213" s="57">
        <f t="shared" si="275"/>
        <v>3421</v>
      </c>
      <c r="AA213" s="57">
        <f t="shared" si="275"/>
        <v>3421</v>
      </c>
      <c r="AB213" s="57">
        <f t="shared" si="275"/>
        <v>3421</v>
      </c>
      <c r="AC213" s="57">
        <f t="shared" si="275"/>
        <v>3421</v>
      </c>
      <c r="AD213" s="57"/>
      <c r="AE213" s="57">
        <f>ROUND((G213-H213)*(K213-5840)/K213,0)-4</f>
        <v>2517</v>
      </c>
      <c r="AF213" s="140">
        <f t="shared" si="237"/>
        <v>35463.703561643837</v>
      </c>
      <c r="AG213" s="32">
        <f t="shared" si="226"/>
        <v>57253</v>
      </c>
      <c r="AH213" s="101">
        <f t="shared" si="259"/>
        <v>57252.703561643837</v>
      </c>
      <c r="AP213" s="101"/>
      <c r="AQ213" s="101"/>
    </row>
    <row r="214" spans="1:43" ht="15.9" customHeight="1" x14ac:dyDescent="0.3">
      <c r="A214" s="475"/>
      <c r="B214" s="52" t="s">
        <v>205</v>
      </c>
      <c r="C214" s="98">
        <v>38799</v>
      </c>
      <c r="D214" s="54">
        <v>111575</v>
      </c>
      <c r="E214" s="78">
        <v>25</v>
      </c>
      <c r="F214" s="54">
        <f>'wdv Plant &amp; Mac'!C256</f>
        <v>47274.541479452055</v>
      </c>
      <c r="G214" s="89">
        <f t="shared" si="208"/>
        <v>64300.458520547945</v>
      </c>
      <c r="H214" s="57">
        <f t="shared" si="209"/>
        <v>5579</v>
      </c>
      <c r="I214" s="58">
        <f t="shared" si="210"/>
        <v>2931</v>
      </c>
      <c r="J214" s="100">
        <f t="shared" si="272"/>
        <v>47929</v>
      </c>
      <c r="K214" s="60">
        <f t="shared" si="269"/>
        <v>6200</v>
      </c>
      <c r="L214" s="57">
        <v>0</v>
      </c>
      <c r="M214" s="57"/>
      <c r="N214" s="57">
        <f t="shared" ref="N214:AC214" si="276">+ROUND(($G$214-$H$214)*365/$K$214,0)</f>
        <v>3457</v>
      </c>
      <c r="O214" s="57">
        <f t="shared" si="276"/>
        <v>3457</v>
      </c>
      <c r="P214" s="57">
        <f t="shared" si="276"/>
        <v>3457</v>
      </c>
      <c r="Q214" s="57">
        <f t="shared" si="276"/>
        <v>3457</v>
      </c>
      <c r="R214" s="57">
        <f t="shared" si="276"/>
        <v>3457</v>
      </c>
      <c r="S214" s="57">
        <f t="shared" si="276"/>
        <v>3457</v>
      </c>
      <c r="T214" s="57">
        <f t="shared" si="276"/>
        <v>3457</v>
      </c>
      <c r="U214" s="352">
        <f t="shared" si="276"/>
        <v>3457</v>
      </c>
      <c r="V214" s="57">
        <f t="shared" si="276"/>
        <v>3457</v>
      </c>
      <c r="W214" s="57">
        <f t="shared" si="276"/>
        <v>3457</v>
      </c>
      <c r="X214" s="57">
        <f t="shared" si="276"/>
        <v>3457</v>
      </c>
      <c r="Y214" s="57">
        <f t="shared" si="276"/>
        <v>3457</v>
      </c>
      <c r="Z214" s="57">
        <f t="shared" si="276"/>
        <v>3457</v>
      </c>
      <c r="AA214" s="57">
        <f t="shared" si="276"/>
        <v>3457</v>
      </c>
      <c r="AB214" s="57">
        <f t="shared" si="276"/>
        <v>3457</v>
      </c>
      <c r="AC214" s="57">
        <f t="shared" si="276"/>
        <v>3457</v>
      </c>
      <c r="AD214" s="57"/>
      <c r="AE214" s="57">
        <f>ROUND((G214-H214)*(K214-5840)/K214,0)-1</f>
        <v>3409</v>
      </c>
      <c r="AF214" s="140">
        <f t="shared" si="237"/>
        <v>36644.458520547945</v>
      </c>
      <c r="AG214" s="32">
        <f t="shared" si="226"/>
        <v>58721</v>
      </c>
      <c r="AH214" s="101">
        <f t="shared" si="259"/>
        <v>58721.458520547945</v>
      </c>
      <c r="AP214" s="101"/>
      <c r="AQ214" s="101"/>
    </row>
    <row r="215" spans="1:43" ht="15.9" customHeight="1" x14ac:dyDescent="0.3">
      <c r="A215" s="475"/>
      <c r="B215" s="52" t="s">
        <v>27</v>
      </c>
      <c r="C215" s="98">
        <v>38474</v>
      </c>
      <c r="D215" s="54">
        <v>467431</v>
      </c>
      <c r="E215" s="78">
        <v>15</v>
      </c>
      <c r="F215" s="54">
        <v>183425.63250000001</v>
      </c>
      <c r="G215" s="89">
        <f t="shared" si="208"/>
        <v>284005.36749999999</v>
      </c>
      <c r="H215" s="57">
        <f t="shared" si="209"/>
        <v>23372</v>
      </c>
      <c r="I215" s="58">
        <f t="shared" si="210"/>
        <v>3256</v>
      </c>
      <c r="J215" s="100">
        <f t="shared" ref="J215:J231" si="277">+C215+5478</f>
        <v>43952</v>
      </c>
      <c r="K215" s="60">
        <f t="shared" si="269"/>
        <v>2223</v>
      </c>
      <c r="L215" s="57">
        <v>0</v>
      </c>
      <c r="M215" s="57"/>
      <c r="N215" s="57">
        <f>+ROUND((G215-H215)*365/K215,0)</f>
        <v>42794</v>
      </c>
      <c r="O215" s="80">
        <f t="shared" si="230"/>
        <v>42794</v>
      </c>
      <c r="P215" s="80">
        <f t="shared" si="271"/>
        <v>42794</v>
      </c>
      <c r="Q215" s="80">
        <f t="shared" si="271"/>
        <v>42794</v>
      </c>
      <c r="R215" s="80">
        <f t="shared" si="271"/>
        <v>42794</v>
      </c>
      <c r="S215" s="80">
        <f t="shared" si="271"/>
        <v>42794</v>
      </c>
      <c r="T215" s="57">
        <f>+ROUND((G215-H215)*(K215-2190)/K215,0)</f>
        <v>3869</v>
      </c>
      <c r="U215" s="353">
        <v>0</v>
      </c>
      <c r="V215" s="80">
        <f t="shared" si="270"/>
        <v>0</v>
      </c>
      <c r="W215" s="80">
        <f t="shared" si="270"/>
        <v>0</v>
      </c>
      <c r="X215" s="80">
        <f t="shared" si="270"/>
        <v>0</v>
      </c>
      <c r="Y215" s="80">
        <f t="shared" si="270"/>
        <v>0</v>
      </c>
      <c r="Z215" s="80">
        <f t="shared" si="270"/>
        <v>0</v>
      </c>
      <c r="AA215" s="80">
        <f t="shared" si="270"/>
        <v>0</v>
      </c>
      <c r="AB215" s="80">
        <f t="shared" si="270"/>
        <v>0</v>
      </c>
      <c r="AC215" s="80">
        <f t="shared" si="270"/>
        <v>0</v>
      </c>
      <c r="AD215" s="80"/>
      <c r="AE215" s="80">
        <f>+AC215</f>
        <v>0</v>
      </c>
      <c r="AF215" s="140">
        <f t="shared" si="237"/>
        <v>23372.367499999993</v>
      </c>
      <c r="AG215" s="32">
        <f t="shared" si="226"/>
        <v>260633</v>
      </c>
      <c r="AH215" s="101">
        <f t="shared" si="259"/>
        <v>260633.36749999999</v>
      </c>
      <c r="AP215" s="101"/>
      <c r="AQ215" s="101"/>
    </row>
    <row r="216" spans="1:43" ht="15.9" customHeight="1" x14ac:dyDescent="0.3">
      <c r="A216" s="475"/>
      <c r="B216" s="52" t="s">
        <v>28</v>
      </c>
      <c r="C216" s="98">
        <v>37895</v>
      </c>
      <c r="D216" s="54">
        <v>627363</v>
      </c>
      <c r="E216" s="78">
        <v>15</v>
      </c>
      <c r="F216" s="54">
        <v>312898.25749999995</v>
      </c>
      <c r="G216" s="89">
        <f t="shared" si="208"/>
        <v>314464.74250000005</v>
      </c>
      <c r="H216" s="57">
        <f t="shared" si="209"/>
        <v>31368</v>
      </c>
      <c r="I216" s="58">
        <f t="shared" si="210"/>
        <v>3835</v>
      </c>
      <c r="J216" s="100">
        <f t="shared" si="277"/>
        <v>43373</v>
      </c>
      <c r="K216" s="60">
        <f t="shared" si="269"/>
        <v>1644</v>
      </c>
      <c r="L216" s="57">
        <v>0</v>
      </c>
      <c r="M216" s="57"/>
      <c r="N216" s="57">
        <f>+ROUND((G216-H216)*365/K216,0)</f>
        <v>62853</v>
      </c>
      <c r="O216" s="57">
        <f>+ROUND((G216-H216)*365/K216,0)</f>
        <v>62853</v>
      </c>
      <c r="P216" s="57">
        <f>+ROUND((G216-H216)*365/K216,0)</f>
        <v>62853</v>
      </c>
      <c r="Q216" s="57">
        <f>+ROUND((G216-H216)*365/K216,0)</f>
        <v>62853</v>
      </c>
      <c r="R216" s="57">
        <f>+ROUND((G216-H216)*(K216-1460)/K216,0)</f>
        <v>31685</v>
      </c>
      <c r="S216" s="80">
        <v>0</v>
      </c>
      <c r="T216" s="57">
        <v>0</v>
      </c>
      <c r="U216" s="353">
        <v>0</v>
      </c>
      <c r="V216" s="80">
        <f t="shared" si="270"/>
        <v>0</v>
      </c>
      <c r="W216" s="80">
        <f t="shared" si="270"/>
        <v>0</v>
      </c>
      <c r="X216" s="80">
        <f t="shared" si="270"/>
        <v>0</v>
      </c>
      <c r="Y216" s="80">
        <f t="shared" si="270"/>
        <v>0</v>
      </c>
      <c r="Z216" s="80">
        <f t="shared" si="270"/>
        <v>0</v>
      </c>
      <c r="AA216" s="80">
        <f t="shared" si="270"/>
        <v>0</v>
      </c>
      <c r="AB216" s="80">
        <f t="shared" si="270"/>
        <v>0</v>
      </c>
      <c r="AC216" s="80">
        <f t="shared" si="270"/>
        <v>0</v>
      </c>
      <c r="AD216" s="80"/>
      <c r="AE216" s="80">
        <f>+AC216</f>
        <v>0</v>
      </c>
      <c r="AF216" s="140">
        <f t="shared" si="237"/>
        <v>31367.742500000051</v>
      </c>
      <c r="AG216" s="32">
        <f t="shared" si="226"/>
        <v>283097</v>
      </c>
      <c r="AH216" s="101">
        <f t="shared" si="259"/>
        <v>283096.74250000005</v>
      </c>
      <c r="AP216" s="101"/>
      <c r="AQ216" s="101"/>
    </row>
    <row r="217" spans="1:43" ht="15.9" customHeight="1" x14ac:dyDescent="0.3">
      <c r="A217" s="475"/>
      <c r="B217" s="52" t="s">
        <v>29</v>
      </c>
      <c r="C217" s="98">
        <v>38926</v>
      </c>
      <c r="D217" s="54">
        <v>1975218</v>
      </c>
      <c r="E217" s="78">
        <v>15</v>
      </c>
      <c r="F217" s="54">
        <v>720251</v>
      </c>
      <c r="G217" s="89">
        <f t="shared" si="208"/>
        <v>1254967</v>
      </c>
      <c r="H217" s="57">
        <f t="shared" si="209"/>
        <v>98761</v>
      </c>
      <c r="I217" s="58">
        <f t="shared" si="210"/>
        <v>2804</v>
      </c>
      <c r="J217" s="100">
        <f t="shared" si="277"/>
        <v>44404</v>
      </c>
      <c r="K217" s="60">
        <f t="shared" si="269"/>
        <v>2675</v>
      </c>
      <c r="L217" s="57">
        <v>0</v>
      </c>
      <c r="M217" s="57"/>
      <c r="N217" s="57">
        <f>+ROUND((G217-H217)*365/K217,0)</f>
        <v>157763</v>
      </c>
      <c r="O217" s="80">
        <f t="shared" ref="O217:O264" si="278">+N217</f>
        <v>157763</v>
      </c>
      <c r="P217" s="80">
        <f t="shared" ref="P217:AC218" si="279">+O217</f>
        <v>157763</v>
      </c>
      <c r="Q217" s="80">
        <f t="shared" si="279"/>
        <v>157763</v>
      </c>
      <c r="R217" s="80">
        <f t="shared" si="279"/>
        <v>157763</v>
      </c>
      <c r="S217" s="80">
        <f t="shared" si="279"/>
        <v>157763</v>
      </c>
      <c r="T217" s="57">
        <f t="shared" si="279"/>
        <v>157763</v>
      </c>
      <c r="U217" s="352">
        <f>+ROUND((G217-H217)*(K217-2555)/K217,0)-2</f>
        <v>51865</v>
      </c>
      <c r="V217" s="57">
        <v>0</v>
      </c>
      <c r="W217" s="80">
        <v>0</v>
      </c>
      <c r="X217" s="80">
        <f t="shared" si="279"/>
        <v>0</v>
      </c>
      <c r="Y217" s="80">
        <f t="shared" si="279"/>
        <v>0</v>
      </c>
      <c r="Z217" s="80">
        <f t="shared" si="279"/>
        <v>0</v>
      </c>
      <c r="AA217" s="80">
        <f t="shared" si="279"/>
        <v>0</v>
      </c>
      <c r="AB217" s="80">
        <f t="shared" si="279"/>
        <v>0</v>
      </c>
      <c r="AC217" s="80">
        <f t="shared" si="279"/>
        <v>0</v>
      </c>
      <c r="AD217" s="80"/>
      <c r="AE217" s="80">
        <f>+AC217</f>
        <v>0</v>
      </c>
      <c r="AF217" s="140">
        <f t="shared" si="237"/>
        <v>98761</v>
      </c>
      <c r="AG217" s="32">
        <f t="shared" si="226"/>
        <v>1156206</v>
      </c>
      <c r="AH217" s="101">
        <f t="shared" si="259"/>
        <v>1156206</v>
      </c>
      <c r="AP217" s="101"/>
      <c r="AQ217" s="101"/>
    </row>
    <row r="218" spans="1:43" ht="15.9" customHeight="1" x14ac:dyDescent="0.3">
      <c r="A218" s="475"/>
      <c r="B218" s="52" t="s">
        <v>204</v>
      </c>
      <c r="C218" s="98">
        <v>38903</v>
      </c>
      <c r="D218" s="54">
        <v>177559</v>
      </c>
      <c r="E218" s="78">
        <v>15</v>
      </c>
      <c r="F218" s="54">
        <v>65278</v>
      </c>
      <c r="G218" s="89">
        <f t="shared" si="208"/>
        <v>112281</v>
      </c>
      <c r="H218" s="57">
        <f t="shared" si="209"/>
        <v>8878</v>
      </c>
      <c r="I218" s="58">
        <f t="shared" si="210"/>
        <v>2827</v>
      </c>
      <c r="J218" s="100">
        <f t="shared" si="277"/>
        <v>44381</v>
      </c>
      <c r="K218" s="60">
        <f t="shared" si="269"/>
        <v>2652</v>
      </c>
      <c r="L218" s="57">
        <v>0</v>
      </c>
      <c r="M218" s="57"/>
      <c r="N218" s="57">
        <f>+ROUND((G218-H218)*365/K218,0)</f>
        <v>14232</v>
      </c>
      <c r="O218" s="80">
        <f t="shared" si="278"/>
        <v>14232</v>
      </c>
      <c r="P218" s="80">
        <f t="shared" si="279"/>
        <v>14232</v>
      </c>
      <c r="Q218" s="80">
        <f t="shared" si="279"/>
        <v>14232</v>
      </c>
      <c r="R218" s="80">
        <f t="shared" si="279"/>
        <v>14232</v>
      </c>
      <c r="S218" s="80">
        <f t="shared" si="279"/>
        <v>14232</v>
      </c>
      <c r="T218" s="57">
        <f t="shared" si="279"/>
        <v>14232</v>
      </c>
      <c r="U218" s="352">
        <f>+ROUND((G218-H218)*(K218-2555)/K218,0)-3</f>
        <v>3779</v>
      </c>
      <c r="V218" s="57">
        <v>0</v>
      </c>
      <c r="W218" s="80">
        <f t="shared" ref="W218:AC218" si="280">+V218</f>
        <v>0</v>
      </c>
      <c r="X218" s="80">
        <f t="shared" si="280"/>
        <v>0</v>
      </c>
      <c r="Y218" s="80">
        <f t="shared" si="280"/>
        <v>0</v>
      </c>
      <c r="Z218" s="80">
        <f t="shared" si="280"/>
        <v>0</v>
      </c>
      <c r="AA218" s="80">
        <f t="shared" si="280"/>
        <v>0</v>
      </c>
      <c r="AB218" s="80">
        <f t="shared" si="280"/>
        <v>0</v>
      </c>
      <c r="AC218" s="80">
        <f t="shared" si="280"/>
        <v>0</v>
      </c>
      <c r="AD218" s="80"/>
      <c r="AE218" s="80">
        <f>+AC218</f>
        <v>0</v>
      </c>
      <c r="AF218" s="140">
        <f t="shared" si="237"/>
        <v>8878</v>
      </c>
      <c r="AG218" s="32">
        <f t="shared" si="226"/>
        <v>103403</v>
      </c>
      <c r="AH218" s="101">
        <f t="shared" si="259"/>
        <v>103403</v>
      </c>
      <c r="AP218" s="101"/>
      <c r="AQ218" s="101"/>
    </row>
    <row r="219" spans="1:43" ht="15.9" customHeight="1" x14ac:dyDescent="0.3">
      <c r="A219" s="475"/>
      <c r="B219" s="52" t="s">
        <v>30</v>
      </c>
      <c r="C219" s="98">
        <v>38842</v>
      </c>
      <c r="D219" s="54">
        <v>726245</v>
      </c>
      <c r="E219" s="78">
        <v>25</v>
      </c>
      <c r="F219" s="54">
        <v>303194.74800000002</v>
      </c>
      <c r="G219" s="89">
        <f t="shared" si="208"/>
        <v>423050.25199999998</v>
      </c>
      <c r="H219" s="57">
        <f t="shared" si="209"/>
        <v>36312</v>
      </c>
      <c r="I219" s="58">
        <f t="shared" si="210"/>
        <v>2888</v>
      </c>
      <c r="J219" s="100">
        <f t="shared" ref="J219:J221" si="281">+C219+9130</f>
        <v>47972</v>
      </c>
      <c r="K219" s="60">
        <f t="shared" si="269"/>
        <v>6243</v>
      </c>
      <c r="L219" s="57">
        <v>0</v>
      </c>
      <c r="M219" s="57"/>
      <c r="N219" s="57">
        <f t="shared" ref="N219:AC219" si="282">+ROUND(($G$219-$H$219)*365/$K$219,0)</f>
        <v>22611</v>
      </c>
      <c r="O219" s="57">
        <f t="shared" si="282"/>
        <v>22611</v>
      </c>
      <c r="P219" s="57">
        <f t="shared" si="282"/>
        <v>22611</v>
      </c>
      <c r="Q219" s="57">
        <f t="shared" si="282"/>
        <v>22611</v>
      </c>
      <c r="R219" s="57">
        <f t="shared" si="282"/>
        <v>22611</v>
      </c>
      <c r="S219" s="57">
        <f t="shared" si="282"/>
        <v>22611</v>
      </c>
      <c r="T219" s="57">
        <f t="shared" si="282"/>
        <v>22611</v>
      </c>
      <c r="U219" s="352">
        <f t="shared" si="282"/>
        <v>22611</v>
      </c>
      <c r="V219" s="57">
        <f t="shared" si="282"/>
        <v>22611</v>
      </c>
      <c r="W219" s="57">
        <f t="shared" si="282"/>
        <v>22611</v>
      </c>
      <c r="X219" s="57">
        <f t="shared" si="282"/>
        <v>22611</v>
      </c>
      <c r="Y219" s="57">
        <f t="shared" si="282"/>
        <v>22611</v>
      </c>
      <c r="Z219" s="57">
        <f t="shared" si="282"/>
        <v>22611</v>
      </c>
      <c r="AA219" s="57">
        <f t="shared" si="282"/>
        <v>22611</v>
      </c>
      <c r="AB219" s="57">
        <f t="shared" si="282"/>
        <v>22611</v>
      </c>
      <c r="AC219" s="57">
        <f t="shared" si="282"/>
        <v>22611</v>
      </c>
      <c r="AD219" s="57"/>
      <c r="AE219" s="57">
        <f>ROUND((G219-H219)*(K219-5840)/K219,0)-3</f>
        <v>24962</v>
      </c>
      <c r="AF219" s="140">
        <f t="shared" si="237"/>
        <v>242162.25199999998</v>
      </c>
      <c r="AG219" s="32">
        <f t="shared" si="226"/>
        <v>386738</v>
      </c>
      <c r="AH219" s="101">
        <f t="shared" si="259"/>
        <v>386738.25199999998</v>
      </c>
      <c r="AP219" s="101"/>
      <c r="AQ219" s="101"/>
    </row>
    <row r="220" spans="1:43" ht="15.9" customHeight="1" x14ac:dyDescent="0.3">
      <c r="A220" s="475"/>
      <c r="B220" s="52" t="s">
        <v>31</v>
      </c>
      <c r="C220" s="98">
        <v>38903</v>
      </c>
      <c r="D220" s="54">
        <v>647818</v>
      </c>
      <c r="E220" s="78">
        <v>25</v>
      </c>
      <c r="F220" s="54">
        <f>'wdv Plant &amp; Mac'!C265</f>
        <v>264734.70652054792</v>
      </c>
      <c r="G220" s="89">
        <f t="shared" si="208"/>
        <v>383083.29347945208</v>
      </c>
      <c r="H220" s="57">
        <f t="shared" si="209"/>
        <v>32391</v>
      </c>
      <c r="I220" s="58">
        <f t="shared" si="210"/>
        <v>2827</v>
      </c>
      <c r="J220" s="100">
        <f t="shared" si="281"/>
        <v>48033</v>
      </c>
      <c r="K220" s="60">
        <f t="shared" si="269"/>
        <v>6304</v>
      </c>
      <c r="L220" s="57">
        <v>0</v>
      </c>
      <c r="M220" s="57"/>
      <c r="N220" s="57">
        <f t="shared" ref="N220:AC220" si="283">+ROUND(($G$220-$H$220)*365/$K$220,0)</f>
        <v>20305</v>
      </c>
      <c r="O220" s="57">
        <f t="shared" si="283"/>
        <v>20305</v>
      </c>
      <c r="P220" s="57">
        <f t="shared" si="283"/>
        <v>20305</v>
      </c>
      <c r="Q220" s="57">
        <f t="shared" si="283"/>
        <v>20305</v>
      </c>
      <c r="R220" s="57">
        <f t="shared" si="283"/>
        <v>20305</v>
      </c>
      <c r="S220" s="57">
        <f t="shared" si="283"/>
        <v>20305</v>
      </c>
      <c r="T220" s="57">
        <f t="shared" si="283"/>
        <v>20305</v>
      </c>
      <c r="U220" s="352">
        <f t="shared" si="283"/>
        <v>20305</v>
      </c>
      <c r="V220" s="57">
        <f t="shared" si="283"/>
        <v>20305</v>
      </c>
      <c r="W220" s="57">
        <f t="shared" si="283"/>
        <v>20305</v>
      </c>
      <c r="X220" s="57">
        <f t="shared" si="283"/>
        <v>20305</v>
      </c>
      <c r="Y220" s="57">
        <f t="shared" si="283"/>
        <v>20305</v>
      </c>
      <c r="Z220" s="57">
        <f t="shared" si="283"/>
        <v>20305</v>
      </c>
      <c r="AA220" s="57">
        <f t="shared" si="283"/>
        <v>20305</v>
      </c>
      <c r="AB220" s="57">
        <f t="shared" si="283"/>
        <v>20305</v>
      </c>
      <c r="AC220" s="57">
        <f t="shared" si="283"/>
        <v>20305</v>
      </c>
      <c r="AD220" s="57"/>
      <c r="AE220" s="57">
        <f>ROUND((G220-H220)*(K220-5840)/K220,0)</f>
        <v>25812</v>
      </c>
      <c r="AF220" s="140">
        <f t="shared" si="237"/>
        <v>220643.29347945208</v>
      </c>
      <c r="AG220" s="32">
        <f t="shared" si="226"/>
        <v>350692</v>
      </c>
      <c r="AH220" s="101">
        <f t="shared" si="259"/>
        <v>350692.29347945208</v>
      </c>
      <c r="AP220" s="101"/>
      <c r="AQ220" s="101"/>
    </row>
    <row r="221" spans="1:43" ht="15.9" customHeight="1" x14ac:dyDescent="0.3">
      <c r="A221" s="475"/>
      <c r="B221" s="52" t="s">
        <v>31</v>
      </c>
      <c r="C221" s="98">
        <v>39050</v>
      </c>
      <c r="D221" s="54">
        <v>83722</v>
      </c>
      <c r="E221" s="78">
        <v>25</v>
      </c>
      <c r="F221" s="54">
        <f>'wdv Plant &amp; Mac'!C273</f>
        <v>32433.306424109589</v>
      </c>
      <c r="G221" s="89">
        <f t="shared" si="208"/>
        <v>51288.693575890415</v>
      </c>
      <c r="H221" s="57">
        <f t="shared" si="209"/>
        <v>4186</v>
      </c>
      <c r="I221" s="58">
        <f t="shared" si="210"/>
        <v>2680</v>
      </c>
      <c r="J221" s="100">
        <f t="shared" si="281"/>
        <v>48180</v>
      </c>
      <c r="K221" s="60">
        <f t="shared" si="269"/>
        <v>6451</v>
      </c>
      <c r="L221" s="57">
        <v>0</v>
      </c>
      <c r="M221" s="57"/>
      <c r="N221" s="57">
        <f t="shared" ref="N221:AC221" si="284">+ROUND(($G$221-$H$221)*365/$K$221,0)</f>
        <v>2665</v>
      </c>
      <c r="O221" s="57">
        <f t="shared" si="284"/>
        <v>2665</v>
      </c>
      <c r="P221" s="57">
        <f t="shared" si="284"/>
        <v>2665</v>
      </c>
      <c r="Q221" s="57">
        <f t="shared" si="284"/>
        <v>2665</v>
      </c>
      <c r="R221" s="57">
        <f t="shared" si="284"/>
        <v>2665</v>
      </c>
      <c r="S221" s="57">
        <f t="shared" si="284"/>
        <v>2665</v>
      </c>
      <c r="T221" s="57">
        <f t="shared" si="284"/>
        <v>2665</v>
      </c>
      <c r="U221" s="352">
        <f t="shared" si="284"/>
        <v>2665</v>
      </c>
      <c r="V221" s="57">
        <f t="shared" si="284"/>
        <v>2665</v>
      </c>
      <c r="W221" s="57">
        <f t="shared" si="284"/>
        <v>2665</v>
      </c>
      <c r="X221" s="57">
        <f t="shared" si="284"/>
        <v>2665</v>
      </c>
      <c r="Y221" s="57">
        <f t="shared" si="284"/>
        <v>2665</v>
      </c>
      <c r="Z221" s="57">
        <f t="shared" si="284"/>
        <v>2665</v>
      </c>
      <c r="AA221" s="57">
        <f t="shared" si="284"/>
        <v>2665</v>
      </c>
      <c r="AB221" s="57">
        <f t="shared" si="284"/>
        <v>2665</v>
      </c>
      <c r="AC221" s="57">
        <f t="shared" si="284"/>
        <v>2665</v>
      </c>
      <c r="AD221" s="57"/>
      <c r="AE221" s="57">
        <f>ROUND((G221-H221)*(K221-5840)/K221,0)+2</f>
        <v>4463</v>
      </c>
      <c r="AF221" s="140">
        <f t="shared" si="237"/>
        <v>29968.693575890415</v>
      </c>
      <c r="AG221" s="32">
        <f t="shared" si="226"/>
        <v>47103</v>
      </c>
      <c r="AH221" s="101">
        <f t="shared" si="259"/>
        <v>47102.693575890415</v>
      </c>
      <c r="AP221" s="101"/>
      <c r="AQ221" s="101"/>
    </row>
    <row r="222" spans="1:43" ht="15.9" customHeight="1" x14ac:dyDescent="0.3">
      <c r="A222" s="475"/>
      <c r="B222" s="52" t="s">
        <v>269</v>
      </c>
      <c r="C222" s="98">
        <v>38969</v>
      </c>
      <c r="D222" s="54">
        <v>18500</v>
      </c>
      <c r="E222" s="78">
        <v>15</v>
      </c>
      <c r="F222" s="54">
        <f>'wdv Plant &amp; Mac'!C298</f>
        <v>6642.3869863013697</v>
      </c>
      <c r="G222" s="89">
        <f t="shared" si="208"/>
        <v>11857.61301369863</v>
      </c>
      <c r="H222" s="57">
        <f t="shared" si="209"/>
        <v>925</v>
      </c>
      <c r="I222" s="58">
        <f t="shared" si="210"/>
        <v>2761</v>
      </c>
      <c r="J222" s="100">
        <f>+C222+5478</f>
        <v>44447</v>
      </c>
      <c r="K222" s="60">
        <f t="shared" si="269"/>
        <v>2718</v>
      </c>
      <c r="L222" s="57">
        <v>0</v>
      </c>
      <c r="M222" s="57"/>
      <c r="N222" s="57">
        <f t="shared" ref="N222:N227" si="285">+ROUND((G222-H222)*365/K222,0)</f>
        <v>1468</v>
      </c>
      <c r="O222" s="80">
        <f t="shared" si="278"/>
        <v>1468</v>
      </c>
      <c r="P222" s="80">
        <f t="shared" ref="P222:T222" si="286">+O222</f>
        <v>1468</v>
      </c>
      <c r="Q222" s="80">
        <f t="shared" si="286"/>
        <v>1468</v>
      </c>
      <c r="R222" s="80">
        <f t="shared" si="286"/>
        <v>1468</v>
      </c>
      <c r="S222" s="80">
        <f t="shared" si="286"/>
        <v>1468</v>
      </c>
      <c r="T222" s="57">
        <f t="shared" si="286"/>
        <v>1468</v>
      </c>
      <c r="U222" s="352">
        <f>+ROUND((G222-H222)*(K222-2555)/K222,0)+1</f>
        <v>657</v>
      </c>
      <c r="V222" s="57">
        <v>0</v>
      </c>
      <c r="W222" s="80">
        <f t="shared" ref="W222:AC222" si="287">+V222</f>
        <v>0</v>
      </c>
      <c r="X222" s="80">
        <f t="shared" si="287"/>
        <v>0</v>
      </c>
      <c r="Y222" s="80">
        <f t="shared" si="287"/>
        <v>0</v>
      </c>
      <c r="Z222" s="80">
        <f t="shared" si="287"/>
        <v>0</v>
      </c>
      <c r="AA222" s="80">
        <f t="shared" si="287"/>
        <v>0</v>
      </c>
      <c r="AB222" s="80">
        <f t="shared" si="287"/>
        <v>0</v>
      </c>
      <c r="AC222" s="80">
        <f t="shared" si="287"/>
        <v>0</v>
      </c>
      <c r="AD222" s="80"/>
      <c r="AE222" s="80">
        <f t="shared" ref="AE222:AE227" si="288">+AC222</f>
        <v>0</v>
      </c>
      <c r="AF222" s="140">
        <f t="shared" si="237"/>
        <v>924.61301369863031</v>
      </c>
      <c r="AG222" s="32">
        <f t="shared" si="226"/>
        <v>10933</v>
      </c>
      <c r="AH222" s="101">
        <f t="shared" si="259"/>
        <v>10932.61301369863</v>
      </c>
      <c r="AP222" s="101"/>
      <c r="AQ222" s="101"/>
    </row>
    <row r="223" spans="1:43" ht="15.9" customHeight="1" x14ac:dyDescent="0.3">
      <c r="A223" s="475"/>
      <c r="B223" s="52" t="s">
        <v>270</v>
      </c>
      <c r="C223" s="98">
        <v>39118</v>
      </c>
      <c r="D223" s="54">
        <v>18512</v>
      </c>
      <c r="E223" s="78">
        <v>15</v>
      </c>
      <c r="F223" s="54">
        <f>'wdv Plant &amp; Mac'!C306</f>
        <v>6287.7402739726031</v>
      </c>
      <c r="G223" s="89">
        <f t="shared" si="208"/>
        <v>12224.259726027398</v>
      </c>
      <c r="H223" s="57">
        <f t="shared" si="209"/>
        <v>926</v>
      </c>
      <c r="I223" s="58">
        <f t="shared" si="210"/>
        <v>2612</v>
      </c>
      <c r="J223" s="100">
        <f t="shared" ref="J223:J227" si="289">+C223+5478</f>
        <v>44596</v>
      </c>
      <c r="K223" s="60">
        <f t="shared" si="269"/>
        <v>2867</v>
      </c>
      <c r="L223" s="57">
        <v>0</v>
      </c>
      <c r="M223" s="57"/>
      <c r="N223" s="57">
        <f t="shared" si="285"/>
        <v>1438</v>
      </c>
      <c r="O223" s="80">
        <f t="shared" si="278"/>
        <v>1438</v>
      </c>
      <c r="P223" s="80">
        <f t="shared" ref="P223:T223" si="290">+O223</f>
        <v>1438</v>
      </c>
      <c r="Q223" s="80">
        <f t="shared" si="290"/>
        <v>1438</v>
      </c>
      <c r="R223" s="80">
        <f t="shared" si="290"/>
        <v>1438</v>
      </c>
      <c r="S223" s="80">
        <f t="shared" si="290"/>
        <v>1438</v>
      </c>
      <c r="T223" s="57">
        <f t="shared" si="290"/>
        <v>1438</v>
      </c>
      <c r="U223" s="352">
        <f>+ROUND((G223-H223)*(K223-2555)/K223,0)+2</f>
        <v>1232</v>
      </c>
      <c r="V223" s="57">
        <v>0</v>
      </c>
      <c r="W223" s="80">
        <f t="shared" ref="W223:AC223" si="291">+V223</f>
        <v>0</v>
      </c>
      <c r="X223" s="80">
        <f t="shared" si="291"/>
        <v>0</v>
      </c>
      <c r="Y223" s="80">
        <f t="shared" si="291"/>
        <v>0</v>
      </c>
      <c r="Z223" s="80">
        <f t="shared" si="291"/>
        <v>0</v>
      </c>
      <c r="AA223" s="80">
        <f t="shared" si="291"/>
        <v>0</v>
      </c>
      <c r="AB223" s="80">
        <f t="shared" si="291"/>
        <v>0</v>
      </c>
      <c r="AC223" s="80">
        <f t="shared" si="291"/>
        <v>0</v>
      </c>
      <c r="AD223" s="80"/>
      <c r="AE223" s="80">
        <f t="shared" si="288"/>
        <v>0</v>
      </c>
      <c r="AF223" s="140">
        <f t="shared" si="237"/>
        <v>926.25972602739785</v>
      </c>
      <c r="AG223" s="32">
        <f t="shared" si="226"/>
        <v>11298</v>
      </c>
      <c r="AH223" s="101">
        <f t="shared" si="259"/>
        <v>11298.259726027398</v>
      </c>
      <c r="AP223" s="101"/>
      <c r="AQ223" s="101"/>
    </row>
    <row r="224" spans="1:43" ht="15.9" customHeight="1" x14ac:dyDescent="0.3">
      <c r="A224" s="475"/>
      <c r="B224" s="52" t="s">
        <v>32</v>
      </c>
      <c r="C224" s="98">
        <v>39049</v>
      </c>
      <c r="D224" s="54">
        <v>80082</v>
      </c>
      <c r="E224" s="78">
        <v>15</v>
      </c>
      <c r="F224" s="54">
        <v>27919.864999999998</v>
      </c>
      <c r="G224" s="89">
        <f t="shared" si="208"/>
        <v>52162.135000000002</v>
      </c>
      <c r="H224" s="57">
        <f t="shared" si="209"/>
        <v>4004</v>
      </c>
      <c r="I224" s="58">
        <f t="shared" si="210"/>
        <v>2681</v>
      </c>
      <c r="J224" s="100">
        <f t="shared" si="289"/>
        <v>44527</v>
      </c>
      <c r="K224" s="60">
        <f t="shared" si="269"/>
        <v>2798</v>
      </c>
      <c r="L224" s="57">
        <v>0</v>
      </c>
      <c r="M224" s="57"/>
      <c r="N224" s="57">
        <f t="shared" si="285"/>
        <v>6282</v>
      </c>
      <c r="O224" s="80">
        <f t="shared" si="278"/>
        <v>6282</v>
      </c>
      <c r="P224" s="80">
        <f t="shared" ref="P224:T224" si="292">+O224</f>
        <v>6282</v>
      </c>
      <c r="Q224" s="80">
        <f t="shared" si="292"/>
        <v>6282</v>
      </c>
      <c r="R224" s="80">
        <f t="shared" si="292"/>
        <v>6282</v>
      </c>
      <c r="S224" s="80">
        <f t="shared" si="292"/>
        <v>6282</v>
      </c>
      <c r="T224" s="57">
        <f t="shared" si="292"/>
        <v>6282</v>
      </c>
      <c r="U224" s="352">
        <f>+ROUND((G224-H224)*(K224-2555)/K224,0)+2</f>
        <v>4184</v>
      </c>
      <c r="V224" s="57">
        <v>0</v>
      </c>
      <c r="W224" s="80">
        <f t="shared" ref="W224:AC224" si="293">+V224</f>
        <v>0</v>
      </c>
      <c r="X224" s="80">
        <f t="shared" si="293"/>
        <v>0</v>
      </c>
      <c r="Y224" s="80">
        <f t="shared" si="293"/>
        <v>0</v>
      </c>
      <c r="Z224" s="80">
        <f t="shared" si="293"/>
        <v>0</v>
      </c>
      <c r="AA224" s="80">
        <f t="shared" si="293"/>
        <v>0</v>
      </c>
      <c r="AB224" s="80">
        <f t="shared" si="293"/>
        <v>0</v>
      </c>
      <c r="AC224" s="80">
        <f t="shared" si="293"/>
        <v>0</v>
      </c>
      <c r="AD224" s="80"/>
      <c r="AE224" s="80">
        <f t="shared" si="288"/>
        <v>0</v>
      </c>
      <c r="AF224" s="140">
        <f t="shared" si="237"/>
        <v>4004.135000000002</v>
      </c>
      <c r="AG224" s="32">
        <f t="shared" si="226"/>
        <v>48158</v>
      </c>
      <c r="AH224" s="101">
        <f t="shared" si="259"/>
        <v>48158.135000000002</v>
      </c>
      <c r="AP224" s="101"/>
      <c r="AQ224" s="101"/>
    </row>
    <row r="225" spans="1:43" ht="15.9" customHeight="1" x14ac:dyDescent="0.3">
      <c r="A225" s="475"/>
      <c r="B225" s="52" t="s">
        <v>33</v>
      </c>
      <c r="C225" s="98">
        <v>39211</v>
      </c>
      <c r="D225" s="54">
        <v>102844</v>
      </c>
      <c r="E225" s="78">
        <v>15</v>
      </c>
      <c r="F225" s="54">
        <v>33688.160000000003</v>
      </c>
      <c r="G225" s="89">
        <f t="shared" si="208"/>
        <v>69155.839999999997</v>
      </c>
      <c r="H225" s="57">
        <f t="shared" si="209"/>
        <v>5142</v>
      </c>
      <c r="I225" s="58">
        <f t="shared" si="210"/>
        <v>2519</v>
      </c>
      <c r="J225" s="100">
        <f t="shared" si="289"/>
        <v>44689</v>
      </c>
      <c r="K225" s="60">
        <f t="shared" si="269"/>
        <v>2960</v>
      </c>
      <c r="L225" s="57">
        <v>0</v>
      </c>
      <c r="M225" s="57"/>
      <c r="N225" s="57">
        <f t="shared" si="285"/>
        <v>7894</v>
      </c>
      <c r="O225" s="80">
        <f t="shared" si="278"/>
        <v>7894</v>
      </c>
      <c r="P225" s="80">
        <f t="shared" ref="P225:AC226" si="294">+O225</f>
        <v>7894</v>
      </c>
      <c r="Q225" s="80">
        <f t="shared" si="294"/>
        <v>7894</v>
      </c>
      <c r="R225" s="80">
        <f t="shared" si="294"/>
        <v>7894</v>
      </c>
      <c r="S225" s="80">
        <f t="shared" si="294"/>
        <v>7894</v>
      </c>
      <c r="T225" s="57">
        <f t="shared" si="294"/>
        <v>7894</v>
      </c>
      <c r="U225" s="353">
        <f t="shared" si="294"/>
        <v>7894</v>
      </c>
      <c r="V225" s="57">
        <f>+ROUND((G225-H225)*(K225-2920)/K225,0)-3</f>
        <v>862</v>
      </c>
      <c r="W225" s="80">
        <v>0</v>
      </c>
      <c r="X225" s="80">
        <f t="shared" si="294"/>
        <v>0</v>
      </c>
      <c r="Y225" s="80">
        <f t="shared" si="294"/>
        <v>0</v>
      </c>
      <c r="Z225" s="80">
        <f t="shared" si="294"/>
        <v>0</v>
      </c>
      <c r="AA225" s="80">
        <f t="shared" si="294"/>
        <v>0</v>
      </c>
      <c r="AB225" s="80">
        <f t="shared" si="294"/>
        <v>0</v>
      </c>
      <c r="AC225" s="80">
        <f t="shared" si="294"/>
        <v>0</v>
      </c>
      <c r="AD225" s="80"/>
      <c r="AE225" s="80">
        <f t="shared" si="288"/>
        <v>0</v>
      </c>
      <c r="AF225" s="140">
        <f t="shared" si="237"/>
        <v>6003.8399999999965</v>
      </c>
      <c r="AG225" s="32">
        <f t="shared" si="226"/>
        <v>64014</v>
      </c>
      <c r="AH225" s="101">
        <f t="shared" si="259"/>
        <v>64013.84</v>
      </c>
      <c r="AP225" s="101"/>
      <c r="AQ225" s="101"/>
    </row>
    <row r="226" spans="1:43" ht="15.9" customHeight="1" x14ac:dyDescent="0.3">
      <c r="A226" s="475"/>
      <c r="B226" s="52" t="s">
        <v>34</v>
      </c>
      <c r="C226" s="98">
        <v>39212</v>
      </c>
      <c r="D226" s="54">
        <v>167455</v>
      </c>
      <c r="E226" s="78">
        <v>15</v>
      </c>
      <c r="F226" s="54">
        <v>54830.877500000002</v>
      </c>
      <c r="G226" s="89">
        <f t="shared" si="208"/>
        <v>112624.1225</v>
      </c>
      <c r="H226" s="57">
        <f t="shared" si="209"/>
        <v>8373</v>
      </c>
      <c r="I226" s="58">
        <f t="shared" si="210"/>
        <v>2518</v>
      </c>
      <c r="J226" s="100">
        <f t="shared" si="289"/>
        <v>44690</v>
      </c>
      <c r="K226" s="60">
        <f t="shared" si="269"/>
        <v>2961</v>
      </c>
      <c r="L226" s="57">
        <v>0</v>
      </c>
      <c r="M226" s="57"/>
      <c r="N226" s="57">
        <f t="shared" si="285"/>
        <v>12851</v>
      </c>
      <c r="O226" s="80">
        <f t="shared" si="278"/>
        <v>12851</v>
      </c>
      <c r="P226" s="80">
        <f t="shared" si="294"/>
        <v>12851</v>
      </c>
      <c r="Q226" s="80">
        <f t="shared" si="294"/>
        <v>12851</v>
      </c>
      <c r="R226" s="80">
        <f t="shared" si="294"/>
        <v>12851</v>
      </c>
      <c r="S226" s="80">
        <f t="shared" si="294"/>
        <v>12851</v>
      </c>
      <c r="T226" s="57">
        <f t="shared" si="294"/>
        <v>12851</v>
      </c>
      <c r="U226" s="353">
        <f t="shared" si="294"/>
        <v>12851</v>
      </c>
      <c r="V226" s="57">
        <f>+ROUND((G226-H226)*(K226-2920)/K226,0)-1</f>
        <v>1443</v>
      </c>
      <c r="W226" s="80">
        <v>0</v>
      </c>
      <c r="X226" s="80">
        <f t="shared" si="294"/>
        <v>0</v>
      </c>
      <c r="Y226" s="80">
        <f t="shared" ref="Y226:AC226" si="295">+X226</f>
        <v>0</v>
      </c>
      <c r="Z226" s="80">
        <f t="shared" si="295"/>
        <v>0</v>
      </c>
      <c r="AA226" s="80">
        <f t="shared" si="295"/>
        <v>0</v>
      </c>
      <c r="AB226" s="80">
        <f t="shared" si="295"/>
        <v>0</v>
      </c>
      <c r="AC226" s="80">
        <f t="shared" si="295"/>
        <v>0</v>
      </c>
      <c r="AD226" s="80"/>
      <c r="AE226" s="80">
        <f t="shared" si="288"/>
        <v>0</v>
      </c>
      <c r="AF226" s="140">
        <f t="shared" si="237"/>
        <v>9816.1224999999977</v>
      </c>
      <c r="AG226" s="32">
        <f t="shared" si="226"/>
        <v>104251</v>
      </c>
      <c r="AH226" s="101">
        <f t="shared" si="259"/>
        <v>104251.1225</v>
      </c>
      <c r="AP226" s="101"/>
      <c r="AQ226" s="101"/>
    </row>
    <row r="227" spans="1:43" ht="15.9" customHeight="1" x14ac:dyDescent="0.3">
      <c r="A227" s="475"/>
      <c r="B227" s="52" t="s">
        <v>35</v>
      </c>
      <c r="C227" s="98">
        <v>39216</v>
      </c>
      <c r="D227" s="54">
        <v>32770</v>
      </c>
      <c r="E227" s="78">
        <v>15</v>
      </c>
      <c r="F227" s="54">
        <v>10714.424999999999</v>
      </c>
      <c r="G227" s="89">
        <f t="shared" si="208"/>
        <v>22055.575000000001</v>
      </c>
      <c r="H227" s="57">
        <f t="shared" si="209"/>
        <v>1639</v>
      </c>
      <c r="I227" s="58">
        <f t="shared" si="210"/>
        <v>2514</v>
      </c>
      <c r="J227" s="100">
        <f t="shared" si="289"/>
        <v>44694</v>
      </c>
      <c r="K227" s="60">
        <f t="shared" si="269"/>
        <v>2965</v>
      </c>
      <c r="L227" s="57">
        <v>0</v>
      </c>
      <c r="M227" s="57"/>
      <c r="N227" s="57">
        <f t="shared" si="285"/>
        <v>2513</v>
      </c>
      <c r="O227" s="80">
        <f t="shared" si="278"/>
        <v>2513</v>
      </c>
      <c r="P227" s="80">
        <f t="shared" ref="P227:U227" si="296">+O227</f>
        <v>2513</v>
      </c>
      <c r="Q227" s="80">
        <f t="shared" si="296"/>
        <v>2513</v>
      </c>
      <c r="R227" s="80">
        <f t="shared" si="296"/>
        <v>2513</v>
      </c>
      <c r="S227" s="80">
        <f t="shared" si="296"/>
        <v>2513</v>
      </c>
      <c r="T227" s="57">
        <f t="shared" si="296"/>
        <v>2513</v>
      </c>
      <c r="U227" s="353">
        <f t="shared" si="296"/>
        <v>2513</v>
      </c>
      <c r="V227" s="57">
        <f>+ROUND((G227-H227)*(K227-2920)/K227,0)+3</f>
        <v>313</v>
      </c>
      <c r="W227" s="80">
        <v>0</v>
      </c>
      <c r="X227" s="80">
        <f t="shared" ref="X227" si="297">+W227</f>
        <v>0</v>
      </c>
      <c r="Y227" s="80">
        <f t="shared" ref="Y227:AC227" si="298">+X227</f>
        <v>0</v>
      </c>
      <c r="Z227" s="80">
        <f t="shared" si="298"/>
        <v>0</v>
      </c>
      <c r="AA227" s="80">
        <f t="shared" si="298"/>
        <v>0</v>
      </c>
      <c r="AB227" s="80">
        <f t="shared" si="298"/>
        <v>0</v>
      </c>
      <c r="AC227" s="80">
        <f t="shared" si="298"/>
        <v>0</v>
      </c>
      <c r="AD227" s="80"/>
      <c r="AE227" s="80">
        <f t="shared" si="288"/>
        <v>0</v>
      </c>
      <c r="AF227" s="140">
        <f t="shared" si="237"/>
        <v>1951.5750000000007</v>
      </c>
      <c r="AG227" s="32">
        <f t="shared" si="226"/>
        <v>20417</v>
      </c>
      <c r="AH227" s="101">
        <f t="shared" si="259"/>
        <v>20416.575000000001</v>
      </c>
      <c r="AP227" s="101"/>
      <c r="AQ227" s="101"/>
    </row>
    <row r="228" spans="1:43" ht="15.9" customHeight="1" x14ac:dyDescent="0.3">
      <c r="A228" s="475"/>
      <c r="B228" s="52" t="s">
        <v>36</v>
      </c>
      <c r="C228" s="98">
        <v>39218</v>
      </c>
      <c r="D228" s="54">
        <v>120000</v>
      </c>
      <c r="E228" s="78">
        <v>25</v>
      </c>
      <c r="F228" s="54">
        <v>43572.979999999996</v>
      </c>
      <c r="G228" s="89">
        <f t="shared" si="208"/>
        <v>76427.02</v>
      </c>
      <c r="H228" s="57">
        <f t="shared" si="209"/>
        <v>6000</v>
      </c>
      <c r="I228" s="58">
        <f t="shared" si="210"/>
        <v>2512</v>
      </c>
      <c r="J228" s="100">
        <f>+C228+9131</f>
        <v>48349</v>
      </c>
      <c r="K228" s="60">
        <f t="shared" si="269"/>
        <v>6620</v>
      </c>
      <c r="L228" s="57">
        <v>0</v>
      </c>
      <c r="M228" s="57"/>
      <c r="N228" s="57">
        <f t="shared" ref="N228:AC228" si="299">+ROUND(($G$228-$H$228)*365/$K$228,0)</f>
        <v>3883</v>
      </c>
      <c r="O228" s="57">
        <f t="shared" si="299"/>
        <v>3883</v>
      </c>
      <c r="P228" s="57">
        <f t="shared" si="299"/>
        <v>3883</v>
      </c>
      <c r="Q228" s="57">
        <f t="shared" si="299"/>
        <v>3883</v>
      </c>
      <c r="R228" s="57">
        <f t="shared" si="299"/>
        <v>3883</v>
      </c>
      <c r="S228" s="57">
        <f t="shared" si="299"/>
        <v>3883</v>
      </c>
      <c r="T228" s="57">
        <f t="shared" si="299"/>
        <v>3883</v>
      </c>
      <c r="U228" s="352">
        <f t="shared" si="299"/>
        <v>3883</v>
      </c>
      <c r="V228" s="57">
        <f t="shared" si="299"/>
        <v>3883</v>
      </c>
      <c r="W228" s="57">
        <f t="shared" si="299"/>
        <v>3883</v>
      </c>
      <c r="X228" s="57">
        <f t="shared" si="299"/>
        <v>3883</v>
      </c>
      <c r="Y228" s="57">
        <f t="shared" si="299"/>
        <v>3883</v>
      </c>
      <c r="Z228" s="57">
        <f t="shared" si="299"/>
        <v>3883</v>
      </c>
      <c r="AA228" s="57">
        <f t="shared" si="299"/>
        <v>3883</v>
      </c>
      <c r="AB228" s="57">
        <f t="shared" si="299"/>
        <v>3883</v>
      </c>
      <c r="AC228" s="57">
        <f t="shared" si="299"/>
        <v>3883</v>
      </c>
      <c r="AD228" s="57"/>
      <c r="AE228" s="57">
        <f>ROUND((G228-H228)*(K228-5840)/K228,0)+1</f>
        <v>8299</v>
      </c>
      <c r="AF228" s="140">
        <f t="shared" si="237"/>
        <v>45363.020000000004</v>
      </c>
      <c r="AG228" s="32">
        <f t="shared" si="226"/>
        <v>70427</v>
      </c>
      <c r="AH228" s="101">
        <f t="shared" si="259"/>
        <v>70427.02</v>
      </c>
      <c r="AP228" s="101"/>
      <c r="AQ228" s="101"/>
    </row>
    <row r="229" spans="1:43" ht="15.9" customHeight="1" x14ac:dyDescent="0.3">
      <c r="A229" s="475"/>
      <c r="B229" s="52" t="s">
        <v>37</v>
      </c>
      <c r="C229" s="98">
        <v>39281</v>
      </c>
      <c r="D229" s="54">
        <v>842444</v>
      </c>
      <c r="E229" s="78">
        <v>25</v>
      </c>
      <c r="F229" s="54">
        <v>298241.61959999998</v>
      </c>
      <c r="G229" s="89">
        <f t="shared" si="208"/>
        <v>544202.38040000002</v>
      </c>
      <c r="H229" s="57">
        <f t="shared" si="209"/>
        <v>42122</v>
      </c>
      <c r="I229" s="58">
        <f t="shared" si="210"/>
        <v>2449</v>
      </c>
      <c r="J229" s="100">
        <f>+C229+9131</f>
        <v>48412</v>
      </c>
      <c r="K229" s="60">
        <f t="shared" si="269"/>
        <v>6683</v>
      </c>
      <c r="L229" s="57">
        <v>0</v>
      </c>
      <c r="M229" s="57"/>
      <c r="N229" s="57">
        <f t="shared" ref="N229:AC229" si="300">+ROUND(($G$229-$H$229)*365/$K$229,0)</f>
        <v>27422</v>
      </c>
      <c r="O229" s="57">
        <f t="shared" si="300"/>
        <v>27422</v>
      </c>
      <c r="P229" s="57">
        <f t="shared" si="300"/>
        <v>27422</v>
      </c>
      <c r="Q229" s="57">
        <f t="shared" si="300"/>
        <v>27422</v>
      </c>
      <c r="R229" s="57">
        <f t="shared" si="300"/>
        <v>27422</v>
      </c>
      <c r="S229" s="57">
        <f t="shared" si="300"/>
        <v>27422</v>
      </c>
      <c r="T229" s="57">
        <f t="shared" si="300"/>
        <v>27422</v>
      </c>
      <c r="U229" s="352">
        <f t="shared" si="300"/>
        <v>27422</v>
      </c>
      <c r="V229" s="57">
        <f t="shared" si="300"/>
        <v>27422</v>
      </c>
      <c r="W229" s="57">
        <f t="shared" si="300"/>
        <v>27422</v>
      </c>
      <c r="X229" s="57">
        <f t="shared" si="300"/>
        <v>27422</v>
      </c>
      <c r="Y229" s="57">
        <f t="shared" si="300"/>
        <v>27422</v>
      </c>
      <c r="Z229" s="57">
        <f t="shared" si="300"/>
        <v>27422</v>
      </c>
      <c r="AA229" s="57">
        <f t="shared" si="300"/>
        <v>27422</v>
      </c>
      <c r="AB229" s="57">
        <f t="shared" si="300"/>
        <v>27422</v>
      </c>
      <c r="AC229" s="57">
        <f t="shared" si="300"/>
        <v>27422</v>
      </c>
      <c r="AD229" s="57"/>
      <c r="AE229" s="57">
        <f>ROUND((G229-H229)*(K229-5840)/K229,0)-5</f>
        <v>63328</v>
      </c>
      <c r="AF229" s="140">
        <f t="shared" si="237"/>
        <v>324826.38040000002</v>
      </c>
      <c r="AG229" s="32">
        <f t="shared" si="226"/>
        <v>502080</v>
      </c>
      <c r="AH229" s="101">
        <f t="shared" si="259"/>
        <v>502080.38040000002</v>
      </c>
      <c r="AP229" s="101"/>
      <c r="AQ229" s="101"/>
    </row>
    <row r="230" spans="1:43" ht="15.9" customHeight="1" x14ac:dyDescent="0.3">
      <c r="A230" s="475"/>
      <c r="B230" s="52" t="s">
        <v>38</v>
      </c>
      <c r="C230" s="98">
        <v>39301</v>
      </c>
      <c r="D230" s="54">
        <v>350299</v>
      </c>
      <c r="E230" s="78">
        <v>25</v>
      </c>
      <c r="F230" s="54">
        <v>123002.6816</v>
      </c>
      <c r="G230" s="89">
        <f t="shared" si="208"/>
        <v>227296.31839999999</v>
      </c>
      <c r="H230" s="57">
        <f t="shared" si="209"/>
        <v>17515</v>
      </c>
      <c r="I230" s="58">
        <f t="shared" si="210"/>
        <v>2429</v>
      </c>
      <c r="J230" s="100">
        <f>+C230+9131</f>
        <v>48432</v>
      </c>
      <c r="K230" s="60">
        <f t="shared" si="269"/>
        <v>6703</v>
      </c>
      <c r="L230" s="57">
        <v>0</v>
      </c>
      <c r="M230" s="57"/>
      <c r="N230" s="57">
        <f t="shared" ref="N230:AC230" si="301">+ROUND(($G$230-$H$230)*365/$K$230,0)</f>
        <v>11423</v>
      </c>
      <c r="O230" s="57">
        <f t="shared" si="301"/>
        <v>11423</v>
      </c>
      <c r="P230" s="57">
        <f t="shared" si="301"/>
        <v>11423</v>
      </c>
      <c r="Q230" s="57">
        <f t="shared" si="301"/>
        <v>11423</v>
      </c>
      <c r="R230" s="57">
        <f t="shared" si="301"/>
        <v>11423</v>
      </c>
      <c r="S230" s="57">
        <f t="shared" si="301"/>
        <v>11423</v>
      </c>
      <c r="T230" s="57">
        <f t="shared" si="301"/>
        <v>11423</v>
      </c>
      <c r="U230" s="352">
        <f t="shared" si="301"/>
        <v>11423</v>
      </c>
      <c r="V230" s="57">
        <f t="shared" si="301"/>
        <v>11423</v>
      </c>
      <c r="W230" s="57">
        <f t="shared" si="301"/>
        <v>11423</v>
      </c>
      <c r="X230" s="57">
        <f t="shared" si="301"/>
        <v>11423</v>
      </c>
      <c r="Y230" s="57">
        <f t="shared" si="301"/>
        <v>11423</v>
      </c>
      <c r="Z230" s="57">
        <f t="shared" si="301"/>
        <v>11423</v>
      </c>
      <c r="AA230" s="57">
        <f t="shared" si="301"/>
        <v>11423</v>
      </c>
      <c r="AB230" s="57">
        <f t="shared" si="301"/>
        <v>11423</v>
      </c>
      <c r="AC230" s="57">
        <f t="shared" si="301"/>
        <v>11423</v>
      </c>
      <c r="AD230" s="57"/>
      <c r="AE230" s="57">
        <f>ROUND((G230-H230)*(K230-5840)/K230,0)+4</f>
        <v>27013</v>
      </c>
      <c r="AF230" s="140">
        <f t="shared" si="237"/>
        <v>135912.31839999999</v>
      </c>
      <c r="AG230" s="32">
        <f t="shared" si="226"/>
        <v>209781</v>
      </c>
      <c r="AH230" s="101">
        <f t="shared" si="259"/>
        <v>209781.31839999999</v>
      </c>
      <c r="AP230" s="101"/>
      <c r="AQ230" s="101"/>
    </row>
    <row r="231" spans="1:43" ht="15.9" customHeight="1" x14ac:dyDescent="0.3">
      <c r="A231" s="475"/>
      <c r="B231" s="52" t="s">
        <v>39</v>
      </c>
      <c r="C231" s="98">
        <v>39331</v>
      </c>
      <c r="D231" s="54">
        <v>45887</v>
      </c>
      <c r="E231" s="78">
        <v>15</v>
      </c>
      <c r="F231" s="54">
        <v>14317.5975</v>
      </c>
      <c r="G231" s="89">
        <f t="shared" si="208"/>
        <v>31569.4025</v>
      </c>
      <c r="H231" s="57">
        <f t="shared" si="209"/>
        <v>2294</v>
      </c>
      <c r="I231" s="58">
        <f t="shared" si="210"/>
        <v>2399</v>
      </c>
      <c r="J231" s="100">
        <f t="shared" si="277"/>
        <v>44809</v>
      </c>
      <c r="K231" s="60">
        <f t="shared" si="269"/>
        <v>3080</v>
      </c>
      <c r="L231" s="57">
        <v>0</v>
      </c>
      <c r="M231" s="57"/>
      <c r="N231" s="57">
        <f>+ROUND((G231-H231)*365/K231,0)</f>
        <v>3469</v>
      </c>
      <c r="O231" s="80">
        <f t="shared" si="278"/>
        <v>3469</v>
      </c>
      <c r="P231" s="80">
        <f t="shared" ref="P231:U231" si="302">+O231</f>
        <v>3469</v>
      </c>
      <c r="Q231" s="80">
        <f t="shared" si="302"/>
        <v>3469</v>
      </c>
      <c r="R231" s="80">
        <f t="shared" si="302"/>
        <v>3469</v>
      </c>
      <c r="S231" s="80">
        <f t="shared" si="302"/>
        <v>3469</v>
      </c>
      <c r="T231" s="57">
        <f t="shared" si="302"/>
        <v>3469</v>
      </c>
      <c r="U231" s="353">
        <f t="shared" si="302"/>
        <v>3469</v>
      </c>
      <c r="V231" s="57">
        <f>+ROUND((G231-H231)*(K231-2920)/K231,0)+2</f>
        <v>1523</v>
      </c>
      <c r="W231" s="80">
        <v>0</v>
      </c>
      <c r="X231" s="80">
        <f t="shared" ref="X231" si="303">+W231</f>
        <v>0</v>
      </c>
      <c r="Y231" s="80">
        <f t="shared" ref="Y231:AC231" si="304">+X231</f>
        <v>0</v>
      </c>
      <c r="Z231" s="80">
        <f t="shared" si="304"/>
        <v>0</v>
      </c>
      <c r="AA231" s="80">
        <f t="shared" si="304"/>
        <v>0</v>
      </c>
      <c r="AB231" s="80">
        <f t="shared" si="304"/>
        <v>0</v>
      </c>
      <c r="AC231" s="80">
        <f t="shared" si="304"/>
        <v>0</v>
      </c>
      <c r="AD231" s="80"/>
      <c r="AE231" s="80">
        <f>+AC231</f>
        <v>0</v>
      </c>
      <c r="AF231" s="140">
        <f t="shared" si="237"/>
        <v>3817.4025000000001</v>
      </c>
      <c r="AG231" s="32">
        <f t="shared" si="226"/>
        <v>29275</v>
      </c>
      <c r="AH231" s="101">
        <f t="shared" si="259"/>
        <v>29275.4025</v>
      </c>
      <c r="AP231" s="101"/>
      <c r="AQ231" s="101"/>
    </row>
    <row r="232" spans="1:43" ht="15.9" customHeight="1" x14ac:dyDescent="0.3">
      <c r="A232" s="475"/>
      <c r="B232" s="52" t="s">
        <v>40</v>
      </c>
      <c r="C232" s="98">
        <v>39333</v>
      </c>
      <c r="D232" s="54">
        <v>745384</v>
      </c>
      <c r="E232" s="78">
        <v>25</v>
      </c>
      <c r="F232" s="54">
        <v>258288.17559999999</v>
      </c>
      <c r="G232" s="89">
        <f t="shared" si="208"/>
        <v>487095.82440000004</v>
      </c>
      <c r="H232" s="57">
        <f t="shared" si="209"/>
        <v>37269</v>
      </c>
      <c r="I232" s="58">
        <f t="shared" si="210"/>
        <v>2397</v>
      </c>
      <c r="J232" s="100">
        <f>+C232+9131</f>
        <v>48464</v>
      </c>
      <c r="K232" s="60">
        <f t="shared" si="269"/>
        <v>6735</v>
      </c>
      <c r="L232" s="57">
        <v>0</v>
      </c>
      <c r="M232" s="57"/>
      <c r="N232" s="57">
        <f t="shared" ref="N232:AC232" si="305">+ROUND(($G$232-$H$232)*365/$K$232,0)</f>
        <v>24378</v>
      </c>
      <c r="O232" s="57">
        <f t="shared" si="305"/>
        <v>24378</v>
      </c>
      <c r="P232" s="57">
        <f t="shared" si="305"/>
        <v>24378</v>
      </c>
      <c r="Q232" s="57">
        <f t="shared" si="305"/>
        <v>24378</v>
      </c>
      <c r="R232" s="57">
        <f t="shared" si="305"/>
        <v>24378</v>
      </c>
      <c r="S232" s="57">
        <f t="shared" si="305"/>
        <v>24378</v>
      </c>
      <c r="T232" s="57">
        <f t="shared" si="305"/>
        <v>24378</v>
      </c>
      <c r="U232" s="352">
        <f t="shared" si="305"/>
        <v>24378</v>
      </c>
      <c r="V232" s="57">
        <f t="shared" si="305"/>
        <v>24378</v>
      </c>
      <c r="W232" s="57">
        <f t="shared" si="305"/>
        <v>24378</v>
      </c>
      <c r="X232" s="57">
        <f t="shared" si="305"/>
        <v>24378</v>
      </c>
      <c r="Y232" s="57">
        <f t="shared" si="305"/>
        <v>24378</v>
      </c>
      <c r="Z232" s="57">
        <f t="shared" si="305"/>
        <v>24378</v>
      </c>
      <c r="AA232" s="57">
        <f t="shared" si="305"/>
        <v>24378</v>
      </c>
      <c r="AB232" s="57">
        <f t="shared" si="305"/>
        <v>24378</v>
      </c>
      <c r="AC232" s="57">
        <f t="shared" si="305"/>
        <v>24378</v>
      </c>
      <c r="AD232" s="57"/>
      <c r="AE232" s="57">
        <f>ROUND((G232-H232)*(K232-5840)/K232,0)+2</f>
        <v>59779</v>
      </c>
      <c r="AF232" s="140">
        <f t="shared" si="237"/>
        <v>292071.82440000004</v>
      </c>
      <c r="AG232" s="32">
        <f t="shared" si="226"/>
        <v>449827</v>
      </c>
      <c r="AH232" s="101">
        <f t="shared" si="259"/>
        <v>449826.82440000004</v>
      </c>
      <c r="AP232" s="101"/>
      <c r="AQ232" s="101"/>
    </row>
    <row r="233" spans="1:43" ht="15.9" customHeight="1" x14ac:dyDescent="0.3">
      <c r="A233" s="475"/>
      <c r="B233" s="52" t="s">
        <v>41</v>
      </c>
      <c r="C233" s="98">
        <v>39371</v>
      </c>
      <c r="D233" s="54">
        <v>393663</v>
      </c>
      <c r="E233" s="78">
        <v>15</v>
      </c>
      <c r="F233" s="54">
        <v>120777.11749999999</v>
      </c>
      <c r="G233" s="89">
        <f t="shared" si="208"/>
        <v>272885.88250000001</v>
      </c>
      <c r="H233" s="57">
        <f t="shared" si="209"/>
        <v>19683</v>
      </c>
      <c r="I233" s="58">
        <f t="shared" si="210"/>
        <v>2359</v>
      </c>
      <c r="J233" s="100">
        <f>+C233+5478</f>
        <v>44849</v>
      </c>
      <c r="K233" s="60">
        <f t="shared" si="269"/>
        <v>3120</v>
      </c>
      <c r="L233" s="57">
        <v>0</v>
      </c>
      <c r="M233" s="57"/>
      <c r="N233" s="57">
        <f>+ROUND((G233-H233)*365/K233,0)</f>
        <v>29621</v>
      </c>
      <c r="O233" s="80">
        <f t="shared" si="278"/>
        <v>29621</v>
      </c>
      <c r="P233" s="80">
        <f t="shared" ref="P233:U233" si="306">+O233</f>
        <v>29621</v>
      </c>
      <c r="Q233" s="80">
        <f t="shared" si="306"/>
        <v>29621</v>
      </c>
      <c r="R233" s="80">
        <f t="shared" si="306"/>
        <v>29621</v>
      </c>
      <c r="S233" s="80">
        <f t="shared" si="306"/>
        <v>29621</v>
      </c>
      <c r="T233" s="57">
        <f t="shared" si="306"/>
        <v>29621</v>
      </c>
      <c r="U233" s="353">
        <f t="shared" si="306"/>
        <v>29621</v>
      </c>
      <c r="V233" s="57">
        <f>+ROUND((G233-H233)*(K233-2920)/K233,0)+4</f>
        <v>16235</v>
      </c>
      <c r="W233" s="80">
        <v>0</v>
      </c>
      <c r="X233" s="80">
        <f t="shared" ref="X233" si="307">+W233</f>
        <v>0</v>
      </c>
      <c r="Y233" s="80">
        <f t="shared" ref="Y233:AC233" si="308">+X233</f>
        <v>0</v>
      </c>
      <c r="Z233" s="80">
        <f t="shared" si="308"/>
        <v>0</v>
      </c>
      <c r="AA233" s="80">
        <f t="shared" si="308"/>
        <v>0</v>
      </c>
      <c r="AB233" s="80">
        <f t="shared" si="308"/>
        <v>0</v>
      </c>
      <c r="AC233" s="80">
        <f t="shared" si="308"/>
        <v>0</v>
      </c>
      <c r="AD233" s="80"/>
      <c r="AE233" s="80">
        <f>+AC233</f>
        <v>0</v>
      </c>
      <c r="AF233" s="140">
        <f t="shared" si="237"/>
        <v>35917.882500000007</v>
      </c>
      <c r="AG233" s="32">
        <f t="shared" si="226"/>
        <v>253203</v>
      </c>
      <c r="AH233" s="101">
        <f t="shared" si="259"/>
        <v>253202.88250000001</v>
      </c>
      <c r="AP233" s="101"/>
      <c r="AQ233" s="101"/>
    </row>
    <row r="234" spans="1:43" ht="15.9" customHeight="1" x14ac:dyDescent="0.3">
      <c r="A234" s="475"/>
      <c r="B234" s="52" t="s">
        <v>42</v>
      </c>
      <c r="C234" s="98">
        <v>39391</v>
      </c>
      <c r="D234" s="54">
        <v>829817</v>
      </c>
      <c r="E234" s="78">
        <v>25</v>
      </c>
      <c r="F234" s="54">
        <v>280602.28279999999</v>
      </c>
      <c r="G234" s="89">
        <f t="shared" ref="G234:G295" si="309">D234-F234</f>
        <v>549214.71720000007</v>
      </c>
      <c r="H234" s="57">
        <f t="shared" si="209"/>
        <v>41491</v>
      </c>
      <c r="I234" s="58">
        <f t="shared" si="210"/>
        <v>2339</v>
      </c>
      <c r="J234" s="100">
        <f>+C234+9131</f>
        <v>48522</v>
      </c>
      <c r="K234" s="60">
        <f t="shared" si="269"/>
        <v>6793</v>
      </c>
      <c r="L234" s="57">
        <v>0</v>
      </c>
      <c r="M234" s="57"/>
      <c r="N234" s="57">
        <f t="shared" ref="N234:AC234" si="310">+ROUND(($G$234-$H$234)*365/$K$234,0)</f>
        <v>27281</v>
      </c>
      <c r="O234" s="57">
        <f t="shared" si="310"/>
        <v>27281</v>
      </c>
      <c r="P234" s="57">
        <f t="shared" si="310"/>
        <v>27281</v>
      </c>
      <c r="Q234" s="57">
        <f t="shared" si="310"/>
        <v>27281</v>
      </c>
      <c r="R234" s="57">
        <f t="shared" si="310"/>
        <v>27281</v>
      </c>
      <c r="S234" s="57">
        <f t="shared" si="310"/>
        <v>27281</v>
      </c>
      <c r="T234" s="57">
        <f t="shared" si="310"/>
        <v>27281</v>
      </c>
      <c r="U234" s="352">
        <f t="shared" si="310"/>
        <v>27281</v>
      </c>
      <c r="V234" s="57">
        <f t="shared" si="310"/>
        <v>27281</v>
      </c>
      <c r="W234" s="57">
        <f t="shared" si="310"/>
        <v>27281</v>
      </c>
      <c r="X234" s="57">
        <f t="shared" si="310"/>
        <v>27281</v>
      </c>
      <c r="Y234" s="57">
        <f t="shared" si="310"/>
        <v>27281</v>
      </c>
      <c r="Z234" s="57">
        <f t="shared" si="310"/>
        <v>27281</v>
      </c>
      <c r="AA234" s="57">
        <f t="shared" si="310"/>
        <v>27281</v>
      </c>
      <c r="AB234" s="57">
        <f t="shared" si="310"/>
        <v>27281</v>
      </c>
      <c r="AC234" s="57">
        <f t="shared" si="310"/>
        <v>27281</v>
      </c>
      <c r="AD234" s="57"/>
      <c r="AE234" s="57">
        <f>ROUND((G234-H234)*(K234-5840)/K234,0)-1</f>
        <v>71228</v>
      </c>
      <c r="AF234" s="140">
        <f t="shared" si="237"/>
        <v>330966.71720000007</v>
      </c>
      <c r="AG234" s="32">
        <f t="shared" si="226"/>
        <v>507724</v>
      </c>
      <c r="AH234" s="101">
        <f t="shared" ref="AH234:AH265" si="311">G234-H234</f>
        <v>507723.71720000007</v>
      </c>
      <c r="AP234" s="101"/>
      <c r="AQ234" s="101"/>
    </row>
    <row r="235" spans="1:43" ht="15.9" customHeight="1" x14ac:dyDescent="0.3">
      <c r="A235" s="475"/>
      <c r="B235" s="52" t="s">
        <v>43</v>
      </c>
      <c r="C235" s="98">
        <v>39417</v>
      </c>
      <c r="D235" s="54">
        <v>1441374</v>
      </c>
      <c r="E235" s="78">
        <v>25</v>
      </c>
      <c r="F235" s="54">
        <v>481996.82160000002</v>
      </c>
      <c r="G235" s="89">
        <f t="shared" si="309"/>
        <v>959377.17839999998</v>
      </c>
      <c r="H235" s="57">
        <f t="shared" ref="H235:H295" si="312">ROUND(D235*5%,0)</f>
        <v>72069</v>
      </c>
      <c r="I235" s="58">
        <f t="shared" ref="I235:I295" si="313">$I$3-C235+1</f>
        <v>2313</v>
      </c>
      <c r="J235" s="100">
        <f t="shared" ref="J235" si="314">+C235+9131</f>
        <v>48548</v>
      </c>
      <c r="K235" s="60">
        <f t="shared" si="269"/>
        <v>6819</v>
      </c>
      <c r="L235" s="57">
        <v>0</v>
      </c>
      <c r="M235" s="57"/>
      <c r="N235" s="57">
        <f t="shared" ref="N235:AC235" si="315">+ROUND(($G$235-$H$235)*365/$K$235,0)</f>
        <v>47495</v>
      </c>
      <c r="O235" s="57">
        <f t="shared" si="315"/>
        <v>47495</v>
      </c>
      <c r="P235" s="57">
        <f t="shared" si="315"/>
        <v>47495</v>
      </c>
      <c r="Q235" s="57">
        <f t="shared" si="315"/>
        <v>47495</v>
      </c>
      <c r="R235" s="57">
        <f t="shared" si="315"/>
        <v>47495</v>
      </c>
      <c r="S235" s="57">
        <f t="shared" si="315"/>
        <v>47495</v>
      </c>
      <c r="T235" s="57">
        <f t="shared" si="315"/>
        <v>47495</v>
      </c>
      <c r="U235" s="352">
        <f t="shared" si="315"/>
        <v>47495</v>
      </c>
      <c r="V235" s="57">
        <f t="shared" si="315"/>
        <v>47495</v>
      </c>
      <c r="W235" s="57">
        <f t="shared" si="315"/>
        <v>47495</v>
      </c>
      <c r="X235" s="57">
        <f t="shared" si="315"/>
        <v>47495</v>
      </c>
      <c r="Y235" s="57">
        <f t="shared" si="315"/>
        <v>47495</v>
      </c>
      <c r="Z235" s="57">
        <f t="shared" si="315"/>
        <v>47495</v>
      </c>
      <c r="AA235" s="57">
        <f t="shared" si="315"/>
        <v>47495</v>
      </c>
      <c r="AB235" s="57">
        <f t="shared" si="315"/>
        <v>47495</v>
      </c>
      <c r="AC235" s="57">
        <f t="shared" si="315"/>
        <v>47495</v>
      </c>
      <c r="AD235" s="57"/>
      <c r="AE235" s="57">
        <f>ROUND((G235-H235)*(K235-5840)/K235,0)-2</f>
        <v>127388</v>
      </c>
      <c r="AF235" s="140">
        <f t="shared" si="237"/>
        <v>579417.17839999998</v>
      </c>
      <c r="AG235" s="32">
        <f t="shared" ref="AG235:AG295" si="316">SUM(N235:AE235)</f>
        <v>887308</v>
      </c>
      <c r="AH235" s="101">
        <f t="shared" si="311"/>
        <v>887308.17839999998</v>
      </c>
      <c r="AP235" s="101"/>
      <c r="AQ235" s="101"/>
    </row>
    <row r="236" spans="1:43" ht="15.9" customHeight="1" x14ac:dyDescent="0.3">
      <c r="A236" s="475"/>
      <c r="B236" s="52" t="s">
        <v>44</v>
      </c>
      <c r="C236" s="98">
        <v>39424</v>
      </c>
      <c r="D236" s="54">
        <v>1552416</v>
      </c>
      <c r="E236" s="78">
        <v>25</v>
      </c>
      <c r="F236" s="54">
        <v>517561.5344</v>
      </c>
      <c r="G236" s="89">
        <f t="shared" si="309"/>
        <v>1034854.4656</v>
      </c>
      <c r="H236" s="57">
        <f t="shared" si="312"/>
        <v>77621</v>
      </c>
      <c r="I236" s="58">
        <f t="shared" si="313"/>
        <v>2306</v>
      </c>
      <c r="J236" s="100">
        <f>+C236+9131</f>
        <v>48555</v>
      </c>
      <c r="K236" s="60">
        <f t="shared" si="269"/>
        <v>6826</v>
      </c>
      <c r="L236" s="57">
        <v>0</v>
      </c>
      <c r="M236" s="57"/>
      <c r="N236" s="57">
        <f t="shared" ref="N236:AC236" si="317">+ROUND(($G$236-$H$236)*365/$K$236,0)</f>
        <v>51185</v>
      </c>
      <c r="O236" s="57">
        <f t="shared" si="317"/>
        <v>51185</v>
      </c>
      <c r="P236" s="57">
        <f t="shared" si="317"/>
        <v>51185</v>
      </c>
      <c r="Q236" s="57">
        <f t="shared" si="317"/>
        <v>51185</v>
      </c>
      <c r="R236" s="57">
        <f t="shared" si="317"/>
        <v>51185</v>
      </c>
      <c r="S236" s="57">
        <f t="shared" si="317"/>
        <v>51185</v>
      </c>
      <c r="T236" s="57">
        <f t="shared" si="317"/>
        <v>51185</v>
      </c>
      <c r="U236" s="352">
        <f t="shared" si="317"/>
        <v>51185</v>
      </c>
      <c r="V236" s="57">
        <f t="shared" si="317"/>
        <v>51185</v>
      </c>
      <c r="W236" s="57">
        <f t="shared" si="317"/>
        <v>51185</v>
      </c>
      <c r="X236" s="57">
        <f t="shared" si="317"/>
        <v>51185</v>
      </c>
      <c r="Y236" s="57">
        <f t="shared" si="317"/>
        <v>51185</v>
      </c>
      <c r="Z236" s="57">
        <f t="shared" si="317"/>
        <v>51185</v>
      </c>
      <c r="AA236" s="57">
        <f t="shared" si="317"/>
        <v>51185</v>
      </c>
      <c r="AB236" s="57">
        <f t="shared" si="317"/>
        <v>51185</v>
      </c>
      <c r="AC236" s="57">
        <f t="shared" si="317"/>
        <v>51185</v>
      </c>
      <c r="AD236" s="57"/>
      <c r="AE236" s="57">
        <f>ROUND((G236-H236)*(K236-5840)/K236,0)+3</f>
        <v>138273</v>
      </c>
      <c r="AF236" s="140">
        <f t="shared" si="237"/>
        <v>625374.4656</v>
      </c>
      <c r="AG236" s="32">
        <f t="shared" si="316"/>
        <v>957233</v>
      </c>
      <c r="AH236" s="101">
        <f t="shared" si="311"/>
        <v>957233.4656</v>
      </c>
      <c r="AP236" s="101"/>
      <c r="AQ236" s="101"/>
    </row>
    <row r="237" spans="1:43" ht="15.9" customHeight="1" x14ac:dyDescent="0.3">
      <c r="A237" s="475"/>
      <c r="B237" s="90" t="s">
        <v>45</v>
      </c>
      <c r="C237" s="98">
        <v>39424</v>
      </c>
      <c r="D237" s="54">
        <v>489389</v>
      </c>
      <c r="E237" s="78">
        <v>15</v>
      </c>
      <c r="F237" s="54">
        <v>146779.99249999999</v>
      </c>
      <c r="G237" s="89">
        <f t="shared" si="309"/>
        <v>342609.00750000001</v>
      </c>
      <c r="H237" s="57">
        <f t="shared" si="312"/>
        <v>24469</v>
      </c>
      <c r="I237" s="58">
        <f t="shared" si="313"/>
        <v>2306</v>
      </c>
      <c r="J237" s="100">
        <f t="shared" ref="J237:J282" si="318">+C237+5478</f>
        <v>44902</v>
      </c>
      <c r="K237" s="60">
        <f t="shared" si="269"/>
        <v>3173</v>
      </c>
      <c r="L237" s="57">
        <v>0</v>
      </c>
      <c r="M237" s="57"/>
      <c r="N237" s="57">
        <f>+ROUND((G237-H237)*365/K237,0)</f>
        <v>36597</v>
      </c>
      <c r="O237" s="80">
        <f t="shared" si="278"/>
        <v>36597</v>
      </c>
      <c r="P237" s="80">
        <f t="shared" ref="P237:U237" si="319">+O237</f>
        <v>36597</v>
      </c>
      <c r="Q237" s="80">
        <f t="shared" si="319"/>
        <v>36597</v>
      </c>
      <c r="R237" s="80">
        <f t="shared" si="319"/>
        <v>36597</v>
      </c>
      <c r="S237" s="80">
        <f t="shared" si="319"/>
        <v>36597</v>
      </c>
      <c r="T237" s="57">
        <f t="shared" si="319"/>
        <v>36597</v>
      </c>
      <c r="U237" s="353">
        <f t="shared" si="319"/>
        <v>36597</v>
      </c>
      <c r="V237" s="57">
        <f>+ROUND((G237-H237)*(K237-2920)/K237,0)-3</f>
        <v>25364</v>
      </c>
      <c r="W237" s="80">
        <v>0</v>
      </c>
      <c r="X237" s="80">
        <f t="shared" ref="X237" si="320">+W237</f>
        <v>0</v>
      </c>
      <c r="Y237" s="80">
        <f t="shared" ref="Y237:AC237" si="321">+X237</f>
        <v>0</v>
      </c>
      <c r="Z237" s="80">
        <f t="shared" si="321"/>
        <v>0</v>
      </c>
      <c r="AA237" s="80">
        <f t="shared" si="321"/>
        <v>0</v>
      </c>
      <c r="AB237" s="80">
        <f t="shared" si="321"/>
        <v>0</v>
      </c>
      <c r="AC237" s="80">
        <f t="shared" si="321"/>
        <v>0</v>
      </c>
      <c r="AD237" s="80"/>
      <c r="AE237" s="80">
        <f>+AC237</f>
        <v>0</v>
      </c>
      <c r="AF237" s="140">
        <f t="shared" si="237"/>
        <v>49833.007500000007</v>
      </c>
      <c r="AG237" s="32">
        <f t="shared" si="316"/>
        <v>318140</v>
      </c>
      <c r="AH237" s="101">
        <f t="shared" si="311"/>
        <v>318140.00750000001</v>
      </c>
      <c r="AP237" s="101"/>
      <c r="AQ237" s="101"/>
    </row>
    <row r="238" spans="1:43" ht="15.9" customHeight="1" x14ac:dyDescent="0.3">
      <c r="A238" s="475"/>
      <c r="B238" s="52" t="s">
        <v>46</v>
      </c>
      <c r="C238" s="98">
        <v>39434</v>
      </c>
      <c r="D238" s="54">
        <v>35888</v>
      </c>
      <c r="E238" s="78">
        <v>15</v>
      </c>
      <c r="F238" s="54">
        <v>10718.09</v>
      </c>
      <c r="G238" s="89">
        <f t="shared" si="309"/>
        <v>25169.91</v>
      </c>
      <c r="H238" s="57">
        <f t="shared" si="312"/>
        <v>1794</v>
      </c>
      <c r="I238" s="58">
        <f t="shared" si="313"/>
        <v>2296</v>
      </c>
      <c r="J238" s="100">
        <f t="shared" si="318"/>
        <v>44912</v>
      </c>
      <c r="K238" s="60">
        <f t="shared" si="269"/>
        <v>3183</v>
      </c>
      <c r="L238" s="57">
        <v>0</v>
      </c>
      <c r="M238" s="57"/>
      <c r="N238" s="57">
        <f>+ROUND((G238-H238)*365/K238,0)</f>
        <v>2681</v>
      </c>
      <c r="O238" s="80">
        <f t="shared" si="278"/>
        <v>2681</v>
      </c>
      <c r="P238" s="80">
        <f t="shared" ref="P238:U238" si="322">+O238</f>
        <v>2681</v>
      </c>
      <c r="Q238" s="80">
        <f t="shared" si="322"/>
        <v>2681</v>
      </c>
      <c r="R238" s="80">
        <f t="shared" si="322"/>
        <v>2681</v>
      </c>
      <c r="S238" s="80">
        <f t="shared" si="322"/>
        <v>2681</v>
      </c>
      <c r="T238" s="57">
        <f t="shared" si="322"/>
        <v>2681</v>
      </c>
      <c r="U238" s="353">
        <f t="shared" si="322"/>
        <v>2681</v>
      </c>
      <c r="V238" s="57">
        <f>+ROUND((G238-H238)*(K238-2920)/K238,0)-3</f>
        <v>1928</v>
      </c>
      <c r="W238" s="80">
        <v>0</v>
      </c>
      <c r="X238" s="80">
        <f t="shared" ref="X238" si="323">+W238</f>
        <v>0</v>
      </c>
      <c r="Y238" s="80">
        <f t="shared" ref="Y238:AC238" si="324">+X238</f>
        <v>0</v>
      </c>
      <c r="Z238" s="80">
        <f t="shared" si="324"/>
        <v>0</v>
      </c>
      <c r="AA238" s="80">
        <f t="shared" si="324"/>
        <v>0</v>
      </c>
      <c r="AB238" s="80">
        <f t="shared" si="324"/>
        <v>0</v>
      </c>
      <c r="AC238" s="80">
        <f t="shared" si="324"/>
        <v>0</v>
      </c>
      <c r="AD238" s="80"/>
      <c r="AE238" s="80">
        <f>+AC238</f>
        <v>0</v>
      </c>
      <c r="AF238" s="140">
        <f t="shared" si="237"/>
        <v>3721.91</v>
      </c>
      <c r="AG238" s="32">
        <f t="shared" si="316"/>
        <v>23376</v>
      </c>
      <c r="AH238" s="101">
        <f t="shared" si="311"/>
        <v>23375.91</v>
      </c>
      <c r="AP238" s="101"/>
      <c r="AQ238" s="101"/>
    </row>
    <row r="239" spans="1:43" ht="15.9" customHeight="1" x14ac:dyDescent="0.3">
      <c r="A239" s="475"/>
      <c r="B239" s="52" t="s">
        <v>47</v>
      </c>
      <c r="C239" s="98">
        <v>39440</v>
      </c>
      <c r="D239" s="54">
        <v>156415</v>
      </c>
      <c r="E239" s="78">
        <v>15</v>
      </c>
      <c r="F239" s="54">
        <v>46588.817499999997</v>
      </c>
      <c r="G239" s="89">
        <f t="shared" si="309"/>
        <v>109826.1825</v>
      </c>
      <c r="H239" s="57">
        <f t="shared" si="312"/>
        <v>7821</v>
      </c>
      <c r="I239" s="58">
        <f t="shared" si="313"/>
        <v>2290</v>
      </c>
      <c r="J239" s="100">
        <f t="shared" si="318"/>
        <v>44918</v>
      </c>
      <c r="K239" s="60">
        <f t="shared" si="269"/>
        <v>3189</v>
      </c>
      <c r="L239" s="57">
        <v>0</v>
      </c>
      <c r="M239" s="57"/>
      <c r="N239" s="57">
        <f>+ROUND((G239-H239)*365/K239,0)</f>
        <v>11675</v>
      </c>
      <c r="O239" s="80">
        <f t="shared" si="278"/>
        <v>11675</v>
      </c>
      <c r="P239" s="80">
        <f t="shared" ref="P239:U239" si="325">+O239</f>
        <v>11675</v>
      </c>
      <c r="Q239" s="80">
        <f t="shared" si="325"/>
        <v>11675</v>
      </c>
      <c r="R239" s="80">
        <f t="shared" si="325"/>
        <v>11675</v>
      </c>
      <c r="S239" s="80">
        <f t="shared" si="325"/>
        <v>11675</v>
      </c>
      <c r="T239" s="57">
        <f t="shared" si="325"/>
        <v>11675</v>
      </c>
      <c r="U239" s="353">
        <f t="shared" si="325"/>
        <v>11675</v>
      </c>
      <c r="V239" s="57">
        <f>+ROUND((G239-H239)*(K239-2920)/K239,0)+1</f>
        <v>8605</v>
      </c>
      <c r="W239" s="80">
        <v>0</v>
      </c>
      <c r="X239" s="80">
        <f t="shared" ref="X239" si="326">+W239</f>
        <v>0</v>
      </c>
      <c r="Y239" s="80">
        <f t="shared" ref="Y239:AC239" si="327">+X239</f>
        <v>0</v>
      </c>
      <c r="Z239" s="80">
        <f t="shared" si="327"/>
        <v>0</v>
      </c>
      <c r="AA239" s="80">
        <f t="shared" si="327"/>
        <v>0</v>
      </c>
      <c r="AB239" s="80">
        <f t="shared" si="327"/>
        <v>0</v>
      </c>
      <c r="AC239" s="80">
        <f t="shared" si="327"/>
        <v>0</v>
      </c>
      <c r="AD239" s="80"/>
      <c r="AE239" s="80">
        <f>+AC239</f>
        <v>0</v>
      </c>
      <c r="AF239" s="140">
        <f t="shared" si="237"/>
        <v>16426.182499999995</v>
      </c>
      <c r="AG239" s="32">
        <f t="shared" si="316"/>
        <v>102005</v>
      </c>
      <c r="AH239" s="101">
        <f t="shared" si="311"/>
        <v>102005.1825</v>
      </c>
      <c r="AP239" s="101"/>
      <c r="AQ239" s="101"/>
    </row>
    <row r="240" spans="1:43" ht="15.9" customHeight="1" x14ac:dyDescent="0.3">
      <c r="A240" s="475"/>
      <c r="B240" s="52" t="s">
        <v>48</v>
      </c>
      <c r="C240" s="98">
        <v>39443</v>
      </c>
      <c r="D240" s="54">
        <v>232862</v>
      </c>
      <c r="E240" s="78">
        <v>25</v>
      </c>
      <c r="F240" s="54">
        <v>76995.290800000002</v>
      </c>
      <c r="G240" s="89">
        <f t="shared" si="309"/>
        <v>155866.70919999998</v>
      </c>
      <c r="H240" s="57">
        <f t="shared" si="312"/>
        <v>11643</v>
      </c>
      <c r="I240" s="58">
        <f t="shared" si="313"/>
        <v>2287</v>
      </c>
      <c r="J240" s="100">
        <f t="shared" ref="J240:J242" si="328">+C240+9131</f>
        <v>48574</v>
      </c>
      <c r="K240" s="60">
        <f t="shared" si="269"/>
        <v>6845</v>
      </c>
      <c r="L240" s="57">
        <v>0</v>
      </c>
      <c r="M240" s="57"/>
      <c r="N240" s="57">
        <f t="shared" ref="N240:AC240" si="329">+ROUND(($G$240-$H$240)*365/$K$240,0)</f>
        <v>7691</v>
      </c>
      <c r="O240" s="57">
        <f t="shared" si="329"/>
        <v>7691</v>
      </c>
      <c r="P240" s="57">
        <f t="shared" si="329"/>
        <v>7691</v>
      </c>
      <c r="Q240" s="57">
        <f t="shared" si="329"/>
        <v>7691</v>
      </c>
      <c r="R240" s="57">
        <f t="shared" si="329"/>
        <v>7691</v>
      </c>
      <c r="S240" s="57">
        <f t="shared" si="329"/>
        <v>7691</v>
      </c>
      <c r="T240" s="57">
        <f t="shared" si="329"/>
        <v>7691</v>
      </c>
      <c r="U240" s="352">
        <f t="shared" si="329"/>
        <v>7691</v>
      </c>
      <c r="V240" s="57">
        <f t="shared" si="329"/>
        <v>7691</v>
      </c>
      <c r="W240" s="57">
        <f t="shared" si="329"/>
        <v>7691</v>
      </c>
      <c r="X240" s="57">
        <f t="shared" si="329"/>
        <v>7691</v>
      </c>
      <c r="Y240" s="57">
        <f t="shared" si="329"/>
        <v>7691</v>
      </c>
      <c r="Z240" s="57">
        <f t="shared" si="329"/>
        <v>7691</v>
      </c>
      <c r="AA240" s="57">
        <f t="shared" si="329"/>
        <v>7691</v>
      </c>
      <c r="AB240" s="57">
        <f t="shared" si="329"/>
        <v>7691</v>
      </c>
      <c r="AC240" s="57">
        <f t="shared" si="329"/>
        <v>7691</v>
      </c>
      <c r="AD240" s="57"/>
      <c r="AE240" s="57">
        <f>ROUND((G240-H240)*(K240-5840)/K240,0)-7</f>
        <v>21168</v>
      </c>
      <c r="AF240" s="140">
        <f t="shared" si="237"/>
        <v>94338.709199999983</v>
      </c>
      <c r="AG240" s="32">
        <f t="shared" si="316"/>
        <v>144224</v>
      </c>
      <c r="AH240" s="101">
        <f t="shared" si="311"/>
        <v>144223.70919999998</v>
      </c>
      <c r="AP240" s="101"/>
      <c r="AQ240" s="101"/>
    </row>
    <row r="241" spans="1:43" ht="15.9" customHeight="1" x14ac:dyDescent="0.3">
      <c r="A241" s="475"/>
      <c r="B241" s="52" t="s">
        <v>49</v>
      </c>
      <c r="C241" s="98">
        <v>39458</v>
      </c>
      <c r="D241" s="54">
        <v>473693</v>
      </c>
      <c r="E241" s="78">
        <v>15</v>
      </c>
      <c r="F241" s="54">
        <v>139980.85249999998</v>
      </c>
      <c r="G241" s="89">
        <f t="shared" si="309"/>
        <v>333712.14750000002</v>
      </c>
      <c r="H241" s="57">
        <f t="shared" si="312"/>
        <v>23685</v>
      </c>
      <c r="I241" s="58">
        <f t="shared" si="313"/>
        <v>2272</v>
      </c>
      <c r="J241" s="100">
        <f t="shared" si="318"/>
        <v>44936</v>
      </c>
      <c r="K241" s="60">
        <f t="shared" si="269"/>
        <v>3207</v>
      </c>
      <c r="L241" s="57">
        <v>0</v>
      </c>
      <c r="M241" s="57"/>
      <c r="N241" s="57">
        <f>+ROUND((G241-H241)*365/K241,0)</f>
        <v>35285</v>
      </c>
      <c r="O241" s="80">
        <f t="shared" si="278"/>
        <v>35285</v>
      </c>
      <c r="P241" s="80">
        <f t="shared" ref="P241:U241" si="330">+O241</f>
        <v>35285</v>
      </c>
      <c r="Q241" s="80">
        <f t="shared" si="330"/>
        <v>35285</v>
      </c>
      <c r="R241" s="80">
        <f t="shared" si="330"/>
        <v>35285</v>
      </c>
      <c r="S241" s="80">
        <f t="shared" si="330"/>
        <v>35285</v>
      </c>
      <c r="T241" s="57">
        <f t="shared" si="330"/>
        <v>35285</v>
      </c>
      <c r="U241" s="353">
        <f t="shared" si="330"/>
        <v>35285</v>
      </c>
      <c r="V241" s="57">
        <f>+ROUND((G241-H241)*(K241-2920)/K241,0)+2</f>
        <v>27747</v>
      </c>
      <c r="W241" s="80">
        <v>0</v>
      </c>
      <c r="X241" s="80">
        <f t="shared" ref="X241" si="331">+W241</f>
        <v>0</v>
      </c>
      <c r="Y241" s="80">
        <f t="shared" ref="Y241:AC241" si="332">+X241</f>
        <v>0</v>
      </c>
      <c r="Z241" s="80">
        <f t="shared" si="332"/>
        <v>0</v>
      </c>
      <c r="AA241" s="80">
        <f t="shared" si="332"/>
        <v>0</v>
      </c>
      <c r="AB241" s="80">
        <f t="shared" si="332"/>
        <v>0</v>
      </c>
      <c r="AC241" s="80">
        <f t="shared" si="332"/>
        <v>0</v>
      </c>
      <c r="AD241" s="80"/>
      <c r="AE241" s="80">
        <f>+AC241</f>
        <v>0</v>
      </c>
      <c r="AF241" s="140">
        <f t="shared" si="237"/>
        <v>51432.147500000021</v>
      </c>
      <c r="AG241" s="32">
        <f t="shared" si="316"/>
        <v>310027</v>
      </c>
      <c r="AH241" s="101">
        <f t="shared" si="311"/>
        <v>310027.14750000002</v>
      </c>
      <c r="AP241" s="101"/>
      <c r="AQ241" s="101"/>
    </row>
    <row r="242" spans="1:43" ht="15.9" customHeight="1" x14ac:dyDescent="0.3">
      <c r="A242" s="475"/>
      <c r="B242" s="52" t="s">
        <v>50</v>
      </c>
      <c r="C242" s="98">
        <v>39471</v>
      </c>
      <c r="D242" s="54">
        <v>1795628</v>
      </c>
      <c r="E242" s="78">
        <v>25</v>
      </c>
      <c r="F242" s="54">
        <v>586469.29520000005</v>
      </c>
      <c r="G242" s="89">
        <f t="shared" si="309"/>
        <v>1209158.7047999999</v>
      </c>
      <c r="H242" s="57">
        <f t="shared" si="312"/>
        <v>89781</v>
      </c>
      <c r="I242" s="58">
        <f t="shared" si="313"/>
        <v>2259</v>
      </c>
      <c r="J242" s="100">
        <f t="shared" si="328"/>
        <v>48602</v>
      </c>
      <c r="K242" s="60">
        <f t="shared" si="269"/>
        <v>6873</v>
      </c>
      <c r="L242" s="57">
        <v>0</v>
      </c>
      <c r="M242" s="57"/>
      <c r="N242" s="57">
        <f t="shared" ref="N242:AC242" si="333">+ROUND(($G$242-$H$242)*365/$K$242,0)</f>
        <v>59446</v>
      </c>
      <c r="O242" s="57">
        <f t="shared" si="333"/>
        <v>59446</v>
      </c>
      <c r="P242" s="57">
        <f t="shared" si="333"/>
        <v>59446</v>
      </c>
      <c r="Q242" s="57">
        <f t="shared" si="333"/>
        <v>59446</v>
      </c>
      <c r="R242" s="57">
        <f t="shared" si="333"/>
        <v>59446</v>
      </c>
      <c r="S242" s="57">
        <f t="shared" si="333"/>
        <v>59446</v>
      </c>
      <c r="T242" s="57">
        <f t="shared" si="333"/>
        <v>59446</v>
      </c>
      <c r="U242" s="352">
        <f t="shared" si="333"/>
        <v>59446</v>
      </c>
      <c r="V242" s="57">
        <f t="shared" si="333"/>
        <v>59446</v>
      </c>
      <c r="W242" s="57">
        <f t="shared" si="333"/>
        <v>59446</v>
      </c>
      <c r="X242" s="57">
        <f t="shared" si="333"/>
        <v>59446</v>
      </c>
      <c r="Y242" s="57">
        <f t="shared" si="333"/>
        <v>59446</v>
      </c>
      <c r="Z242" s="57">
        <f t="shared" si="333"/>
        <v>59446</v>
      </c>
      <c r="AA242" s="57">
        <f t="shared" si="333"/>
        <v>59446</v>
      </c>
      <c r="AB242" s="57">
        <f t="shared" si="333"/>
        <v>59446</v>
      </c>
      <c r="AC242" s="57">
        <f t="shared" si="333"/>
        <v>59446</v>
      </c>
      <c r="AD242" s="57"/>
      <c r="AE242" s="57">
        <f>ROUND((G242-H242)*(K242-5840)/K242,0)+1</f>
        <v>168242</v>
      </c>
      <c r="AF242" s="140">
        <f t="shared" si="237"/>
        <v>733590.70479999995</v>
      </c>
      <c r="AG242" s="32">
        <f t="shared" si="316"/>
        <v>1119378</v>
      </c>
      <c r="AH242" s="101">
        <f t="shared" si="311"/>
        <v>1119377.7047999999</v>
      </c>
      <c r="AP242" s="101"/>
      <c r="AQ242" s="101"/>
    </row>
    <row r="243" spans="1:43" ht="15.9" customHeight="1" x14ac:dyDescent="0.3">
      <c r="A243" s="475"/>
      <c r="B243" s="52" t="s">
        <v>51</v>
      </c>
      <c r="C243" s="98">
        <v>39636</v>
      </c>
      <c r="D243" s="54">
        <v>1101862</v>
      </c>
      <c r="E243" s="78">
        <v>15</v>
      </c>
      <c r="F243" s="54">
        <v>300120.20999999996</v>
      </c>
      <c r="G243" s="89">
        <f t="shared" si="309"/>
        <v>801741.79</v>
      </c>
      <c r="H243" s="57">
        <f t="shared" si="312"/>
        <v>55093</v>
      </c>
      <c r="I243" s="58">
        <f t="shared" si="313"/>
        <v>2094</v>
      </c>
      <c r="J243" s="100">
        <f>+C243+5477</f>
        <v>45113</v>
      </c>
      <c r="K243" s="60">
        <f t="shared" si="269"/>
        <v>3384</v>
      </c>
      <c r="L243" s="57">
        <v>0</v>
      </c>
      <c r="M243" s="57"/>
      <c r="N243" s="57">
        <f>+ROUND((G243-H243)*365/K243,0)</f>
        <v>80534</v>
      </c>
      <c r="O243" s="80">
        <f t="shared" si="278"/>
        <v>80534</v>
      </c>
      <c r="P243" s="80">
        <f t="shared" ref="P243:AC243" si="334">+O243</f>
        <v>80534</v>
      </c>
      <c r="Q243" s="80">
        <f t="shared" si="334"/>
        <v>80534</v>
      </c>
      <c r="R243" s="80">
        <f t="shared" si="334"/>
        <v>80534</v>
      </c>
      <c r="S243" s="80">
        <f t="shared" si="334"/>
        <v>80534</v>
      </c>
      <c r="T243" s="57">
        <f t="shared" si="334"/>
        <v>80534</v>
      </c>
      <c r="U243" s="353">
        <f t="shared" si="334"/>
        <v>80534</v>
      </c>
      <c r="V243" s="80">
        <f t="shared" si="334"/>
        <v>80534</v>
      </c>
      <c r="W243" s="57">
        <f>+ROUND((G243-H243)*(K243-3285)/K243,0)+1</f>
        <v>21844</v>
      </c>
      <c r="X243" s="80">
        <v>0</v>
      </c>
      <c r="Y243" s="80">
        <f t="shared" si="334"/>
        <v>0</v>
      </c>
      <c r="Z243" s="80">
        <f t="shared" si="334"/>
        <v>0</v>
      </c>
      <c r="AA243" s="80">
        <f t="shared" si="334"/>
        <v>0</v>
      </c>
      <c r="AB243" s="80">
        <f t="shared" si="334"/>
        <v>0</v>
      </c>
      <c r="AC243" s="80">
        <f t="shared" si="334"/>
        <v>0</v>
      </c>
      <c r="AD243" s="80"/>
      <c r="AE243" s="80">
        <f>+AC243</f>
        <v>0</v>
      </c>
      <c r="AF243" s="140">
        <f t="shared" si="237"/>
        <v>157469.79000000004</v>
      </c>
      <c r="AG243" s="32">
        <f t="shared" si="316"/>
        <v>746650</v>
      </c>
      <c r="AH243" s="101">
        <f t="shared" si="311"/>
        <v>746648.79</v>
      </c>
      <c r="AP243" s="101"/>
      <c r="AQ243" s="101"/>
    </row>
    <row r="244" spans="1:43" ht="15.9" customHeight="1" x14ac:dyDescent="0.3">
      <c r="A244" s="475"/>
      <c r="B244" s="52" t="s">
        <v>52</v>
      </c>
      <c r="C244" s="98">
        <v>39636</v>
      </c>
      <c r="D244" s="54">
        <v>4471788</v>
      </c>
      <c r="E244" s="78">
        <v>25</v>
      </c>
      <c r="F244" s="54">
        <v>1353914.0728</v>
      </c>
      <c r="G244" s="89">
        <f t="shared" si="309"/>
        <v>3117873.9271999998</v>
      </c>
      <c r="H244" s="57">
        <f t="shared" si="312"/>
        <v>223589</v>
      </c>
      <c r="I244" s="58">
        <f t="shared" si="313"/>
        <v>2094</v>
      </c>
      <c r="J244" s="100">
        <f>+C244+9130</f>
        <v>48766</v>
      </c>
      <c r="K244" s="60">
        <f t="shared" si="269"/>
        <v>7037</v>
      </c>
      <c r="L244" s="57">
        <v>0</v>
      </c>
      <c r="M244" s="57"/>
      <c r="N244" s="57">
        <f t="shared" ref="N244:AC244" si="335">+ROUND(($G$244-$H$244)*365/$K$244,0)</f>
        <v>150123</v>
      </c>
      <c r="O244" s="57">
        <f t="shared" si="335"/>
        <v>150123</v>
      </c>
      <c r="P244" s="57">
        <f t="shared" si="335"/>
        <v>150123</v>
      </c>
      <c r="Q244" s="57">
        <f t="shared" si="335"/>
        <v>150123</v>
      </c>
      <c r="R244" s="57">
        <f t="shared" si="335"/>
        <v>150123</v>
      </c>
      <c r="S244" s="57">
        <f t="shared" si="335"/>
        <v>150123</v>
      </c>
      <c r="T244" s="57">
        <f t="shared" si="335"/>
        <v>150123</v>
      </c>
      <c r="U244" s="352">
        <f t="shared" si="335"/>
        <v>150123</v>
      </c>
      <c r="V244" s="57">
        <f t="shared" si="335"/>
        <v>150123</v>
      </c>
      <c r="W244" s="57">
        <f t="shared" si="335"/>
        <v>150123</v>
      </c>
      <c r="X244" s="57">
        <f t="shared" si="335"/>
        <v>150123</v>
      </c>
      <c r="Y244" s="57">
        <f t="shared" si="335"/>
        <v>150123</v>
      </c>
      <c r="Z244" s="57">
        <f t="shared" si="335"/>
        <v>150123</v>
      </c>
      <c r="AA244" s="57">
        <f t="shared" si="335"/>
        <v>150123</v>
      </c>
      <c r="AB244" s="57">
        <f t="shared" si="335"/>
        <v>150123</v>
      </c>
      <c r="AC244" s="57">
        <f t="shared" si="335"/>
        <v>150123</v>
      </c>
      <c r="AD244" s="57"/>
      <c r="AE244" s="57">
        <f>ROUND((G244-H244)*(K244-5840)/K244,0)-3</f>
        <v>492317</v>
      </c>
      <c r="AF244" s="140">
        <f t="shared" si="237"/>
        <v>1916889.9271999998</v>
      </c>
      <c r="AG244" s="32">
        <f t="shared" si="316"/>
        <v>2894285</v>
      </c>
      <c r="AH244" s="101">
        <f t="shared" si="311"/>
        <v>2894284.9271999998</v>
      </c>
      <c r="AP244" s="101"/>
      <c r="AQ244" s="101"/>
    </row>
    <row r="245" spans="1:43" ht="15.9" customHeight="1" x14ac:dyDescent="0.3">
      <c r="A245" s="475"/>
      <c r="B245" s="52" t="s">
        <v>53</v>
      </c>
      <c r="C245" s="98">
        <v>40116</v>
      </c>
      <c r="D245" s="54">
        <v>200000</v>
      </c>
      <c r="E245" s="78">
        <v>25</v>
      </c>
      <c r="F245" s="54">
        <v>46666.520547945205</v>
      </c>
      <c r="G245" s="89">
        <f t="shared" si="309"/>
        <v>153333.4794520548</v>
      </c>
      <c r="H245" s="57">
        <f t="shared" si="312"/>
        <v>10000</v>
      </c>
      <c r="I245" s="58">
        <f t="shared" si="313"/>
        <v>1614</v>
      </c>
      <c r="J245" s="100">
        <f>+C245+9130</f>
        <v>49246</v>
      </c>
      <c r="K245" s="60">
        <f t="shared" si="269"/>
        <v>7517</v>
      </c>
      <c r="L245" s="57">
        <v>0</v>
      </c>
      <c r="M245" s="57"/>
      <c r="N245" s="57">
        <f t="shared" ref="N245:AC245" si="336">+ROUND(($G$245-$H$245)*365/$K$245,0)</f>
        <v>6960</v>
      </c>
      <c r="O245" s="57">
        <f t="shared" si="336"/>
        <v>6960</v>
      </c>
      <c r="P245" s="57">
        <f t="shared" si="336"/>
        <v>6960</v>
      </c>
      <c r="Q245" s="57">
        <f t="shared" si="336"/>
        <v>6960</v>
      </c>
      <c r="R245" s="57">
        <f t="shared" si="336"/>
        <v>6960</v>
      </c>
      <c r="S245" s="57">
        <f t="shared" si="336"/>
        <v>6960</v>
      </c>
      <c r="T245" s="57">
        <f t="shared" si="336"/>
        <v>6960</v>
      </c>
      <c r="U245" s="352">
        <f t="shared" si="336"/>
        <v>6960</v>
      </c>
      <c r="V245" s="57">
        <f t="shared" si="336"/>
        <v>6960</v>
      </c>
      <c r="W245" s="57">
        <f t="shared" si="336"/>
        <v>6960</v>
      </c>
      <c r="X245" s="57">
        <f t="shared" si="336"/>
        <v>6960</v>
      </c>
      <c r="Y245" s="57">
        <f t="shared" si="336"/>
        <v>6960</v>
      </c>
      <c r="Z245" s="57">
        <f t="shared" si="336"/>
        <v>6960</v>
      </c>
      <c r="AA245" s="57">
        <f t="shared" si="336"/>
        <v>6960</v>
      </c>
      <c r="AB245" s="57">
        <f t="shared" si="336"/>
        <v>6960</v>
      </c>
      <c r="AC245" s="57">
        <f t="shared" si="336"/>
        <v>6960</v>
      </c>
      <c r="AD245" s="57"/>
      <c r="AE245" s="57">
        <f>ROUND((G245-H245)*(K245-5840)/K245,0)-4</f>
        <v>31973</v>
      </c>
      <c r="AF245" s="140">
        <f t="shared" si="237"/>
        <v>97653.479452054802</v>
      </c>
      <c r="AG245" s="32">
        <f t="shared" si="316"/>
        <v>143333</v>
      </c>
      <c r="AH245" s="101">
        <f t="shared" si="311"/>
        <v>143333.4794520548</v>
      </c>
      <c r="AP245" s="101"/>
      <c r="AQ245" s="101"/>
    </row>
    <row r="246" spans="1:43" ht="15.9" customHeight="1" x14ac:dyDescent="0.3">
      <c r="A246" s="475"/>
      <c r="B246" s="52" t="s">
        <v>54</v>
      </c>
      <c r="C246" s="98">
        <v>39568</v>
      </c>
      <c r="D246" s="54">
        <v>15080</v>
      </c>
      <c r="E246" s="78">
        <v>15</v>
      </c>
      <c r="F246" s="54">
        <v>4239.99</v>
      </c>
      <c r="G246" s="89">
        <f t="shared" si="309"/>
        <v>10840.01</v>
      </c>
      <c r="H246" s="57">
        <f t="shared" si="312"/>
        <v>754</v>
      </c>
      <c r="I246" s="58">
        <f t="shared" si="313"/>
        <v>2162</v>
      </c>
      <c r="J246" s="100">
        <f>+C246+5477</f>
        <v>45045</v>
      </c>
      <c r="K246" s="60">
        <f t="shared" si="269"/>
        <v>3316</v>
      </c>
      <c r="L246" s="57">
        <v>0</v>
      </c>
      <c r="M246" s="57"/>
      <c r="N246" s="57">
        <f>+ROUND((G246-H246)*365/K246,0)</f>
        <v>1110</v>
      </c>
      <c r="O246" s="80">
        <f t="shared" si="278"/>
        <v>1110</v>
      </c>
      <c r="P246" s="80">
        <f t="shared" ref="P246:V246" si="337">+O246</f>
        <v>1110</v>
      </c>
      <c r="Q246" s="80">
        <f t="shared" si="337"/>
        <v>1110</v>
      </c>
      <c r="R246" s="80">
        <f t="shared" si="337"/>
        <v>1110</v>
      </c>
      <c r="S246" s="80">
        <f t="shared" si="337"/>
        <v>1110</v>
      </c>
      <c r="T246" s="57">
        <f t="shared" si="337"/>
        <v>1110</v>
      </c>
      <c r="U246" s="353">
        <f t="shared" si="337"/>
        <v>1110</v>
      </c>
      <c r="V246" s="80">
        <f t="shared" si="337"/>
        <v>1110</v>
      </c>
      <c r="W246" s="57">
        <f>+ROUND((G246-H246)*(K246-3285)/K246,0)-1</f>
        <v>93</v>
      </c>
      <c r="X246" s="80">
        <v>0</v>
      </c>
      <c r="Y246" s="80">
        <f t="shared" ref="Y246:AC246" si="338">+X246</f>
        <v>0</v>
      </c>
      <c r="Z246" s="80">
        <f t="shared" si="338"/>
        <v>0</v>
      </c>
      <c r="AA246" s="80">
        <f t="shared" si="338"/>
        <v>0</v>
      </c>
      <c r="AB246" s="80">
        <f t="shared" si="338"/>
        <v>0</v>
      </c>
      <c r="AC246" s="80">
        <f t="shared" si="338"/>
        <v>0</v>
      </c>
      <c r="AD246" s="80"/>
      <c r="AE246" s="80">
        <f>+AC246</f>
        <v>0</v>
      </c>
      <c r="AF246" s="140">
        <f t="shared" si="237"/>
        <v>1960.0100000000002</v>
      </c>
      <c r="AG246" s="32">
        <f t="shared" si="316"/>
        <v>10083</v>
      </c>
      <c r="AH246" s="101">
        <f t="shared" si="311"/>
        <v>10086.01</v>
      </c>
      <c r="AP246" s="101"/>
      <c r="AQ246" s="101"/>
    </row>
    <row r="247" spans="1:43" ht="15.9" customHeight="1" x14ac:dyDescent="0.3">
      <c r="A247" s="475"/>
      <c r="B247" s="52" t="s">
        <v>55</v>
      </c>
      <c r="C247" s="98">
        <v>39617</v>
      </c>
      <c r="D247" s="54">
        <v>96000</v>
      </c>
      <c r="E247" s="78">
        <v>25</v>
      </c>
      <c r="F247" s="54">
        <v>29330.2</v>
      </c>
      <c r="G247" s="89">
        <f t="shared" si="309"/>
        <v>66669.8</v>
      </c>
      <c r="H247" s="57">
        <f t="shared" si="312"/>
        <v>4800</v>
      </c>
      <c r="I247" s="58">
        <f t="shared" si="313"/>
        <v>2113</v>
      </c>
      <c r="J247" s="100">
        <f t="shared" ref="J247:J258" si="339">+C247+9130</f>
        <v>48747</v>
      </c>
      <c r="K247" s="60">
        <f t="shared" si="269"/>
        <v>7018</v>
      </c>
      <c r="L247" s="57">
        <v>0</v>
      </c>
      <c r="M247" s="57"/>
      <c r="N247" s="57">
        <f t="shared" ref="N247:AC247" si="340">+ROUND(($G$247-$H$247)*365/$K$247,0)</f>
        <v>3218</v>
      </c>
      <c r="O247" s="57">
        <f t="shared" si="340"/>
        <v>3218</v>
      </c>
      <c r="P247" s="57">
        <f t="shared" si="340"/>
        <v>3218</v>
      </c>
      <c r="Q247" s="57">
        <f t="shared" si="340"/>
        <v>3218</v>
      </c>
      <c r="R247" s="57">
        <f t="shared" si="340"/>
        <v>3218</v>
      </c>
      <c r="S247" s="57">
        <f t="shared" si="340"/>
        <v>3218</v>
      </c>
      <c r="T247" s="57">
        <f t="shared" si="340"/>
        <v>3218</v>
      </c>
      <c r="U247" s="352">
        <f t="shared" si="340"/>
        <v>3218</v>
      </c>
      <c r="V247" s="57">
        <f t="shared" si="340"/>
        <v>3218</v>
      </c>
      <c r="W247" s="57">
        <f t="shared" si="340"/>
        <v>3218</v>
      </c>
      <c r="X247" s="57">
        <f t="shared" si="340"/>
        <v>3218</v>
      </c>
      <c r="Y247" s="57">
        <f t="shared" si="340"/>
        <v>3218</v>
      </c>
      <c r="Z247" s="57">
        <f t="shared" si="340"/>
        <v>3218</v>
      </c>
      <c r="AA247" s="57">
        <f t="shared" si="340"/>
        <v>3218</v>
      </c>
      <c r="AB247" s="57">
        <f t="shared" si="340"/>
        <v>3218</v>
      </c>
      <c r="AC247" s="57">
        <f t="shared" si="340"/>
        <v>3218</v>
      </c>
      <c r="AD247" s="57"/>
      <c r="AE247" s="57">
        <f>ROUND((G247-H247)*(K247-5840)/K247,0)-3</f>
        <v>10382</v>
      </c>
      <c r="AF247" s="140">
        <f t="shared" si="237"/>
        <v>40925.800000000003</v>
      </c>
      <c r="AG247" s="32">
        <f t="shared" si="316"/>
        <v>61870</v>
      </c>
      <c r="AH247" s="101">
        <f t="shared" si="311"/>
        <v>61869.8</v>
      </c>
      <c r="AP247" s="101"/>
      <c r="AQ247" s="101"/>
    </row>
    <row r="248" spans="1:43" ht="15.9" customHeight="1" x14ac:dyDescent="0.3">
      <c r="A248" s="475"/>
      <c r="B248" s="52" t="s">
        <v>14</v>
      </c>
      <c r="C248" s="98">
        <v>39870</v>
      </c>
      <c r="D248" s="54">
        <v>21533858</v>
      </c>
      <c r="E248" s="78">
        <v>25</v>
      </c>
      <c r="F248" s="54">
        <v>5790850.5848000003</v>
      </c>
      <c r="G248" s="89">
        <f t="shared" si="309"/>
        <v>15743007.415199999</v>
      </c>
      <c r="H248" s="57">
        <f t="shared" si="312"/>
        <v>1076693</v>
      </c>
      <c r="I248" s="58">
        <f t="shared" si="313"/>
        <v>1860</v>
      </c>
      <c r="J248" s="100">
        <f t="shared" si="339"/>
        <v>49000</v>
      </c>
      <c r="K248" s="60">
        <f t="shared" si="269"/>
        <v>7271</v>
      </c>
      <c r="L248" s="57">
        <v>0</v>
      </c>
      <c r="M248" s="57"/>
      <c r="N248" s="57">
        <f t="shared" ref="N248:AC248" si="341">+ROUND(($G$248-$H$248)*365/$K$248,0)</f>
        <v>736241</v>
      </c>
      <c r="O248" s="57">
        <f t="shared" si="341"/>
        <v>736241</v>
      </c>
      <c r="P248" s="57">
        <f t="shared" si="341"/>
        <v>736241</v>
      </c>
      <c r="Q248" s="57">
        <f t="shared" si="341"/>
        <v>736241</v>
      </c>
      <c r="R248" s="57">
        <f t="shared" si="341"/>
        <v>736241</v>
      </c>
      <c r="S248" s="57">
        <f t="shared" si="341"/>
        <v>736241</v>
      </c>
      <c r="T248" s="57">
        <f t="shared" si="341"/>
        <v>736241</v>
      </c>
      <c r="U248" s="352">
        <f t="shared" si="341"/>
        <v>736241</v>
      </c>
      <c r="V248" s="57">
        <f t="shared" si="341"/>
        <v>736241</v>
      </c>
      <c r="W248" s="57">
        <f t="shared" si="341"/>
        <v>736241</v>
      </c>
      <c r="X248" s="57">
        <f t="shared" si="341"/>
        <v>736241</v>
      </c>
      <c r="Y248" s="57">
        <f t="shared" si="341"/>
        <v>736241</v>
      </c>
      <c r="Z248" s="57">
        <f t="shared" si="341"/>
        <v>736241</v>
      </c>
      <c r="AA248" s="57">
        <f t="shared" si="341"/>
        <v>736241</v>
      </c>
      <c r="AB248" s="57">
        <f t="shared" si="341"/>
        <v>736241</v>
      </c>
      <c r="AC248" s="57">
        <f t="shared" si="341"/>
        <v>736241</v>
      </c>
      <c r="AD248" s="57"/>
      <c r="AE248" s="57">
        <f>ROUND((G248-H248)*(K248-5840)/K248,0)-8</f>
        <v>2886458</v>
      </c>
      <c r="AF248" s="140">
        <f t="shared" si="237"/>
        <v>9853079.4151999988</v>
      </c>
      <c r="AG248" s="32">
        <f t="shared" si="316"/>
        <v>14666314</v>
      </c>
      <c r="AH248" s="101">
        <f t="shared" si="311"/>
        <v>14666314.415199999</v>
      </c>
      <c r="AP248" s="101"/>
      <c r="AQ248" s="101"/>
    </row>
    <row r="249" spans="1:43" ht="15.9" customHeight="1" x14ac:dyDescent="0.3">
      <c r="A249" s="475"/>
      <c r="B249" s="52" t="s">
        <v>50</v>
      </c>
      <c r="C249" s="98">
        <v>39655</v>
      </c>
      <c r="D249" s="54">
        <v>859223</v>
      </c>
      <c r="E249" s="78">
        <v>25</v>
      </c>
      <c r="F249" s="54">
        <v>257783.92879999999</v>
      </c>
      <c r="G249" s="89">
        <f t="shared" si="309"/>
        <v>601439.07120000001</v>
      </c>
      <c r="H249" s="57">
        <f t="shared" si="312"/>
        <v>42961</v>
      </c>
      <c r="I249" s="58">
        <f t="shared" si="313"/>
        <v>2075</v>
      </c>
      <c r="J249" s="100">
        <f t="shared" si="339"/>
        <v>48785</v>
      </c>
      <c r="K249" s="60">
        <f t="shared" si="269"/>
        <v>7056</v>
      </c>
      <c r="L249" s="57">
        <v>0</v>
      </c>
      <c r="M249" s="57"/>
      <c r="N249" s="57">
        <f t="shared" ref="N249:AC249" si="342">+ROUND(($G$249-$H$249)*365/$K$249,0)</f>
        <v>28890</v>
      </c>
      <c r="O249" s="57">
        <f t="shared" si="342"/>
        <v>28890</v>
      </c>
      <c r="P249" s="57">
        <f t="shared" si="342"/>
        <v>28890</v>
      </c>
      <c r="Q249" s="57">
        <f t="shared" si="342"/>
        <v>28890</v>
      </c>
      <c r="R249" s="57">
        <f t="shared" si="342"/>
        <v>28890</v>
      </c>
      <c r="S249" s="57">
        <f t="shared" si="342"/>
        <v>28890</v>
      </c>
      <c r="T249" s="57">
        <f t="shared" si="342"/>
        <v>28890</v>
      </c>
      <c r="U249" s="352">
        <f t="shared" si="342"/>
        <v>28890</v>
      </c>
      <c r="V249" s="57">
        <f t="shared" si="342"/>
        <v>28890</v>
      </c>
      <c r="W249" s="57">
        <f t="shared" si="342"/>
        <v>28890</v>
      </c>
      <c r="X249" s="57">
        <f t="shared" si="342"/>
        <v>28890</v>
      </c>
      <c r="Y249" s="57">
        <f t="shared" si="342"/>
        <v>28890</v>
      </c>
      <c r="Z249" s="57">
        <f t="shared" si="342"/>
        <v>28890</v>
      </c>
      <c r="AA249" s="57">
        <f t="shared" si="342"/>
        <v>28890</v>
      </c>
      <c r="AB249" s="57">
        <f t="shared" si="342"/>
        <v>28890</v>
      </c>
      <c r="AC249" s="57">
        <f t="shared" si="342"/>
        <v>28890</v>
      </c>
      <c r="AD249" s="57"/>
      <c r="AE249" s="57">
        <f>ROUND((G249-H249)*(K249-5840)/K249,0)-8</f>
        <v>96238</v>
      </c>
      <c r="AF249" s="140">
        <f t="shared" si="237"/>
        <v>370319.07120000001</v>
      </c>
      <c r="AG249" s="32">
        <f t="shared" si="316"/>
        <v>558478</v>
      </c>
      <c r="AH249" s="101">
        <f t="shared" si="311"/>
        <v>558478.07120000001</v>
      </c>
      <c r="AP249" s="101"/>
      <c r="AQ249" s="101"/>
    </row>
    <row r="250" spans="1:43" ht="15.9" customHeight="1" x14ac:dyDescent="0.3">
      <c r="A250" s="475"/>
      <c r="B250" s="52" t="s">
        <v>50</v>
      </c>
      <c r="C250" s="98">
        <v>39655</v>
      </c>
      <c r="D250" s="54">
        <v>859223</v>
      </c>
      <c r="E250" s="78">
        <v>25</v>
      </c>
      <c r="F250" s="54">
        <v>257783.92879999999</v>
      </c>
      <c r="G250" s="89">
        <f t="shared" si="309"/>
        <v>601439.07120000001</v>
      </c>
      <c r="H250" s="57">
        <f t="shared" si="312"/>
        <v>42961</v>
      </c>
      <c r="I250" s="58">
        <f t="shared" si="313"/>
        <v>2075</v>
      </c>
      <c r="J250" s="100">
        <f t="shared" si="339"/>
        <v>48785</v>
      </c>
      <c r="K250" s="60">
        <f t="shared" si="269"/>
        <v>7056</v>
      </c>
      <c r="L250" s="57">
        <v>0</v>
      </c>
      <c r="M250" s="57"/>
      <c r="N250" s="57">
        <f t="shared" ref="N250:AC250" si="343">+ROUND(($G$250-$H$250)*365/$K$250,0)</f>
        <v>28890</v>
      </c>
      <c r="O250" s="57">
        <f t="shared" si="343"/>
        <v>28890</v>
      </c>
      <c r="P250" s="57">
        <f t="shared" si="343"/>
        <v>28890</v>
      </c>
      <c r="Q250" s="57">
        <f t="shared" si="343"/>
        <v>28890</v>
      </c>
      <c r="R250" s="57">
        <f t="shared" si="343"/>
        <v>28890</v>
      </c>
      <c r="S250" s="57">
        <f t="shared" si="343"/>
        <v>28890</v>
      </c>
      <c r="T250" s="57">
        <f t="shared" si="343"/>
        <v>28890</v>
      </c>
      <c r="U250" s="352">
        <f t="shared" si="343"/>
        <v>28890</v>
      </c>
      <c r="V250" s="57">
        <f t="shared" si="343"/>
        <v>28890</v>
      </c>
      <c r="W250" s="57">
        <f t="shared" si="343"/>
        <v>28890</v>
      </c>
      <c r="X250" s="57">
        <f t="shared" si="343"/>
        <v>28890</v>
      </c>
      <c r="Y250" s="57">
        <f t="shared" si="343"/>
        <v>28890</v>
      </c>
      <c r="Z250" s="57">
        <f t="shared" si="343"/>
        <v>28890</v>
      </c>
      <c r="AA250" s="57">
        <f t="shared" si="343"/>
        <v>28890</v>
      </c>
      <c r="AB250" s="57">
        <f t="shared" si="343"/>
        <v>28890</v>
      </c>
      <c r="AC250" s="57">
        <f t="shared" si="343"/>
        <v>28890</v>
      </c>
      <c r="AD250" s="57"/>
      <c r="AE250" s="57">
        <f>ROUND((G250-H250)*(K250-5840)/K250,0)-8</f>
        <v>96238</v>
      </c>
      <c r="AF250" s="140">
        <f t="shared" si="237"/>
        <v>370319.07120000001</v>
      </c>
      <c r="AG250" s="32">
        <f t="shared" si="316"/>
        <v>558478</v>
      </c>
      <c r="AH250" s="101">
        <f t="shared" si="311"/>
        <v>558478.07120000001</v>
      </c>
      <c r="AP250" s="101"/>
      <c r="AQ250" s="101"/>
    </row>
    <row r="251" spans="1:43" ht="15.9" customHeight="1" x14ac:dyDescent="0.3">
      <c r="A251" s="475"/>
      <c r="B251" s="52" t="s">
        <v>50</v>
      </c>
      <c r="C251" s="98">
        <v>39857</v>
      </c>
      <c r="D251" s="54">
        <v>818307</v>
      </c>
      <c r="E251" s="78">
        <v>25</v>
      </c>
      <c r="F251" s="54">
        <v>221597.80919999999</v>
      </c>
      <c r="G251" s="89">
        <f t="shared" si="309"/>
        <v>596709.19079999998</v>
      </c>
      <c r="H251" s="57">
        <f t="shared" si="312"/>
        <v>40915</v>
      </c>
      <c r="I251" s="58">
        <f t="shared" si="313"/>
        <v>1873</v>
      </c>
      <c r="J251" s="100">
        <f t="shared" si="339"/>
        <v>48987</v>
      </c>
      <c r="K251" s="60">
        <f t="shared" si="269"/>
        <v>7258</v>
      </c>
      <c r="L251" s="57">
        <v>0</v>
      </c>
      <c r="M251" s="57"/>
      <c r="N251" s="57">
        <f t="shared" ref="N251:AC251" si="344">+ROUND(($G$251-$H$251)*365/$K$251,0)</f>
        <v>27951</v>
      </c>
      <c r="O251" s="57">
        <f t="shared" si="344"/>
        <v>27951</v>
      </c>
      <c r="P251" s="57">
        <f t="shared" si="344"/>
        <v>27951</v>
      </c>
      <c r="Q251" s="57">
        <f t="shared" si="344"/>
        <v>27951</v>
      </c>
      <c r="R251" s="57">
        <f t="shared" si="344"/>
        <v>27951</v>
      </c>
      <c r="S251" s="57">
        <f t="shared" si="344"/>
        <v>27951</v>
      </c>
      <c r="T251" s="57">
        <f t="shared" si="344"/>
        <v>27951</v>
      </c>
      <c r="U251" s="352">
        <f t="shared" si="344"/>
        <v>27951</v>
      </c>
      <c r="V251" s="57">
        <f t="shared" si="344"/>
        <v>27951</v>
      </c>
      <c r="W251" s="57">
        <f t="shared" si="344"/>
        <v>27951</v>
      </c>
      <c r="X251" s="57">
        <f t="shared" si="344"/>
        <v>27951</v>
      </c>
      <c r="Y251" s="57">
        <f t="shared" si="344"/>
        <v>27951</v>
      </c>
      <c r="Z251" s="57">
        <f t="shared" si="344"/>
        <v>27951</v>
      </c>
      <c r="AA251" s="57">
        <f t="shared" si="344"/>
        <v>27951</v>
      </c>
      <c r="AB251" s="57">
        <f t="shared" si="344"/>
        <v>27951</v>
      </c>
      <c r="AC251" s="57">
        <f t="shared" si="344"/>
        <v>27951</v>
      </c>
      <c r="AD251" s="57"/>
      <c r="AE251" s="57">
        <f>ROUND((G251-H251)*(K251-5840)/K251,0)-8</f>
        <v>108578</v>
      </c>
      <c r="AF251" s="140">
        <f t="shared" si="237"/>
        <v>373101.19079999998</v>
      </c>
      <c r="AG251" s="32">
        <f t="shared" si="316"/>
        <v>555794</v>
      </c>
      <c r="AH251" s="101">
        <f t="shared" si="311"/>
        <v>555794.19079999998</v>
      </c>
      <c r="AP251" s="101"/>
      <c r="AQ251" s="101"/>
    </row>
    <row r="252" spans="1:43" ht="15.9" customHeight="1" x14ac:dyDescent="0.3">
      <c r="A252" s="475"/>
      <c r="B252" s="52" t="s">
        <v>50</v>
      </c>
      <c r="C252" s="98">
        <v>39895</v>
      </c>
      <c r="D252" s="54">
        <v>818307</v>
      </c>
      <c r="E252" s="78">
        <v>25</v>
      </c>
      <c r="F252" s="54">
        <v>217099.58919999999</v>
      </c>
      <c r="G252" s="89">
        <f t="shared" si="309"/>
        <v>601207.41079999995</v>
      </c>
      <c r="H252" s="57">
        <f t="shared" si="312"/>
        <v>40915</v>
      </c>
      <c r="I252" s="58">
        <f t="shared" si="313"/>
        <v>1835</v>
      </c>
      <c r="J252" s="100">
        <f t="shared" si="339"/>
        <v>49025</v>
      </c>
      <c r="K252" s="60">
        <f t="shared" si="269"/>
        <v>7296</v>
      </c>
      <c r="L252" s="57">
        <v>0</v>
      </c>
      <c r="M252" s="57"/>
      <c r="N252" s="57">
        <f t="shared" ref="N252:AC252" si="345">+ROUND(($G$252-$H$252)*365/$K$252,0)</f>
        <v>28030</v>
      </c>
      <c r="O252" s="57">
        <f t="shared" si="345"/>
        <v>28030</v>
      </c>
      <c r="P252" s="57">
        <f t="shared" si="345"/>
        <v>28030</v>
      </c>
      <c r="Q252" s="57">
        <f t="shared" si="345"/>
        <v>28030</v>
      </c>
      <c r="R252" s="57">
        <f t="shared" si="345"/>
        <v>28030</v>
      </c>
      <c r="S252" s="57">
        <f t="shared" si="345"/>
        <v>28030</v>
      </c>
      <c r="T252" s="57">
        <f t="shared" si="345"/>
        <v>28030</v>
      </c>
      <c r="U252" s="352">
        <f t="shared" si="345"/>
        <v>28030</v>
      </c>
      <c r="V252" s="57">
        <f t="shared" si="345"/>
        <v>28030</v>
      </c>
      <c r="W252" s="57">
        <f t="shared" si="345"/>
        <v>28030</v>
      </c>
      <c r="X252" s="57">
        <f t="shared" si="345"/>
        <v>28030</v>
      </c>
      <c r="Y252" s="57">
        <f t="shared" si="345"/>
        <v>28030</v>
      </c>
      <c r="Z252" s="57">
        <f t="shared" si="345"/>
        <v>28030</v>
      </c>
      <c r="AA252" s="57">
        <f t="shared" si="345"/>
        <v>28030</v>
      </c>
      <c r="AB252" s="57">
        <f t="shared" si="345"/>
        <v>28030</v>
      </c>
      <c r="AC252" s="57">
        <f t="shared" si="345"/>
        <v>28030</v>
      </c>
      <c r="AD252" s="57"/>
      <c r="AE252" s="57">
        <f>ROUND((G252-H252)*(K252-5840)/K252,0)-1</f>
        <v>111812</v>
      </c>
      <c r="AF252" s="140">
        <f t="shared" si="237"/>
        <v>376967.41079999995</v>
      </c>
      <c r="AG252" s="32">
        <f t="shared" si="316"/>
        <v>560292</v>
      </c>
      <c r="AH252" s="101">
        <f t="shared" si="311"/>
        <v>560292.41079999995</v>
      </c>
      <c r="AP252" s="101"/>
      <c r="AQ252" s="101"/>
    </row>
    <row r="253" spans="1:43" ht="15.9" customHeight="1" x14ac:dyDescent="0.3">
      <c r="A253" s="475"/>
      <c r="B253" s="52" t="s">
        <v>56</v>
      </c>
      <c r="C253" s="98">
        <v>39903</v>
      </c>
      <c r="D253" s="54">
        <v>726378</v>
      </c>
      <c r="E253" s="78">
        <v>15</v>
      </c>
      <c r="F253" s="54">
        <v>172609.44</v>
      </c>
      <c r="G253" s="89">
        <f t="shared" si="309"/>
        <v>553768.56000000006</v>
      </c>
      <c r="H253" s="57">
        <f t="shared" si="312"/>
        <v>36319</v>
      </c>
      <c r="I253" s="58">
        <f t="shared" si="313"/>
        <v>1827</v>
      </c>
      <c r="J253" s="100">
        <f>+C253+5478</f>
        <v>45381</v>
      </c>
      <c r="K253" s="60">
        <f t="shared" si="269"/>
        <v>3652</v>
      </c>
      <c r="L253" s="57">
        <v>0</v>
      </c>
      <c r="M253" s="57"/>
      <c r="N253" s="57">
        <f>+ROUND((G253-H253)*365/K253,0)</f>
        <v>51717</v>
      </c>
      <c r="O253" s="80">
        <f t="shared" si="278"/>
        <v>51717</v>
      </c>
      <c r="P253" s="80">
        <f t="shared" ref="P253:W273" si="346">+O253</f>
        <v>51717</v>
      </c>
      <c r="Q253" s="80">
        <f t="shared" si="346"/>
        <v>51717</v>
      </c>
      <c r="R253" s="80">
        <f t="shared" si="346"/>
        <v>51717</v>
      </c>
      <c r="S253" s="80">
        <f t="shared" si="346"/>
        <v>51717</v>
      </c>
      <c r="T253" s="57">
        <f t="shared" si="346"/>
        <v>51717</v>
      </c>
      <c r="U253" s="353">
        <f t="shared" si="346"/>
        <v>51717</v>
      </c>
      <c r="V253" s="80">
        <f t="shared" si="346"/>
        <v>51717</v>
      </c>
      <c r="W253" s="80">
        <f t="shared" si="346"/>
        <v>51717</v>
      </c>
      <c r="X253" s="57">
        <f>+ROUND((G253-H253)*(K253-3650)/K253,0)-3</f>
        <v>280</v>
      </c>
      <c r="Y253" s="57">
        <v>0</v>
      </c>
      <c r="Z253" s="80">
        <f t="shared" ref="Z253:AC253" si="347">+Y253</f>
        <v>0</v>
      </c>
      <c r="AA253" s="80">
        <f t="shared" si="347"/>
        <v>0</v>
      </c>
      <c r="AB253" s="80">
        <f t="shared" si="347"/>
        <v>0</v>
      </c>
      <c r="AC253" s="80">
        <f t="shared" si="347"/>
        <v>0</v>
      </c>
      <c r="AD253" s="80"/>
      <c r="AE253" s="80">
        <f>+AC253</f>
        <v>0</v>
      </c>
      <c r="AF253" s="140">
        <f t="shared" si="237"/>
        <v>140032.56000000006</v>
      </c>
      <c r="AG253" s="32">
        <f t="shared" si="316"/>
        <v>517450</v>
      </c>
      <c r="AH253" s="101">
        <f t="shared" si="311"/>
        <v>517449.56000000006</v>
      </c>
      <c r="AP253" s="101"/>
      <c r="AQ253" s="101"/>
    </row>
    <row r="254" spans="1:43" ht="15.9" customHeight="1" x14ac:dyDescent="0.3">
      <c r="A254" s="475"/>
      <c r="B254" s="52" t="s">
        <v>57</v>
      </c>
      <c r="C254" s="98">
        <v>39904</v>
      </c>
      <c r="D254" s="54">
        <v>306494</v>
      </c>
      <c r="E254" s="78">
        <v>25</v>
      </c>
      <c r="F254" s="54">
        <v>80914.766399999993</v>
      </c>
      <c r="G254" s="89">
        <f t="shared" si="309"/>
        <v>225579.23360000001</v>
      </c>
      <c r="H254" s="57">
        <f t="shared" si="312"/>
        <v>15325</v>
      </c>
      <c r="I254" s="58">
        <f t="shared" si="313"/>
        <v>1826</v>
      </c>
      <c r="J254" s="100">
        <f t="shared" si="339"/>
        <v>49034</v>
      </c>
      <c r="K254" s="60">
        <f t="shared" si="269"/>
        <v>7305</v>
      </c>
      <c r="L254" s="57">
        <v>0</v>
      </c>
      <c r="M254" s="57"/>
      <c r="N254" s="57">
        <f t="shared" ref="N254:AC254" si="348">+ROUND(($G$254-$H$254)*365/$K$254,0)</f>
        <v>10506</v>
      </c>
      <c r="O254" s="57">
        <f t="shared" si="348"/>
        <v>10506</v>
      </c>
      <c r="P254" s="57">
        <f t="shared" si="348"/>
        <v>10506</v>
      </c>
      <c r="Q254" s="57">
        <f t="shared" si="348"/>
        <v>10506</v>
      </c>
      <c r="R254" s="57">
        <f t="shared" si="348"/>
        <v>10506</v>
      </c>
      <c r="S254" s="57">
        <f t="shared" si="348"/>
        <v>10506</v>
      </c>
      <c r="T254" s="57">
        <f t="shared" si="348"/>
        <v>10506</v>
      </c>
      <c r="U254" s="352">
        <f t="shared" si="348"/>
        <v>10506</v>
      </c>
      <c r="V254" s="57">
        <f t="shared" si="348"/>
        <v>10506</v>
      </c>
      <c r="W254" s="57">
        <f t="shared" si="348"/>
        <v>10506</v>
      </c>
      <c r="X254" s="57">
        <f t="shared" si="348"/>
        <v>10506</v>
      </c>
      <c r="Y254" s="57">
        <f t="shared" si="348"/>
        <v>10506</v>
      </c>
      <c r="Z254" s="57">
        <f t="shared" si="348"/>
        <v>10506</v>
      </c>
      <c r="AA254" s="57">
        <f t="shared" si="348"/>
        <v>10506</v>
      </c>
      <c r="AB254" s="57">
        <f t="shared" si="348"/>
        <v>10506</v>
      </c>
      <c r="AC254" s="57">
        <f t="shared" si="348"/>
        <v>10506</v>
      </c>
      <c r="AD254" s="57"/>
      <c r="AE254" s="57">
        <f>ROUND((G254-H254)*(K254-5840)/K254,0)-8</f>
        <v>42158</v>
      </c>
      <c r="AF254" s="140">
        <f t="shared" ref="AF254:AF322" si="349">+D254-F254-SUM(N254:U254)-L254</f>
        <v>141531.23360000001</v>
      </c>
      <c r="AG254" s="32">
        <f t="shared" si="316"/>
        <v>210254</v>
      </c>
      <c r="AH254" s="101">
        <f t="shared" si="311"/>
        <v>210254.23360000001</v>
      </c>
      <c r="AP254" s="101"/>
      <c r="AQ254" s="101"/>
    </row>
    <row r="255" spans="1:43" ht="15.9" customHeight="1" x14ac:dyDescent="0.3">
      <c r="A255" s="475"/>
      <c r="B255" s="52" t="s">
        <v>58</v>
      </c>
      <c r="C255" s="98">
        <v>39913</v>
      </c>
      <c r="D255" s="54">
        <v>246789</v>
      </c>
      <c r="E255" s="78">
        <v>25</v>
      </c>
      <c r="F255" s="54">
        <v>64829.619406027399</v>
      </c>
      <c r="G255" s="89">
        <f t="shared" si="309"/>
        <v>181959.3805939726</v>
      </c>
      <c r="H255" s="57">
        <f t="shared" si="312"/>
        <v>12339</v>
      </c>
      <c r="I255" s="58">
        <f t="shared" si="313"/>
        <v>1817</v>
      </c>
      <c r="J255" s="100">
        <f t="shared" si="339"/>
        <v>49043</v>
      </c>
      <c r="K255" s="60">
        <f t="shared" si="269"/>
        <v>7314</v>
      </c>
      <c r="L255" s="57">
        <v>0</v>
      </c>
      <c r="M255" s="57"/>
      <c r="N255" s="57">
        <f t="shared" ref="N255:AC255" si="350">+ROUND(($G$255-$H$255)*365/$K$255,0)</f>
        <v>8465</v>
      </c>
      <c r="O255" s="57">
        <f t="shared" si="350"/>
        <v>8465</v>
      </c>
      <c r="P255" s="57">
        <f t="shared" si="350"/>
        <v>8465</v>
      </c>
      <c r="Q255" s="57">
        <f t="shared" si="350"/>
        <v>8465</v>
      </c>
      <c r="R255" s="57">
        <f t="shared" si="350"/>
        <v>8465</v>
      </c>
      <c r="S255" s="57">
        <f t="shared" si="350"/>
        <v>8465</v>
      </c>
      <c r="T255" s="57">
        <f t="shared" si="350"/>
        <v>8465</v>
      </c>
      <c r="U255" s="352">
        <f t="shared" si="350"/>
        <v>8465</v>
      </c>
      <c r="V255" s="57">
        <f t="shared" si="350"/>
        <v>8465</v>
      </c>
      <c r="W255" s="57">
        <f t="shared" si="350"/>
        <v>8465</v>
      </c>
      <c r="X255" s="57">
        <f t="shared" si="350"/>
        <v>8465</v>
      </c>
      <c r="Y255" s="57">
        <f t="shared" si="350"/>
        <v>8465</v>
      </c>
      <c r="Z255" s="57">
        <f t="shared" si="350"/>
        <v>8465</v>
      </c>
      <c r="AA255" s="57">
        <f t="shared" si="350"/>
        <v>8465</v>
      </c>
      <c r="AB255" s="57">
        <f t="shared" si="350"/>
        <v>8465</v>
      </c>
      <c r="AC255" s="57">
        <f t="shared" si="350"/>
        <v>8465</v>
      </c>
      <c r="AD255" s="57"/>
      <c r="AE255" s="57">
        <f>ROUND((G255-H255)*(K255-5840)/K255,0)-4</f>
        <v>34180</v>
      </c>
      <c r="AF255" s="140">
        <f t="shared" si="349"/>
        <v>114239.3805939726</v>
      </c>
      <c r="AG255" s="32">
        <f t="shared" si="316"/>
        <v>169620</v>
      </c>
      <c r="AH255" s="101">
        <f t="shared" si="311"/>
        <v>169620.3805939726</v>
      </c>
      <c r="AP255" s="101"/>
      <c r="AQ255" s="101"/>
    </row>
    <row r="256" spans="1:43" ht="15.9" customHeight="1" x14ac:dyDescent="0.3">
      <c r="A256" s="475"/>
      <c r="B256" s="52" t="s">
        <v>59</v>
      </c>
      <c r="C256" s="98">
        <v>39916</v>
      </c>
      <c r="D256" s="54">
        <v>55169</v>
      </c>
      <c r="E256" s="78">
        <v>25</v>
      </c>
      <c r="F256" s="54">
        <v>14469.07906191781</v>
      </c>
      <c r="G256" s="89">
        <f t="shared" si="309"/>
        <v>40699.920938082192</v>
      </c>
      <c r="H256" s="57">
        <f t="shared" si="312"/>
        <v>2758</v>
      </c>
      <c r="I256" s="58">
        <f t="shared" si="313"/>
        <v>1814</v>
      </c>
      <c r="J256" s="100">
        <f t="shared" si="339"/>
        <v>49046</v>
      </c>
      <c r="K256" s="60">
        <f t="shared" si="269"/>
        <v>7317</v>
      </c>
      <c r="L256" s="57">
        <v>0</v>
      </c>
      <c r="M256" s="57"/>
      <c r="N256" s="57">
        <f t="shared" ref="N256:AC256" si="351">+ROUND(($G$256-$H$256)*365/$K$256,0)</f>
        <v>1893</v>
      </c>
      <c r="O256" s="57">
        <f t="shared" si="351"/>
        <v>1893</v>
      </c>
      <c r="P256" s="57">
        <f t="shared" si="351"/>
        <v>1893</v>
      </c>
      <c r="Q256" s="57">
        <f t="shared" si="351"/>
        <v>1893</v>
      </c>
      <c r="R256" s="57">
        <f t="shared" si="351"/>
        <v>1893</v>
      </c>
      <c r="S256" s="57">
        <f t="shared" si="351"/>
        <v>1893</v>
      </c>
      <c r="T256" s="57">
        <f t="shared" si="351"/>
        <v>1893</v>
      </c>
      <c r="U256" s="352">
        <f t="shared" si="351"/>
        <v>1893</v>
      </c>
      <c r="V256" s="57">
        <f t="shared" si="351"/>
        <v>1893</v>
      </c>
      <c r="W256" s="57">
        <f t="shared" si="351"/>
        <v>1893</v>
      </c>
      <c r="X256" s="57">
        <f t="shared" si="351"/>
        <v>1893</v>
      </c>
      <c r="Y256" s="57">
        <f t="shared" si="351"/>
        <v>1893</v>
      </c>
      <c r="Z256" s="57">
        <f t="shared" si="351"/>
        <v>1893</v>
      </c>
      <c r="AA256" s="57">
        <f t="shared" si="351"/>
        <v>1893</v>
      </c>
      <c r="AB256" s="57">
        <f t="shared" si="351"/>
        <v>1893</v>
      </c>
      <c r="AC256" s="57">
        <f t="shared" si="351"/>
        <v>1893</v>
      </c>
      <c r="AD256" s="57"/>
      <c r="AE256" s="57">
        <f>ROUND((G256-H256)*(K256-5840)/K256,0)-5</f>
        <v>7654</v>
      </c>
      <c r="AF256" s="140">
        <f t="shared" si="349"/>
        <v>25555.920938082192</v>
      </c>
      <c r="AG256" s="32">
        <f t="shared" si="316"/>
        <v>37942</v>
      </c>
      <c r="AH256" s="101">
        <f t="shared" si="311"/>
        <v>37941.920938082192</v>
      </c>
      <c r="AP256" s="101"/>
      <c r="AQ256" s="101"/>
    </row>
    <row r="257" spans="1:43" ht="15.9" customHeight="1" x14ac:dyDescent="0.3">
      <c r="A257" s="475"/>
      <c r="B257" s="52" t="s">
        <v>60</v>
      </c>
      <c r="C257" s="98">
        <v>39931</v>
      </c>
      <c r="D257" s="54">
        <v>285947</v>
      </c>
      <c r="E257" s="78">
        <v>25</v>
      </c>
      <c r="F257" s="54">
        <v>74373.164725479452</v>
      </c>
      <c r="G257" s="89">
        <f t="shared" si="309"/>
        <v>211573.83527452056</v>
      </c>
      <c r="H257" s="57">
        <f t="shared" si="312"/>
        <v>14297</v>
      </c>
      <c r="I257" s="58">
        <f t="shared" si="313"/>
        <v>1799</v>
      </c>
      <c r="J257" s="100">
        <f t="shared" si="339"/>
        <v>49061</v>
      </c>
      <c r="K257" s="60">
        <f t="shared" si="269"/>
        <v>7332</v>
      </c>
      <c r="L257" s="57">
        <v>0</v>
      </c>
      <c r="M257" s="57"/>
      <c r="N257" s="57">
        <f t="shared" ref="N257:AC257" si="352">+ROUND(($G$257-$H$257)*365/$K$257,0)</f>
        <v>9821</v>
      </c>
      <c r="O257" s="57">
        <f t="shared" si="352"/>
        <v>9821</v>
      </c>
      <c r="P257" s="57">
        <f t="shared" si="352"/>
        <v>9821</v>
      </c>
      <c r="Q257" s="57">
        <f t="shared" si="352"/>
        <v>9821</v>
      </c>
      <c r="R257" s="57">
        <f t="shared" si="352"/>
        <v>9821</v>
      </c>
      <c r="S257" s="57">
        <f t="shared" si="352"/>
        <v>9821</v>
      </c>
      <c r="T257" s="57">
        <f t="shared" si="352"/>
        <v>9821</v>
      </c>
      <c r="U257" s="352">
        <f t="shared" si="352"/>
        <v>9821</v>
      </c>
      <c r="V257" s="57">
        <f t="shared" si="352"/>
        <v>9821</v>
      </c>
      <c r="W257" s="57">
        <f t="shared" si="352"/>
        <v>9821</v>
      </c>
      <c r="X257" s="57">
        <f t="shared" si="352"/>
        <v>9821</v>
      </c>
      <c r="Y257" s="57">
        <f t="shared" si="352"/>
        <v>9821</v>
      </c>
      <c r="Z257" s="57">
        <f t="shared" si="352"/>
        <v>9821</v>
      </c>
      <c r="AA257" s="57">
        <f t="shared" si="352"/>
        <v>9821</v>
      </c>
      <c r="AB257" s="57">
        <f t="shared" si="352"/>
        <v>9821</v>
      </c>
      <c r="AC257" s="57">
        <f t="shared" si="352"/>
        <v>9821</v>
      </c>
      <c r="AD257" s="57"/>
      <c r="AE257" s="57">
        <f>ROUND((G257-H257)*(K257-5840)/K257,0)-3</f>
        <v>40141</v>
      </c>
      <c r="AF257" s="140">
        <f t="shared" si="349"/>
        <v>133005.83527452056</v>
      </c>
      <c r="AG257" s="32">
        <f t="shared" si="316"/>
        <v>197277</v>
      </c>
      <c r="AH257" s="101">
        <f t="shared" si="311"/>
        <v>197276.83527452056</v>
      </c>
      <c r="AP257" s="101"/>
      <c r="AQ257" s="101"/>
    </row>
    <row r="258" spans="1:43" ht="15.9" customHeight="1" x14ac:dyDescent="0.3">
      <c r="A258" s="475"/>
      <c r="B258" s="52" t="s">
        <v>61</v>
      </c>
      <c r="C258" s="98">
        <v>39945</v>
      </c>
      <c r="D258" s="54">
        <v>126919</v>
      </c>
      <c r="E258" s="78">
        <v>25</v>
      </c>
      <c r="F258" s="54">
        <v>32752.895026849314</v>
      </c>
      <c r="G258" s="89">
        <f t="shared" si="309"/>
        <v>94166.104973150679</v>
      </c>
      <c r="H258" s="57">
        <f t="shared" si="312"/>
        <v>6346</v>
      </c>
      <c r="I258" s="58">
        <f t="shared" si="313"/>
        <v>1785</v>
      </c>
      <c r="J258" s="100">
        <f t="shared" si="339"/>
        <v>49075</v>
      </c>
      <c r="K258" s="60">
        <f t="shared" si="269"/>
        <v>7346</v>
      </c>
      <c r="L258" s="57">
        <v>0</v>
      </c>
      <c r="M258" s="57"/>
      <c r="N258" s="57">
        <f t="shared" ref="N258:AC258" si="353">+ROUND(($G$258-$H$258)*365/$K$258,0)</f>
        <v>4364</v>
      </c>
      <c r="O258" s="57">
        <f t="shared" si="353"/>
        <v>4364</v>
      </c>
      <c r="P258" s="57">
        <f t="shared" si="353"/>
        <v>4364</v>
      </c>
      <c r="Q258" s="57">
        <f t="shared" si="353"/>
        <v>4364</v>
      </c>
      <c r="R258" s="57">
        <f t="shared" si="353"/>
        <v>4364</v>
      </c>
      <c r="S258" s="57">
        <f t="shared" si="353"/>
        <v>4364</v>
      </c>
      <c r="T258" s="57">
        <f t="shared" si="353"/>
        <v>4364</v>
      </c>
      <c r="U258" s="352">
        <f t="shared" si="353"/>
        <v>4364</v>
      </c>
      <c r="V258" s="57">
        <f t="shared" si="353"/>
        <v>4364</v>
      </c>
      <c r="W258" s="57">
        <f t="shared" si="353"/>
        <v>4364</v>
      </c>
      <c r="X258" s="57">
        <f t="shared" si="353"/>
        <v>4364</v>
      </c>
      <c r="Y258" s="57">
        <f t="shared" si="353"/>
        <v>4364</v>
      </c>
      <c r="Z258" s="57">
        <f t="shared" si="353"/>
        <v>4364</v>
      </c>
      <c r="AA258" s="57">
        <f t="shared" si="353"/>
        <v>4364</v>
      </c>
      <c r="AB258" s="57">
        <f t="shared" si="353"/>
        <v>4364</v>
      </c>
      <c r="AC258" s="57">
        <f t="shared" si="353"/>
        <v>4364</v>
      </c>
      <c r="AD258" s="57"/>
      <c r="AE258" s="57">
        <f>ROUND((G258-H258)*(K258-5840)/K258,0)-8</f>
        <v>17996</v>
      </c>
      <c r="AF258" s="140">
        <f t="shared" si="349"/>
        <v>59254.104973150679</v>
      </c>
      <c r="AG258" s="32">
        <f t="shared" si="316"/>
        <v>87820</v>
      </c>
      <c r="AH258" s="101">
        <f t="shared" si="311"/>
        <v>87820.104973150679</v>
      </c>
      <c r="AP258" s="101"/>
      <c r="AQ258" s="101"/>
    </row>
    <row r="259" spans="1:43" ht="15.9" customHeight="1" x14ac:dyDescent="0.3">
      <c r="A259" s="475"/>
      <c r="B259" s="52" t="s">
        <v>62</v>
      </c>
      <c r="C259" s="98">
        <v>39960</v>
      </c>
      <c r="D259" s="54">
        <v>39746</v>
      </c>
      <c r="E259" s="78">
        <v>15</v>
      </c>
      <c r="F259" s="54">
        <v>9150.2142191780822</v>
      </c>
      <c r="G259" s="89">
        <f t="shared" si="309"/>
        <v>30595.78578082192</v>
      </c>
      <c r="H259" s="57">
        <f t="shared" si="312"/>
        <v>1987</v>
      </c>
      <c r="I259" s="58">
        <f t="shared" si="313"/>
        <v>1770</v>
      </c>
      <c r="J259" s="100">
        <f t="shared" si="318"/>
        <v>45438</v>
      </c>
      <c r="K259" s="60">
        <f t="shared" si="269"/>
        <v>3709</v>
      </c>
      <c r="L259" s="57">
        <v>0</v>
      </c>
      <c r="M259" s="57"/>
      <c r="N259" s="57">
        <f>+ROUND((G259-H259)*365/K259,0)</f>
        <v>2815</v>
      </c>
      <c r="O259" s="80">
        <f t="shared" si="278"/>
        <v>2815</v>
      </c>
      <c r="P259" s="80">
        <f t="shared" ref="P259:V259" si="354">+O259</f>
        <v>2815</v>
      </c>
      <c r="Q259" s="80">
        <f t="shared" si="354"/>
        <v>2815</v>
      </c>
      <c r="R259" s="80">
        <f t="shared" si="354"/>
        <v>2815</v>
      </c>
      <c r="S259" s="80">
        <f t="shared" si="354"/>
        <v>2815</v>
      </c>
      <c r="T259" s="57">
        <f t="shared" si="354"/>
        <v>2815</v>
      </c>
      <c r="U259" s="353">
        <f t="shared" si="354"/>
        <v>2815</v>
      </c>
      <c r="V259" s="80">
        <f t="shared" si="354"/>
        <v>2815</v>
      </c>
      <c r="W259" s="80">
        <f t="shared" si="346"/>
        <v>2815</v>
      </c>
      <c r="X259" s="57">
        <f>+ROUND((G259-H259)*(K259-3650)/K259,0)+4</f>
        <v>459</v>
      </c>
      <c r="Y259" s="57">
        <v>0</v>
      </c>
      <c r="Z259" s="80">
        <f t="shared" ref="Z259:AC259" si="355">+Y259</f>
        <v>0</v>
      </c>
      <c r="AA259" s="80">
        <f t="shared" si="355"/>
        <v>0</v>
      </c>
      <c r="AB259" s="80">
        <f t="shared" si="355"/>
        <v>0</v>
      </c>
      <c r="AC259" s="80">
        <f t="shared" si="355"/>
        <v>0</v>
      </c>
      <c r="AD259" s="80"/>
      <c r="AE259" s="80">
        <f>+AC259</f>
        <v>0</v>
      </c>
      <c r="AF259" s="140">
        <f t="shared" si="349"/>
        <v>8075.7857808219196</v>
      </c>
      <c r="AG259" s="32">
        <f t="shared" si="316"/>
        <v>28609</v>
      </c>
      <c r="AH259" s="101">
        <f t="shared" si="311"/>
        <v>28608.78578082192</v>
      </c>
      <c r="AP259" s="101"/>
      <c r="AQ259" s="101"/>
    </row>
    <row r="260" spans="1:43" ht="15.9" customHeight="1" x14ac:dyDescent="0.3">
      <c r="A260" s="475"/>
      <c r="B260" s="52" t="s">
        <v>63</v>
      </c>
      <c r="C260" s="98">
        <v>39965</v>
      </c>
      <c r="D260" s="54">
        <v>34274</v>
      </c>
      <c r="E260" s="78">
        <v>15</v>
      </c>
      <c r="F260" s="54">
        <v>7867.9507808219178</v>
      </c>
      <c r="G260" s="89">
        <f t="shared" si="309"/>
        <v>26406.049219178083</v>
      </c>
      <c r="H260" s="57">
        <f t="shared" si="312"/>
        <v>1714</v>
      </c>
      <c r="I260" s="58">
        <f t="shared" si="313"/>
        <v>1765</v>
      </c>
      <c r="J260" s="100">
        <f t="shared" si="318"/>
        <v>45443</v>
      </c>
      <c r="K260" s="60">
        <f t="shared" si="269"/>
        <v>3714</v>
      </c>
      <c r="L260" s="57">
        <v>0</v>
      </c>
      <c r="M260" s="57"/>
      <c r="N260" s="57">
        <f>+ROUND((G260-H260)*365/K260,0)</f>
        <v>2427</v>
      </c>
      <c r="O260" s="80">
        <f t="shared" si="278"/>
        <v>2427</v>
      </c>
      <c r="P260" s="80">
        <f t="shared" ref="P260:V260" si="356">+O260</f>
        <v>2427</v>
      </c>
      <c r="Q260" s="80">
        <f t="shared" si="356"/>
        <v>2427</v>
      </c>
      <c r="R260" s="80">
        <f t="shared" si="356"/>
        <v>2427</v>
      </c>
      <c r="S260" s="80">
        <f t="shared" si="356"/>
        <v>2427</v>
      </c>
      <c r="T260" s="57">
        <f t="shared" si="356"/>
        <v>2427</v>
      </c>
      <c r="U260" s="353">
        <f t="shared" si="356"/>
        <v>2427</v>
      </c>
      <c r="V260" s="80">
        <f t="shared" si="356"/>
        <v>2427</v>
      </c>
      <c r="W260" s="80">
        <f t="shared" si="346"/>
        <v>2427</v>
      </c>
      <c r="X260" s="57">
        <f>+ROUND((G260-H260)*(K260-3650)/K260,0)-3</f>
        <v>422</v>
      </c>
      <c r="Y260" s="57">
        <v>0</v>
      </c>
      <c r="Z260" s="80">
        <f t="shared" ref="Z260:AC260" si="357">+Y260</f>
        <v>0</v>
      </c>
      <c r="AA260" s="80">
        <f t="shared" si="357"/>
        <v>0</v>
      </c>
      <c r="AB260" s="80">
        <f t="shared" si="357"/>
        <v>0</v>
      </c>
      <c r="AC260" s="80">
        <f t="shared" si="357"/>
        <v>0</v>
      </c>
      <c r="AD260" s="80"/>
      <c r="AE260" s="80">
        <f>+AC260</f>
        <v>0</v>
      </c>
      <c r="AF260" s="140">
        <f t="shared" si="349"/>
        <v>6990.0492191780831</v>
      </c>
      <c r="AG260" s="32">
        <f t="shared" si="316"/>
        <v>24692</v>
      </c>
      <c r="AH260" s="101">
        <f t="shared" si="311"/>
        <v>24692.049219178083</v>
      </c>
      <c r="AP260" s="101"/>
      <c r="AQ260" s="101"/>
    </row>
    <row r="261" spans="1:43" ht="15.9" customHeight="1" x14ac:dyDescent="0.3">
      <c r="A261" s="475"/>
      <c r="B261" s="52" t="s">
        <v>64</v>
      </c>
      <c r="C261" s="98">
        <v>39974</v>
      </c>
      <c r="D261" s="54">
        <v>1561921</v>
      </c>
      <c r="E261" s="78">
        <v>25</v>
      </c>
      <c r="F261" s="54">
        <v>396529.80276164383</v>
      </c>
      <c r="G261" s="89">
        <f t="shared" si="309"/>
        <v>1165391.1972383561</v>
      </c>
      <c r="H261" s="57">
        <f t="shared" si="312"/>
        <v>78096</v>
      </c>
      <c r="I261" s="58">
        <f t="shared" si="313"/>
        <v>1756</v>
      </c>
      <c r="J261" s="100">
        <f t="shared" ref="J261:J263" si="358">+C261+9130</f>
        <v>49104</v>
      </c>
      <c r="K261" s="60">
        <f t="shared" si="269"/>
        <v>7375</v>
      </c>
      <c r="L261" s="57">
        <v>0</v>
      </c>
      <c r="M261" s="57"/>
      <c r="N261" s="57">
        <f t="shared" ref="N261:AC261" si="359">+ROUND(($G$261-$H$261)*365/$K$261,0)</f>
        <v>53812</v>
      </c>
      <c r="O261" s="57">
        <f t="shared" si="359"/>
        <v>53812</v>
      </c>
      <c r="P261" s="57">
        <f t="shared" si="359"/>
        <v>53812</v>
      </c>
      <c r="Q261" s="57">
        <f t="shared" si="359"/>
        <v>53812</v>
      </c>
      <c r="R261" s="57">
        <f t="shared" si="359"/>
        <v>53812</v>
      </c>
      <c r="S261" s="57">
        <f t="shared" si="359"/>
        <v>53812</v>
      </c>
      <c r="T261" s="57">
        <f t="shared" si="359"/>
        <v>53812</v>
      </c>
      <c r="U261" s="352">
        <f t="shared" si="359"/>
        <v>53812</v>
      </c>
      <c r="V261" s="57">
        <f t="shared" si="359"/>
        <v>53812</v>
      </c>
      <c r="W261" s="57">
        <f t="shared" si="359"/>
        <v>53812</v>
      </c>
      <c r="X261" s="57">
        <f t="shared" si="359"/>
        <v>53812</v>
      </c>
      <c r="Y261" s="57">
        <f t="shared" si="359"/>
        <v>53812</v>
      </c>
      <c r="Z261" s="57">
        <f t="shared" si="359"/>
        <v>53812</v>
      </c>
      <c r="AA261" s="57">
        <f t="shared" si="359"/>
        <v>53812</v>
      </c>
      <c r="AB261" s="57">
        <f t="shared" si="359"/>
        <v>53812</v>
      </c>
      <c r="AC261" s="57">
        <f t="shared" si="359"/>
        <v>53812</v>
      </c>
      <c r="AD261" s="57"/>
      <c r="AE261" s="57">
        <f>ROUND((G261-H261)*(K261-5840)/K261,0)-2</f>
        <v>226303</v>
      </c>
      <c r="AF261" s="140">
        <f t="shared" si="349"/>
        <v>734895.19723835611</v>
      </c>
      <c r="AG261" s="32">
        <f t="shared" si="316"/>
        <v>1087295</v>
      </c>
      <c r="AH261" s="101">
        <f t="shared" si="311"/>
        <v>1087295.1972383561</v>
      </c>
      <c r="AP261" s="101"/>
      <c r="AQ261" s="101"/>
    </row>
    <row r="262" spans="1:43" ht="15.9" customHeight="1" x14ac:dyDescent="0.3">
      <c r="A262" s="475"/>
      <c r="B262" s="52" t="s">
        <v>65</v>
      </c>
      <c r="C262" s="98">
        <v>39981</v>
      </c>
      <c r="D262" s="54">
        <v>31671</v>
      </c>
      <c r="E262" s="78">
        <v>25</v>
      </c>
      <c r="F262" s="54">
        <v>8007.6860449315072</v>
      </c>
      <c r="G262" s="89">
        <f t="shared" si="309"/>
        <v>23663.313955068494</v>
      </c>
      <c r="H262" s="57">
        <f t="shared" si="312"/>
        <v>1584</v>
      </c>
      <c r="I262" s="58">
        <f t="shared" si="313"/>
        <v>1749</v>
      </c>
      <c r="J262" s="100">
        <f t="shared" si="358"/>
        <v>49111</v>
      </c>
      <c r="K262" s="60">
        <f t="shared" si="269"/>
        <v>7382</v>
      </c>
      <c r="L262" s="57">
        <v>0</v>
      </c>
      <c r="M262" s="57"/>
      <c r="N262" s="57">
        <f t="shared" ref="N262:AC262" si="360">+ROUND(($G$262-$H$262)*365/$K$262,0)</f>
        <v>1092</v>
      </c>
      <c r="O262" s="57">
        <f t="shared" si="360"/>
        <v>1092</v>
      </c>
      <c r="P262" s="57">
        <f t="shared" si="360"/>
        <v>1092</v>
      </c>
      <c r="Q262" s="57">
        <f t="shared" si="360"/>
        <v>1092</v>
      </c>
      <c r="R262" s="57">
        <f t="shared" si="360"/>
        <v>1092</v>
      </c>
      <c r="S262" s="57">
        <f t="shared" si="360"/>
        <v>1092</v>
      </c>
      <c r="T262" s="57">
        <f t="shared" si="360"/>
        <v>1092</v>
      </c>
      <c r="U262" s="352">
        <f t="shared" si="360"/>
        <v>1092</v>
      </c>
      <c r="V262" s="57">
        <f t="shared" si="360"/>
        <v>1092</v>
      </c>
      <c r="W262" s="57">
        <f t="shared" si="360"/>
        <v>1092</v>
      </c>
      <c r="X262" s="57">
        <f t="shared" si="360"/>
        <v>1092</v>
      </c>
      <c r="Y262" s="57">
        <f t="shared" si="360"/>
        <v>1092</v>
      </c>
      <c r="Z262" s="57">
        <f t="shared" si="360"/>
        <v>1092</v>
      </c>
      <c r="AA262" s="57">
        <f t="shared" si="360"/>
        <v>1092</v>
      </c>
      <c r="AB262" s="57">
        <f t="shared" si="360"/>
        <v>1092</v>
      </c>
      <c r="AC262" s="57">
        <f t="shared" si="360"/>
        <v>1092</v>
      </c>
      <c r="AD262" s="57"/>
      <c r="AE262" s="57">
        <f>ROUND((G262-H262)*(K262-5840)/K262,0)-5</f>
        <v>4607</v>
      </c>
      <c r="AF262" s="140">
        <f t="shared" si="349"/>
        <v>14927.313955068494</v>
      </c>
      <c r="AG262" s="32">
        <f t="shared" si="316"/>
        <v>22079</v>
      </c>
      <c r="AH262" s="101">
        <f t="shared" si="311"/>
        <v>22079.313955068494</v>
      </c>
      <c r="AP262" s="101"/>
      <c r="AQ262" s="101"/>
    </row>
    <row r="263" spans="1:43" ht="15.9" customHeight="1" x14ac:dyDescent="0.3">
      <c r="A263" s="475"/>
      <c r="B263" s="52" t="s">
        <v>66</v>
      </c>
      <c r="C263" s="98">
        <v>39991</v>
      </c>
      <c r="D263" s="54">
        <v>151868</v>
      </c>
      <c r="E263" s="78">
        <v>25</v>
      </c>
      <c r="F263" s="54">
        <v>38182.970814246575</v>
      </c>
      <c r="G263" s="89">
        <f t="shared" si="309"/>
        <v>113685.02918575343</v>
      </c>
      <c r="H263" s="57">
        <f t="shared" si="312"/>
        <v>7593</v>
      </c>
      <c r="I263" s="58">
        <f t="shared" si="313"/>
        <v>1739</v>
      </c>
      <c r="J263" s="100">
        <f t="shared" si="358"/>
        <v>49121</v>
      </c>
      <c r="K263" s="60">
        <f t="shared" si="269"/>
        <v>7392</v>
      </c>
      <c r="L263" s="57">
        <v>0</v>
      </c>
      <c r="M263" s="57"/>
      <c r="N263" s="57">
        <f t="shared" ref="N263:AC263" si="361">+ROUND(($G$263-$H$263)*365/$K$263,0)</f>
        <v>5239</v>
      </c>
      <c r="O263" s="57">
        <f t="shared" si="361"/>
        <v>5239</v>
      </c>
      <c r="P263" s="57">
        <f t="shared" si="361"/>
        <v>5239</v>
      </c>
      <c r="Q263" s="57">
        <f t="shared" si="361"/>
        <v>5239</v>
      </c>
      <c r="R263" s="57">
        <f t="shared" si="361"/>
        <v>5239</v>
      </c>
      <c r="S263" s="57">
        <f t="shared" si="361"/>
        <v>5239</v>
      </c>
      <c r="T263" s="57">
        <f t="shared" si="361"/>
        <v>5239</v>
      </c>
      <c r="U263" s="352">
        <f t="shared" si="361"/>
        <v>5239</v>
      </c>
      <c r="V263" s="57">
        <f t="shared" si="361"/>
        <v>5239</v>
      </c>
      <c r="W263" s="57">
        <f t="shared" si="361"/>
        <v>5239</v>
      </c>
      <c r="X263" s="57">
        <f t="shared" si="361"/>
        <v>5239</v>
      </c>
      <c r="Y263" s="57">
        <f t="shared" si="361"/>
        <v>5239</v>
      </c>
      <c r="Z263" s="57">
        <f t="shared" si="361"/>
        <v>5239</v>
      </c>
      <c r="AA263" s="57">
        <f t="shared" si="361"/>
        <v>5239</v>
      </c>
      <c r="AB263" s="57">
        <f t="shared" si="361"/>
        <v>5239</v>
      </c>
      <c r="AC263" s="57">
        <f t="shared" si="361"/>
        <v>5239</v>
      </c>
      <c r="AD263" s="57"/>
      <c r="AE263" s="57">
        <f>ROUND((G263-H263)*(K263-5840)/K263,0)-7</f>
        <v>22268</v>
      </c>
      <c r="AF263" s="140">
        <f t="shared" si="349"/>
        <v>71773.029185753432</v>
      </c>
      <c r="AG263" s="32">
        <f t="shared" si="316"/>
        <v>106092</v>
      </c>
      <c r="AH263" s="101">
        <f t="shared" si="311"/>
        <v>106092.02918575343</v>
      </c>
      <c r="AP263" s="101"/>
      <c r="AQ263" s="101"/>
    </row>
    <row r="264" spans="1:43" ht="15.9" customHeight="1" x14ac:dyDescent="0.3">
      <c r="A264" s="475"/>
      <c r="B264" s="52" t="s">
        <v>67</v>
      </c>
      <c r="C264" s="98">
        <v>39998</v>
      </c>
      <c r="D264" s="54">
        <v>42228</v>
      </c>
      <c r="E264" s="78">
        <v>15</v>
      </c>
      <c r="F264" s="54">
        <v>9513.0900821917803</v>
      </c>
      <c r="G264" s="89">
        <f t="shared" si="309"/>
        <v>32714.909917808218</v>
      </c>
      <c r="H264" s="57">
        <f t="shared" si="312"/>
        <v>2111</v>
      </c>
      <c r="I264" s="58">
        <f t="shared" si="313"/>
        <v>1732</v>
      </c>
      <c r="J264" s="100">
        <f t="shared" si="318"/>
        <v>45476</v>
      </c>
      <c r="K264" s="60">
        <f t="shared" si="269"/>
        <v>3747</v>
      </c>
      <c r="L264" s="57">
        <v>0</v>
      </c>
      <c r="M264" s="57"/>
      <c r="N264" s="57">
        <f>+ROUND((G264-H264)*365/K264,0)</f>
        <v>2981</v>
      </c>
      <c r="O264" s="80">
        <f t="shared" si="278"/>
        <v>2981</v>
      </c>
      <c r="P264" s="80">
        <f t="shared" ref="P264:V264" si="362">+O264</f>
        <v>2981</v>
      </c>
      <c r="Q264" s="80">
        <f t="shared" si="362"/>
        <v>2981</v>
      </c>
      <c r="R264" s="80">
        <f t="shared" si="362"/>
        <v>2981</v>
      </c>
      <c r="S264" s="80">
        <f t="shared" si="362"/>
        <v>2981</v>
      </c>
      <c r="T264" s="57">
        <f t="shared" si="362"/>
        <v>2981</v>
      </c>
      <c r="U264" s="353">
        <f t="shared" si="362"/>
        <v>2981</v>
      </c>
      <c r="V264" s="80">
        <f t="shared" si="362"/>
        <v>2981</v>
      </c>
      <c r="W264" s="80">
        <f t="shared" si="346"/>
        <v>2981</v>
      </c>
      <c r="X264" s="57">
        <f>+ROUND((G264-H264)*(K264-3650)/K264,0)+2</f>
        <v>794</v>
      </c>
      <c r="Y264" s="57">
        <v>0</v>
      </c>
      <c r="Z264" s="80">
        <f t="shared" ref="Z264:AC264" si="363">+Y264</f>
        <v>0</v>
      </c>
      <c r="AA264" s="80">
        <f t="shared" si="363"/>
        <v>0</v>
      </c>
      <c r="AB264" s="80">
        <f t="shared" si="363"/>
        <v>0</v>
      </c>
      <c r="AC264" s="80">
        <f t="shared" si="363"/>
        <v>0</v>
      </c>
      <c r="AD264" s="80"/>
      <c r="AE264" s="80">
        <f>+AC264</f>
        <v>0</v>
      </c>
      <c r="AF264" s="140">
        <f t="shared" si="349"/>
        <v>8866.9099178082179</v>
      </c>
      <c r="AG264" s="32">
        <f t="shared" si="316"/>
        <v>30604</v>
      </c>
      <c r="AH264" s="101">
        <f t="shared" si="311"/>
        <v>30603.909917808218</v>
      </c>
      <c r="AP264" s="101"/>
      <c r="AQ264" s="101"/>
    </row>
    <row r="265" spans="1:43" ht="15.9" customHeight="1" x14ac:dyDescent="0.3">
      <c r="A265" s="475"/>
      <c r="B265" s="52" t="s">
        <v>342</v>
      </c>
      <c r="C265" s="98">
        <v>40005</v>
      </c>
      <c r="D265" s="54">
        <v>12582</v>
      </c>
      <c r="E265" s="78">
        <v>15</v>
      </c>
      <c r="F265" s="54">
        <v>12582</v>
      </c>
      <c r="G265" s="89">
        <f t="shared" si="309"/>
        <v>0</v>
      </c>
      <c r="H265" s="57">
        <v>0</v>
      </c>
      <c r="I265" s="58">
        <v>0</v>
      </c>
      <c r="J265" s="58">
        <v>0</v>
      </c>
      <c r="K265" s="60">
        <v>0</v>
      </c>
      <c r="L265" s="57">
        <v>0</v>
      </c>
      <c r="M265" s="57"/>
      <c r="N265" s="57">
        <v>0</v>
      </c>
      <c r="O265" s="57">
        <v>0</v>
      </c>
      <c r="P265" s="57">
        <v>0</v>
      </c>
      <c r="Q265" s="57">
        <v>0</v>
      </c>
      <c r="R265" s="57">
        <v>0</v>
      </c>
      <c r="S265" s="57">
        <v>0</v>
      </c>
      <c r="T265" s="57">
        <v>0</v>
      </c>
      <c r="U265" s="352">
        <v>0</v>
      </c>
      <c r="V265" s="57">
        <v>0</v>
      </c>
      <c r="W265" s="57">
        <v>0</v>
      </c>
      <c r="X265" s="80">
        <v>0</v>
      </c>
      <c r="Y265" s="80">
        <f t="shared" ref="Y265" si="364">+X265</f>
        <v>0</v>
      </c>
      <c r="Z265" s="80">
        <f t="shared" ref="Z265:AC265" si="365">+Y265</f>
        <v>0</v>
      </c>
      <c r="AA265" s="80">
        <f t="shared" si="365"/>
        <v>0</v>
      </c>
      <c r="AB265" s="80">
        <f t="shared" si="365"/>
        <v>0</v>
      </c>
      <c r="AC265" s="80">
        <f t="shared" si="365"/>
        <v>0</v>
      </c>
      <c r="AD265" s="80"/>
      <c r="AE265" s="80">
        <f>+AC265</f>
        <v>0</v>
      </c>
      <c r="AF265" s="140">
        <f t="shared" si="349"/>
        <v>0</v>
      </c>
      <c r="AG265" s="32">
        <f t="shared" si="316"/>
        <v>0</v>
      </c>
      <c r="AH265" s="101">
        <f t="shared" si="311"/>
        <v>0</v>
      </c>
      <c r="AP265" s="101"/>
      <c r="AQ265" s="101"/>
    </row>
    <row r="266" spans="1:43" ht="15.9" customHeight="1" x14ac:dyDescent="0.3">
      <c r="A266" s="475"/>
      <c r="B266" s="52" t="s">
        <v>68</v>
      </c>
      <c r="C266" s="98">
        <v>40037</v>
      </c>
      <c r="D266" s="54">
        <v>316711</v>
      </c>
      <c r="E266" s="78">
        <v>25</v>
      </c>
      <c r="F266" s="54">
        <v>77517.33550027397</v>
      </c>
      <c r="G266" s="89">
        <f t="shared" si="309"/>
        <v>239193.66449972603</v>
      </c>
      <c r="H266" s="57">
        <f t="shared" si="312"/>
        <v>15836</v>
      </c>
      <c r="I266" s="58">
        <f t="shared" si="313"/>
        <v>1693</v>
      </c>
      <c r="J266" s="100">
        <f t="shared" ref="J266:J269" si="366">+C266+9130</f>
        <v>49167</v>
      </c>
      <c r="K266" s="60">
        <f t="shared" ref="K266:K295" si="367">+J266-C266-I266+1</f>
        <v>7438</v>
      </c>
      <c r="L266" s="57">
        <v>0</v>
      </c>
      <c r="M266" s="57"/>
      <c r="N266" s="57">
        <f t="shared" ref="N266:AC266" si="368">+ROUND(($G$266-$H$266)*365/$K$266,0)</f>
        <v>10961</v>
      </c>
      <c r="O266" s="57">
        <f t="shared" si="368"/>
        <v>10961</v>
      </c>
      <c r="P266" s="57">
        <f t="shared" si="368"/>
        <v>10961</v>
      </c>
      <c r="Q266" s="57">
        <f t="shared" si="368"/>
        <v>10961</v>
      </c>
      <c r="R266" s="57">
        <f t="shared" si="368"/>
        <v>10961</v>
      </c>
      <c r="S266" s="57">
        <f t="shared" si="368"/>
        <v>10961</v>
      </c>
      <c r="T266" s="57">
        <f t="shared" si="368"/>
        <v>10961</v>
      </c>
      <c r="U266" s="352">
        <f t="shared" si="368"/>
        <v>10961</v>
      </c>
      <c r="V266" s="57">
        <f t="shared" si="368"/>
        <v>10961</v>
      </c>
      <c r="W266" s="57">
        <f t="shared" si="368"/>
        <v>10961</v>
      </c>
      <c r="X266" s="57">
        <f t="shared" si="368"/>
        <v>10961</v>
      </c>
      <c r="Y266" s="57">
        <f t="shared" si="368"/>
        <v>10961</v>
      </c>
      <c r="Z266" s="57">
        <f t="shared" si="368"/>
        <v>10961</v>
      </c>
      <c r="AA266" s="57">
        <f t="shared" si="368"/>
        <v>10961</v>
      </c>
      <c r="AB266" s="57">
        <f t="shared" si="368"/>
        <v>10961</v>
      </c>
      <c r="AC266" s="57">
        <f t="shared" si="368"/>
        <v>10961</v>
      </c>
      <c r="AD266" s="57"/>
      <c r="AE266" s="57">
        <f>ROUND((G266-H266)*(K266-5840)/K266,0)-5</f>
        <v>47982</v>
      </c>
      <c r="AF266" s="140">
        <f t="shared" si="349"/>
        <v>151505.66449972603</v>
      </c>
      <c r="AG266" s="32">
        <f t="shared" si="316"/>
        <v>223358</v>
      </c>
      <c r="AH266" s="101">
        <f t="shared" ref="AH266:AH298" si="369">G266-H266</f>
        <v>223357.66449972603</v>
      </c>
      <c r="AP266" s="101"/>
      <c r="AQ266" s="101"/>
    </row>
    <row r="267" spans="1:43" ht="15.9" customHeight="1" x14ac:dyDescent="0.3">
      <c r="A267" s="475"/>
      <c r="B267" s="52" t="s">
        <v>69</v>
      </c>
      <c r="C267" s="98">
        <v>40113</v>
      </c>
      <c r="D267" s="54">
        <v>20015</v>
      </c>
      <c r="E267" s="78">
        <v>15</v>
      </c>
      <c r="F267" s="54">
        <v>4210.0444178082189</v>
      </c>
      <c r="G267" s="89">
        <f t="shared" si="309"/>
        <v>15804.955582191782</v>
      </c>
      <c r="H267" s="57">
        <f t="shared" si="312"/>
        <v>1001</v>
      </c>
      <c r="I267" s="58">
        <f t="shared" si="313"/>
        <v>1617</v>
      </c>
      <c r="J267" s="100">
        <f t="shared" si="318"/>
        <v>45591</v>
      </c>
      <c r="K267" s="60">
        <f t="shared" si="367"/>
        <v>3862</v>
      </c>
      <c r="L267" s="57">
        <v>0</v>
      </c>
      <c r="M267" s="57"/>
      <c r="N267" s="57">
        <f>+ROUND((G267-H267)*365/K267,0)</f>
        <v>1399</v>
      </c>
      <c r="O267" s="80">
        <f t="shared" ref="O267:O286" si="370">+N267</f>
        <v>1399</v>
      </c>
      <c r="P267" s="80">
        <f t="shared" ref="P267:V267" si="371">+O267</f>
        <v>1399</v>
      </c>
      <c r="Q267" s="80">
        <f t="shared" si="371"/>
        <v>1399</v>
      </c>
      <c r="R267" s="80">
        <f t="shared" si="371"/>
        <v>1399</v>
      </c>
      <c r="S267" s="80">
        <f t="shared" si="371"/>
        <v>1399</v>
      </c>
      <c r="T267" s="57">
        <f t="shared" si="371"/>
        <v>1399</v>
      </c>
      <c r="U267" s="353">
        <f t="shared" si="371"/>
        <v>1399</v>
      </c>
      <c r="V267" s="80">
        <f t="shared" si="371"/>
        <v>1399</v>
      </c>
      <c r="W267" s="80">
        <f t="shared" si="346"/>
        <v>1399</v>
      </c>
      <c r="X267" s="57">
        <f>+ROUND((G267-H267)*(K267-3650)/K267,0)+1</f>
        <v>814</v>
      </c>
      <c r="Y267" s="57">
        <v>0</v>
      </c>
      <c r="Z267" s="80">
        <f t="shared" ref="Z267:AC267" si="372">+Y267</f>
        <v>0</v>
      </c>
      <c r="AA267" s="80">
        <f t="shared" si="372"/>
        <v>0</v>
      </c>
      <c r="AB267" s="80">
        <f t="shared" si="372"/>
        <v>0</v>
      </c>
      <c r="AC267" s="80">
        <f t="shared" si="372"/>
        <v>0</v>
      </c>
      <c r="AD267" s="80"/>
      <c r="AE267" s="80">
        <f>+AC267</f>
        <v>0</v>
      </c>
      <c r="AF267" s="140">
        <f t="shared" si="349"/>
        <v>4612.955582191782</v>
      </c>
      <c r="AG267" s="32">
        <f t="shared" si="316"/>
        <v>14804</v>
      </c>
      <c r="AH267" s="101">
        <f t="shared" si="369"/>
        <v>14803.955582191782</v>
      </c>
      <c r="AP267" s="101"/>
      <c r="AQ267" s="101"/>
    </row>
    <row r="268" spans="1:43" ht="15.9" customHeight="1" x14ac:dyDescent="0.3">
      <c r="A268" s="475"/>
      <c r="B268" s="52" t="s">
        <v>70</v>
      </c>
      <c r="C268" s="98">
        <v>40120</v>
      </c>
      <c r="D268" s="54">
        <v>1181204</v>
      </c>
      <c r="E268" s="78">
        <v>25</v>
      </c>
      <c r="F268" s="54">
        <v>274931.20985424658</v>
      </c>
      <c r="G268" s="89">
        <f t="shared" si="309"/>
        <v>906272.79014575342</v>
      </c>
      <c r="H268" s="57">
        <f t="shared" si="312"/>
        <v>59060</v>
      </c>
      <c r="I268" s="58">
        <f t="shared" si="313"/>
        <v>1610</v>
      </c>
      <c r="J268" s="100">
        <f t="shared" si="366"/>
        <v>49250</v>
      </c>
      <c r="K268" s="60">
        <f t="shared" si="367"/>
        <v>7521</v>
      </c>
      <c r="L268" s="57">
        <v>0</v>
      </c>
      <c r="M268" s="57"/>
      <c r="N268" s="57">
        <f t="shared" ref="N268:AC268" si="373">+ROUND(($G$268-$H$268)*365/$K$268,0)</f>
        <v>41116</v>
      </c>
      <c r="O268" s="57">
        <f t="shared" si="373"/>
        <v>41116</v>
      </c>
      <c r="P268" s="57">
        <f t="shared" si="373"/>
        <v>41116</v>
      </c>
      <c r="Q268" s="57">
        <f t="shared" si="373"/>
        <v>41116</v>
      </c>
      <c r="R268" s="57">
        <f t="shared" si="373"/>
        <v>41116</v>
      </c>
      <c r="S268" s="57">
        <f t="shared" si="373"/>
        <v>41116</v>
      </c>
      <c r="T268" s="57">
        <f t="shared" si="373"/>
        <v>41116</v>
      </c>
      <c r="U268" s="352">
        <f t="shared" si="373"/>
        <v>41116</v>
      </c>
      <c r="V268" s="57">
        <f t="shared" si="373"/>
        <v>41116</v>
      </c>
      <c r="W268" s="57">
        <f t="shared" si="373"/>
        <v>41116</v>
      </c>
      <c r="X268" s="57">
        <f t="shared" si="373"/>
        <v>41116</v>
      </c>
      <c r="Y268" s="57">
        <f t="shared" si="373"/>
        <v>41116</v>
      </c>
      <c r="Z268" s="57">
        <f t="shared" si="373"/>
        <v>41116</v>
      </c>
      <c r="AA268" s="57">
        <f t="shared" si="373"/>
        <v>41116</v>
      </c>
      <c r="AB268" s="57">
        <f t="shared" si="373"/>
        <v>41116</v>
      </c>
      <c r="AC268" s="57">
        <f t="shared" si="373"/>
        <v>41116</v>
      </c>
      <c r="AD268" s="57"/>
      <c r="AE268" s="57">
        <f>ROUND((G268-H268)*(K268-5840)/K268,0)-1</f>
        <v>189357</v>
      </c>
      <c r="AF268" s="140">
        <f t="shared" si="349"/>
        <v>577344.79014575342</v>
      </c>
      <c r="AG268" s="32">
        <f t="shared" si="316"/>
        <v>847213</v>
      </c>
      <c r="AH268" s="101">
        <f t="shared" si="369"/>
        <v>847212.79014575342</v>
      </c>
      <c r="AP268" s="101"/>
      <c r="AQ268" s="101"/>
    </row>
    <row r="269" spans="1:43" ht="15.9" customHeight="1" x14ac:dyDescent="0.3">
      <c r="A269" s="475"/>
      <c r="B269" s="52" t="s">
        <v>71</v>
      </c>
      <c r="C269" s="98">
        <v>40144</v>
      </c>
      <c r="D269" s="54">
        <v>975674</v>
      </c>
      <c r="E269" s="78">
        <v>25</v>
      </c>
      <c r="F269" s="54">
        <v>223705.91158356165</v>
      </c>
      <c r="G269" s="89">
        <f t="shared" si="309"/>
        <v>751968.08841643832</v>
      </c>
      <c r="H269" s="57">
        <f t="shared" si="312"/>
        <v>48784</v>
      </c>
      <c r="I269" s="58">
        <f t="shared" si="313"/>
        <v>1586</v>
      </c>
      <c r="J269" s="100">
        <f t="shared" si="366"/>
        <v>49274</v>
      </c>
      <c r="K269" s="60">
        <f t="shared" si="367"/>
        <v>7545</v>
      </c>
      <c r="L269" s="57">
        <v>0</v>
      </c>
      <c r="M269" s="57"/>
      <c r="N269" s="57">
        <f t="shared" ref="N269:AC269" si="374">+ROUND(($G$269-$H$269)*365/$K$269,0)</f>
        <v>34018</v>
      </c>
      <c r="O269" s="57">
        <f t="shared" si="374"/>
        <v>34018</v>
      </c>
      <c r="P269" s="57">
        <f t="shared" si="374"/>
        <v>34018</v>
      </c>
      <c r="Q269" s="57">
        <f t="shared" si="374"/>
        <v>34018</v>
      </c>
      <c r="R269" s="57">
        <f t="shared" si="374"/>
        <v>34018</v>
      </c>
      <c r="S269" s="57">
        <f t="shared" si="374"/>
        <v>34018</v>
      </c>
      <c r="T269" s="57">
        <f t="shared" si="374"/>
        <v>34018</v>
      </c>
      <c r="U269" s="352">
        <f t="shared" si="374"/>
        <v>34018</v>
      </c>
      <c r="V269" s="57">
        <f t="shared" si="374"/>
        <v>34018</v>
      </c>
      <c r="W269" s="57">
        <f t="shared" si="374"/>
        <v>34018</v>
      </c>
      <c r="X269" s="57">
        <f t="shared" si="374"/>
        <v>34018</v>
      </c>
      <c r="Y269" s="57">
        <f t="shared" si="374"/>
        <v>34018</v>
      </c>
      <c r="Z269" s="57">
        <f t="shared" si="374"/>
        <v>34018</v>
      </c>
      <c r="AA269" s="57">
        <f t="shared" si="374"/>
        <v>34018</v>
      </c>
      <c r="AB269" s="57">
        <f t="shared" si="374"/>
        <v>34018</v>
      </c>
      <c r="AC269" s="57">
        <f t="shared" si="374"/>
        <v>34018</v>
      </c>
      <c r="AD269" s="57"/>
      <c r="AE269" s="57">
        <f>ROUND((G269-H269)*(K269-5840)/K269,0)-8</f>
        <v>158896</v>
      </c>
      <c r="AF269" s="140">
        <f t="shared" si="349"/>
        <v>479824.08841643832</v>
      </c>
      <c r="AG269" s="32">
        <f t="shared" si="316"/>
        <v>703184</v>
      </c>
      <c r="AH269" s="101">
        <f t="shared" si="369"/>
        <v>703184.08841643832</v>
      </c>
      <c r="AP269" s="101"/>
      <c r="AQ269" s="101"/>
    </row>
    <row r="270" spans="1:43" ht="15.9" customHeight="1" x14ac:dyDescent="0.3">
      <c r="A270" s="475"/>
      <c r="B270" s="52" t="s">
        <v>72</v>
      </c>
      <c r="C270" s="98">
        <v>40158</v>
      </c>
      <c r="D270" s="54">
        <v>92572</v>
      </c>
      <c r="E270" s="78">
        <v>15</v>
      </c>
      <c r="F270" s="54">
        <v>18925.391561643835</v>
      </c>
      <c r="G270" s="89">
        <f t="shared" si="309"/>
        <v>73646.608438356168</v>
      </c>
      <c r="H270" s="57">
        <f t="shared" si="312"/>
        <v>4629</v>
      </c>
      <c r="I270" s="58">
        <f t="shared" si="313"/>
        <v>1572</v>
      </c>
      <c r="J270" s="100">
        <f t="shared" si="318"/>
        <v>45636</v>
      </c>
      <c r="K270" s="60">
        <f t="shared" si="367"/>
        <v>3907</v>
      </c>
      <c r="L270" s="57">
        <v>0</v>
      </c>
      <c r="M270" s="57"/>
      <c r="N270" s="57">
        <f>+ROUND((G270-H270)*365/K270,0)</f>
        <v>6448</v>
      </c>
      <c r="O270" s="80">
        <f t="shared" si="370"/>
        <v>6448</v>
      </c>
      <c r="P270" s="80">
        <f t="shared" ref="P270:V270" si="375">+O270</f>
        <v>6448</v>
      </c>
      <c r="Q270" s="80">
        <f t="shared" si="375"/>
        <v>6448</v>
      </c>
      <c r="R270" s="80">
        <f t="shared" si="375"/>
        <v>6448</v>
      </c>
      <c r="S270" s="80">
        <f t="shared" si="375"/>
        <v>6448</v>
      </c>
      <c r="T270" s="57">
        <f t="shared" si="375"/>
        <v>6448</v>
      </c>
      <c r="U270" s="353">
        <f t="shared" si="375"/>
        <v>6448</v>
      </c>
      <c r="V270" s="80">
        <f t="shared" si="375"/>
        <v>6448</v>
      </c>
      <c r="W270" s="80">
        <f t="shared" si="346"/>
        <v>6448</v>
      </c>
      <c r="X270" s="57">
        <f>+ROUND((G270-H270)*(K270-3650)/K270,0)-2</f>
        <v>4538</v>
      </c>
      <c r="Y270" s="57">
        <v>0</v>
      </c>
      <c r="Z270" s="80">
        <f t="shared" ref="Z270:AC270" si="376">+Y270</f>
        <v>0</v>
      </c>
      <c r="AA270" s="80">
        <f t="shared" si="376"/>
        <v>0</v>
      </c>
      <c r="AB270" s="80">
        <f t="shared" si="376"/>
        <v>0</v>
      </c>
      <c r="AC270" s="80">
        <f t="shared" si="376"/>
        <v>0</v>
      </c>
      <c r="AD270" s="80"/>
      <c r="AE270" s="80">
        <f>+AC270</f>
        <v>0</v>
      </c>
      <c r="AF270" s="140">
        <f t="shared" si="349"/>
        <v>22062.608438356168</v>
      </c>
      <c r="AG270" s="32">
        <f t="shared" si="316"/>
        <v>69018</v>
      </c>
      <c r="AH270" s="101">
        <f t="shared" si="369"/>
        <v>69017.608438356168</v>
      </c>
      <c r="AP270" s="101"/>
      <c r="AQ270" s="101"/>
    </row>
    <row r="271" spans="1:43" ht="15.9" customHeight="1" x14ac:dyDescent="0.3">
      <c r="A271" s="475"/>
      <c r="B271" s="52" t="s">
        <v>73</v>
      </c>
      <c r="C271" s="98">
        <v>40169</v>
      </c>
      <c r="D271" s="54">
        <v>144967</v>
      </c>
      <c r="E271" s="78">
        <v>15</v>
      </c>
      <c r="F271" s="54">
        <v>29430.489349315067</v>
      </c>
      <c r="G271" s="89">
        <f t="shared" si="309"/>
        <v>115536.51065068494</v>
      </c>
      <c r="H271" s="57">
        <f t="shared" si="312"/>
        <v>7248</v>
      </c>
      <c r="I271" s="58">
        <f t="shared" si="313"/>
        <v>1561</v>
      </c>
      <c r="J271" s="100">
        <f t="shared" si="318"/>
        <v>45647</v>
      </c>
      <c r="K271" s="60">
        <f t="shared" si="367"/>
        <v>3918</v>
      </c>
      <c r="L271" s="57">
        <v>0</v>
      </c>
      <c r="M271" s="57"/>
      <c r="N271" s="57">
        <f>+ROUND((G271-H271)*365/K271,0)</f>
        <v>10088</v>
      </c>
      <c r="O271" s="80">
        <f t="shared" si="370"/>
        <v>10088</v>
      </c>
      <c r="P271" s="80">
        <f t="shared" ref="P271:V271" si="377">+O271</f>
        <v>10088</v>
      </c>
      <c r="Q271" s="80">
        <f t="shared" si="377"/>
        <v>10088</v>
      </c>
      <c r="R271" s="80">
        <f t="shared" si="377"/>
        <v>10088</v>
      </c>
      <c r="S271" s="80">
        <f t="shared" si="377"/>
        <v>10088</v>
      </c>
      <c r="T271" s="57">
        <f t="shared" si="377"/>
        <v>10088</v>
      </c>
      <c r="U271" s="353">
        <f t="shared" si="377"/>
        <v>10088</v>
      </c>
      <c r="V271" s="80">
        <f t="shared" si="377"/>
        <v>10088</v>
      </c>
      <c r="W271" s="80">
        <f t="shared" si="346"/>
        <v>10088</v>
      </c>
      <c r="X271" s="57">
        <f>+ROUND((G271-H271)*(K271-3650)/K271,0)+2</f>
        <v>7409</v>
      </c>
      <c r="Y271" s="57">
        <v>0</v>
      </c>
      <c r="Z271" s="80">
        <f t="shared" ref="Z271:AC271" si="378">+Y271</f>
        <v>0</v>
      </c>
      <c r="AA271" s="80">
        <f t="shared" si="378"/>
        <v>0</v>
      </c>
      <c r="AB271" s="80">
        <f t="shared" si="378"/>
        <v>0</v>
      </c>
      <c r="AC271" s="80">
        <f t="shared" si="378"/>
        <v>0</v>
      </c>
      <c r="AD271" s="80"/>
      <c r="AE271" s="80">
        <f>+AC271</f>
        <v>0</v>
      </c>
      <c r="AF271" s="140">
        <f t="shared" si="349"/>
        <v>34832.510650684941</v>
      </c>
      <c r="AG271" s="32">
        <f t="shared" si="316"/>
        <v>108289</v>
      </c>
      <c r="AH271" s="101">
        <f t="shared" si="369"/>
        <v>108288.51065068494</v>
      </c>
      <c r="AP271" s="101"/>
      <c r="AQ271" s="101"/>
    </row>
    <row r="272" spans="1:43" ht="15.9" customHeight="1" x14ac:dyDescent="0.3">
      <c r="A272" s="475"/>
      <c r="B272" s="52" t="s">
        <v>74</v>
      </c>
      <c r="C272" s="98">
        <v>40195</v>
      </c>
      <c r="D272" s="54">
        <v>490136</v>
      </c>
      <c r="E272" s="78">
        <v>25</v>
      </c>
      <c r="F272" s="54">
        <v>108762.91882520547</v>
      </c>
      <c r="G272" s="89">
        <f t="shared" si="309"/>
        <v>381373.08117479453</v>
      </c>
      <c r="H272" s="57">
        <f t="shared" si="312"/>
        <v>24507</v>
      </c>
      <c r="I272" s="58">
        <f t="shared" si="313"/>
        <v>1535</v>
      </c>
      <c r="J272" s="100">
        <f t="shared" ref="J272:J284" si="379">+C272+9130</f>
        <v>49325</v>
      </c>
      <c r="K272" s="60">
        <f t="shared" si="367"/>
        <v>7596</v>
      </c>
      <c r="L272" s="57">
        <v>0</v>
      </c>
      <c r="M272" s="57"/>
      <c r="N272" s="57">
        <f t="shared" ref="N272:AC272" si="380">+ROUND(($G$272-$H$272)*365/$K$272,0)</f>
        <v>17148</v>
      </c>
      <c r="O272" s="57">
        <f t="shared" si="380"/>
        <v>17148</v>
      </c>
      <c r="P272" s="57">
        <f t="shared" si="380"/>
        <v>17148</v>
      </c>
      <c r="Q272" s="57">
        <f t="shared" si="380"/>
        <v>17148</v>
      </c>
      <c r="R272" s="57">
        <f t="shared" si="380"/>
        <v>17148</v>
      </c>
      <c r="S272" s="57">
        <f t="shared" si="380"/>
        <v>17148</v>
      </c>
      <c r="T272" s="57">
        <f t="shared" si="380"/>
        <v>17148</v>
      </c>
      <c r="U272" s="352">
        <f t="shared" si="380"/>
        <v>17148</v>
      </c>
      <c r="V272" s="57">
        <f t="shared" si="380"/>
        <v>17148</v>
      </c>
      <c r="W272" s="57">
        <f t="shared" si="380"/>
        <v>17148</v>
      </c>
      <c r="X272" s="57">
        <f t="shared" si="380"/>
        <v>17148</v>
      </c>
      <c r="Y272" s="57">
        <f t="shared" si="380"/>
        <v>17148</v>
      </c>
      <c r="Z272" s="57">
        <f t="shared" si="380"/>
        <v>17148</v>
      </c>
      <c r="AA272" s="57">
        <f t="shared" si="380"/>
        <v>17148</v>
      </c>
      <c r="AB272" s="57">
        <f t="shared" si="380"/>
        <v>17148</v>
      </c>
      <c r="AC272" s="57">
        <f t="shared" si="380"/>
        <v>17148</v>
      </c>
      <c r="AD272" s="57"/>
      <c r="AE272" s="57">
        <f>ROUND((G272-H272)*(K272-5840)/K272,0)</f>
        <v>82498</v>
      </c>
      <c r="AF272" s="140">
        <f t="shared" si="349"/>
        <v>244189.08117479453</v>
      </c>
      <c r="AG272" s="32">
        <f t="shared" si="316"/>
        <v>356866</v>
      </c>
      <c r="AH272" s="101">
        <f t="shared" si="369"/>
        <v>356866.08117479453</v>
      </c>
      <c r="AP272" s="101"/>
      <c r="AQ272" s="101"/>
    </row>
    <row r="273" spans="1:43" ht="15.9" customHeight="1" x14ac:dyDescent="0.3">
      <c r="A273" s="475"/>
      <c r="B273" s="52" t="s">
        <v>75</v>
      </c>
      <c r="C273" s="98">
        <v>40235</v>
      </c>
      <c r="D273" s="54">
        <v>331555</v>
      </c>
      <c r="E273" s="78">
        <v>15</v>
      </c>
      <c r="F273" s="54">
        <v>64462.879828767123</v>
      </c>
      <c r="G273" s="89">
        <f t="shared" si="309"/>
        <v>267092.12017123285</v>
      </c>
      <c r="H273" s="57">
        <f t="shared" si="312"/>
        <v>16578</v>
      </c>
      <c r="I273" s="58">
        <f t="shared" si="313"/>
        <v>1495</v>
      </c>
      <c r="J273" s="100">
        <f t="shared" si="318"/>
        <v>45713</v>
      </c>
      <c r="K273" s="60">
        <f t="shared" si="367"/>
        <v>3984</v>
      </c>
      <c r="L273" s="57">
        <v>0</v>
      </c>
      <c r="M273" s="57"/>
      <c r="N273" s="57">
        <f>+ROUND((G273-H273)*365/K273,0)</f>
        <v>22951</v>
      </c>
      <c r="O273" s="80">
        <f t="shared" si="370"/>
        <v>22951</v>
      </c>
      <c r="P273" s="80">
        <f t="shared" ref="P273:V273" si="381">+O273</f>
        <v>22951</v>
      </c>
      <c r="Q273" s="80">
        <f t="shared" si="381"/>
        <v>22951</v>
      </c>
      <c r="R273" s="80">
        <f t="shared" si="381"/>
        <v>22951</v>
      </c>
      <c r="S273" s="80">
        <f t="shared" si="381"/>
        <v>22951</v>
      </c>
      <c r="T273" s="57">
        <f t="shared" si="381"/>
        <v>22951</v>
      </c>
      <c r="U273" s="353">
        <f t="shared" si="381"/>
        <v>22951</v>
      </c>
      <c r="V273" s="80">
        <f t="shared" si="381"/>
        <v>22951</v>
      </c>
      <c r="W273" s="80">
        <f t="shared" si="346"/>
        <v>22951</v>
      </c>
      <c r="X273" s="57">
        <f>+ROUND((G273-H273)*(K273-3650)/K273,0)+2</f>
        <v>21004</v>
      </c>
      <c r="Y273" s="57">
        <v>0</v>
      </c>
      <c r="Z273" s="80">
        <f t="shared" ref="Z273:AC273" si="382">+Y273</f>
        <v>0</v>
      </c>
      <c r="AA273" s="80">
        <f t="shared" si="382"/>
        <v>0</v>
      </c>
      <c r="AB273" s="80">
        <f t="shared" si="382"/>
        <v>0</v>
      </c>
      <c r="AC273" s="80">
        <f t="shared" si="382"/>
        <v>0</v>
      </c>
      <c r="AD273" s="80"/>
      <c r="AE273" s="80">
        <f>+AC273</f>
        <v>0</v>
      </c>
      <c r="AF273" s="140">
        <f t="shared" si="349"/>
        <v>83484.120171232847</v>
      </c>
      <c r="AG273" s="32">
        <f t="shared" si="316"/>
        <v>250514</v>
      </c>
      <c r="AH273" s="101">
        <f t="shared" si="369"/>
        <v>250514.12017123285</v>
      </c>
      <c r="AP273" s="101"/>
      <c r="AQ273" s="101"/>
    </row>
    <row r="274" spans="1:43" ht="15.9" customHeight="1" x14ac:dyDescent="0.3">
      <c r="A274" s="475"/>
      <c r="B274" s="52" t="s">
        <v>76</v>
      </c>
      <c r="C274" s="98">
        <v>40244</v>
      </c>
      <c r="D274" s="54">
        <v>1724031</v>
      </c>
      <c r="E274" s="78">
        <v>25</v>
      </c>
      <c r="F274" s="54">
        <v>370350.68863561645</v>
      </c>
      <c r="G274" s="89">
        <f t="shared" si="309"/>
        <v>1353680.3113643834</v>
      </c>
      <c r="H274" s="57">
        <f t="shared" si="312"/>
        <v>86202</v>
      </c>
      <c r="I274" s="58">
        <f t="shared" si="313"/>
        <v>1486</v>
      </c>
      <c r="J274" s="100">
        <f t="shared" si="379"/>
        <v>49374</v>
      </c>
      <c r="K274" s="60">
        <f t="shared" si="367"/>
        <v>7645</v>
      </c>
      <c r="L274" s="57">
        <v>0</v>
      </c>
      <c r="M274" s="57"/>
      <c r="N274" s="57">
        <f t="shared" ref="N274:AC274" si="383">+ROUND(($G$274-$H$274)*365/$K$274,0)</f>
        <v>60514</v>
      </c>
      <c r="O274" s="57">
        <f t="shared" si="383"/>
        <v>60514</v>
      </c>
      <c r="P274" s="57">
        <f t="shared" si="383"/>
        <v>60514</v>
      </c>
      <c r="Q274" s="57">
        <f t="shared" si="383"/>
        <v>60514</v>
      </c>
      <c r="R274" s="57">
        <f t="shared" si="383"/>
        <v>60514</v>
      </c>
      <c r="S274" s="57">
        <f t="shared" si="383"/>
        <v>60514</v>
      </c>
      <c r="T274" s="57">
        <f t="shared" si="383"/>
        <v>60514</v>
      </c>
      <c r="U274" s="352">
        <f t="shared" si="383"/>
        <v>60514</v>
      </c>
      <c r="V274" s="57">
        <f t="shared" si="383"/>
        <v>60514</v>
      </c>
      <c r="W274" s="57">
        <f t="shared" si="383"/>
        <v>60514</v>
      </c>
      <c r="X274" s="57">
        <f t="shared" si="383"/>
        <v>60514</v>
      </c>
      <c r="Y274" s="57">
        <f t="shared" si="383"/>
        <v>60514</v>
      </c>
      <c r="Z274" s="57">
        <f t="shared" si="383"/>
        <v>60514</v>
      </c>
      <c r="AA274" s="57">
        <f t="shared" si="383"/>
        <v>60514</v>
      </c>
      <c r="AB274" s="57">
        <f t="shared" si="383"/>
        <v>60514</v>
      </c>
      <c r="AC274" s="57">
        <f t="shared" si="383"/>
        <v>60514</v>
      </c>
      <c r="AD274" s="57"/>
      <c r="AE274" s="57">
        <f>ROUND((G274-H274)*(K274-5840)/K274,0)</f>
        <v>299254</v>
      </c>
      <c r="AF274" s="140">
        <f t="shared" si="349"/>
        <v>869568.31136438344</v>
      </c>
      <c r="AG274" s="32">
        <f t="shared" si="316"/>
        <v>1267478</v>
      </c>
      <c r="AH274" s="101">
        <f t="shared" si="369"/>
        <v>1267478.3113643834</v>
      </c>
      <c r="AP274" s="101"/>
      <c r="AQ274" s="101"/>
    </row>
    <row r="275" spans="1:43" ht="15.9" customHeight="1" x14ac:dyDescent="0.3">
      <c r="A275" s="475"/>
      <c r="B275" s="52" t="s">
        <v>77</v>
      </c>
      <c r="C275" s="98">
        <v>40282</v>
      </c>
      <c r="D275" s="54">
        <v>54102</v>
      </c>
      <c r="E275" s="78">
        <v>25</v>
      </c>
      <c r="F275" s="54">
        <v>11325.844195068494</v>
      </c>
      <c r="G275" s="89">
        <f t="shared" si="309"/>
        <v>42776.155804931506</v>
      </c>
      <c r="H275" s="57">
        <f t="shared" si="312"/>
        <v>2705</v>
      </c>
      <c r="I275" s="58">
        <f t="shared" si="313"/>
        <v>1448</v>
      </c>
      <c r="J275" s="100">
        <f t="shared" si="379"/>
        <v>49412</v>
      </c>
      <c r="K275" s="60">
        <f t="shared" si="367"/>
        <v>7683</v>
      </c>
      <c r="L275" s="57">
        <v>0</v>
      </c>
      <c r="M275" s="57"/>
      <c r="N275" s="57">
        <f t="shared" ref="N275:AC275" si="384">+ROUND(($G$275-$H$275)*365/$K$275,0)</f>
        <v>1904</v>
      </c>
      <c r="O275" s="57">
        <f t="shared" si="384"/>
        <v>1904</v>
      </c>
      <c r="P275" s="57">
        <f t="shared" si="384"/>
        <v>1904</v>
      </c>
      <c r="Q275" s="57">
        <f t="shared" si="384"/>
        <v>1904</v>
      </c>
      <c r="R275" s="57">
        <f t="shared" si="384"/>
        <v>1904</v>
      </c>
      <c r="S275" s="57">
        <f t="shared" si="384"/>
        <v>1904</v>
      </c>
      <c r="T275" s="57">
        <f t="shared" si="384"/>
        <v>1904</v>
      </c>
      <c r="U275" s="352">
        <f t="shared" si="384"/>
        <v>1904</v>
      </c>
      <c r="V275" s="57">
        <f t="shared" si="384"/>
        <v>1904</v>
      </c>
      <c r="W275" s="57">
        <f t="shared" si="384"/>
        <v>1904</v>
      </c>
      <c r="X275" s="57">
        <f t="shared" si="384"/>
        <v>1904</v>
      </c>
      <c r="Y275" s="57">
        <f t="shared" si="384"/>
        <v>1904</v>
      </c>
      <c r="Z275" s="57">
        <f t="shared" si="384"/>
        <v>1904</v>
      </c>
      <c r="AA275" s="57">
        <f t="shared" si="384"/>
        <v>1904</v>
      </c>
      <c r="AB275" s="57">
        <f t="shared" si="384"/>
        <v>1904</v>
      </c>
      <c r="AC275" s="57">
        <f t="shared" si="384"/>
        <v>1904</v>
      </c>
      <c r="AD275" s="57"/>
      <c r="AE275" s="57">
        <f>ROUND((G275-H275)*(K275-5840)/K275,0)-5</f>
        <v>9607</v>
      </c>
      <c r="AF275" s="140">
        <f t="shared" si="349"/>
        <v>27544.155804931506</v>
      </c>
      <c r="AG275" s="32">
        <f t="shared" si="316"/>
        <v>40071</v>
      </c>
      <c r="AH275" s="101">
        <f t="shared" si="369"/>
        <v>40071.155804931506</v>
      </c>
      <c r="AP275" s="101"/>
      <c r="AQ275" s="101"/>
    </row>
    <row r="276" spans="1:43" ht="15.9" customHeight="1" x14ac:dyDescent="0.3">
      <c r="A276" s="475"/>
      <c r="B276" s="52" t="s">
        <v>78</v>
      </c>
      <c r="C276" s="98">
        <v>40283</v>
      </c>
      <c r="D276" s="54">
        <v>63368</v>
      </c>
      <c r="E276" s="78">
        <v>25</v>
      </c>
      <c r="F276" s="54">
        <v>13255.497179178083</v>
      </c>
      <c r="G276" s="89">
        <f t="shared" si="309"/>
        <v>50112.502820821916</v>
      </c>
      <c r="H276" s="57">
        <f t="shared" si="312"/>
        <v>3168</v>
      </c>
      <c r="I276" s="58">
        <f t="shared" si="313"/>
        <v>1447</v>
      </c>
      <c r="J276" s="100">
        <f t="shared" si="379"/>
        <v>49413</v>
      </c>
      <c r="K276" s="60">
        <f t="shared" si="367"/>
        <v>7684</v>
      </c>
      <c r="L276" s="57">
        <v>0</v>
      </c>
      <c r="M276" s="57"/>
      <c r="N276" s="57">
        <f t="shared" ref="N276:AC276" si="385">+ROUND(($G$276-$H$276)*365/$K$276,0)</f>
        <v>2230</v>
      </c>
      <c r="O276" s="57">
        <f t="shared" si="385"/>
        <v>2230</v>
      </c>
      <c r="P276" s="57">
        <f t="shared" si="385"/>
        <v>2230</v>
      </c>
      <c r="Q276" s="57">
        <f t="shared" si="385"/>
        <v>2230</v>
      </c>
      <c r="R276" s="57">
        <f t="shared" si="385"/>
        <v>2230</v>
      </c>
      <c r="S276" s="57">
        <f t="shared" si="385"/>
        <v>2230</v>
      </c>
      <c r="T276" s="57">
        <f t="shared" si="385"/>
        <v>2230</v>
      </c>
      <c r="U276" s="352">
        <f t="shared" si="385"/>
        <v>2230</v>
      </c>
      <c r="V276" s="57">
        <f t="shared" si="385"/>
        <v>2230</v>
      </c>
      <c r="W276" s="57">
        <f t="shared" si="385"/>
        <v>2230</v>
      </c>
      <c r="X276" s="57">
        <f t="shared" si="385"/>
        <v>2230</v>
      </c>
      <c r="Y276" s="57">
        <f t="shared" si="385"/>
        <v>2230</v>
      </c>
      <c r="Z276" s="57">
        <f t="shared" si="385"/>
        <v>2230</v>
      </c>
      <c r="AA276" s="57">
        <f t="shared" si="385"/>
        <v>2230</v>
      </c>
      <c r="AB276" s="57">
        <f t="shared" si="385"/>
        <v>2230</v>
      </c>
      <c r="AC276" s="57">
        <f t="shared" si="385"/>
        <v>2230</v>
      </c>
      <c r="AD276" s="57"/>
      <c r="AE276" s="57">
        <f>ROUND((G276-H276)*(K276-5840)/K276,0)-1</f>
        <v>11265</v>
      </c>
      <c r="AF276" s="140">
        <f t="shared" si="349"/>
        <v>32272.502820821916</v>
      </c>
      <c r="AG276" s="32">
        <f t="shared" si="316"/>
        <v>46945</v>
      </c>
      <c r="AH276" s="101">
        <f t="shared" si="369"/>
        <v>46944.502820821916</v>
      </c>
      <c r="AP276" s="101"/>
      <c r="AQ276" s="101"/>
    </row>
    <row r="277" spans="1:43" ht="15.9" customHeight="1" x14ac:dyDescent="0.3">
      <c r="A277" s="475"/>
      <c r="B277" s="52" t="s">
        <v>79</v>
      </c>
      <c r="C277" s="98">
        <v>40327</v>
      </c>
      <c r="D277" s="54">
        <v>67900</v>
      </c>
      <c r="E277" s="78">
        <v>25</v>
      </c>
      <c r="F277" s="54">
        <v>13770.429698630136</v>
      </c>
      <c r="G277" s="89">
        <f t="shared" si="309"/>
        <v>54129.570301369866</v>
      </c>
      <c r="H277" s="57">
        <f t="shared" si="312"/>
        <v>3395</v>
      </c>
      <c r="I277" s="58">
        <f t="shared" si="313"/>
        <v>1403</v>
      </c>
      <c r="J277" s="100">
        <f t="shared" si="379"/>
        <v>49457</v>
      </c>
      <c r="K277" s="60">
        <f t="shared" si="367"/>
        <v>7728</v>
      </c>
      <c r="L277" s="57">
        <v>0</v>
      </c>
      <c r="M277" s="57"/>
      <c r="N277" s="57">
        <f t="shared" ref="N277:AC277" si="386">+ROUND(($G$277-$H$277)*365/$K$277,0)</f>
        <v>2396</v>
      </c>
      <c r="O277" s="57">
        <f t="shared" si="386"/>
        <v>2396</v>
      </c>
      <c r="P277" s="57">
        <f t="shared" si="386"/>
        <v>2396</v>
      </c>
      <c r="Q277" s="57">
        <f t="shared" si="386"/>
        <v>2396</v>
      </c>
      <c r="R277" s="57">
        <f t="shared" si="386"/>
        <v>2396</v>
      </c>
      <c r="S277" s="57">
        <f t="shared" si="386"/>
        <v>2396</v>
      </c>
      <c r="T277" s="57">
        <f t="shared" si="386"/>
        <v>2396</v>
      </c>
      <c r="U277" s="352">
        <f t="shared" si="386"/>
        <v>2396</v>
      </c>
      <c r="V277" s="57">
        <f t="shared" si="386"/>
        <v>2396</v>
      </c>
      <c r="W277" s="57">
        <f t="shared" si="386"/>
        <v>2396</v>
      </c>
      <c r="X277" s="57">
        <f t="shared" si="386"/>
        <v>2396</v>
      </c>
      <c r="Y277" s="57">
        <f t="shared" si="386"/>
        <v>2396</v>
      </c>
      <c r="Z277" s="57">
        <f t="shared" si="386"/>
        <v>2396</v>
      </c>
      <c r="AA277" s="57">
        <f t="shared" si="386"/>
        <v>2396</v>
      </c>
      <c r="AB277" s="57">
        <f t="shared" si="386"/>
        <v>2396</v>
      </c>
      <c r="AC277" s="57">
        <f t="shared" si="386"/>
        <v>2396</v>
      </c>
      <c r="AD277" s="57"/>
      <c r="AE277" s="57">
        <f>ROUND((G277-H277)*(K277-5840)/K277,0)+4</f>
        <v>12399</v>
      </c>
      <c r="AF277" s="140">
        <f t="shared" si="349"/>
        <v>34961.570301369866</v>
      </c>
      <c r="AG277" s="32">
        <f t="shared" si="316"/>
        <v>50735</v>
      </c>
      <c r="AH277" s="101">
        <f t="shared" si="369"/>
        <v>50734.570301369866</v>
      </c>
      <c r="AP277" s="101"/>
      <c r="AQ277" s="101"/>
    </row>
    <row r="278" spans="1:43" ht="15.9" customHeight="1" x14ac:dyDescent="0.3">
      <c r="A278" s="475"/>
      <c r="B278" s="52" t="s">
        <v>80</v>
      </c>
      <c r="C278" s="98">
        <v>40378</v>
      </c>
      <c r="D278" s="54">
        <v>190582</v>
      </c>
      <c r="E278" s="78">
        <v>25</v>
      </c>
      <c r="F278" s="54">
        <v>37246.69528109589</v>
      </c>
      <c r="G278" s="89">
        <f t="shared" si="309"/>
        <v>153335.30471890411</v>
      </c>
      <c r="H278" s="57">
        <f t="shared" si="312"/>
        <v>9529</v>
      </c>
      <c r="I278" s="58">
        <f t="shared" si="313"/>
        <v>1352</v>
      </c>
      <c r="J278" s="100">
        <f t="shared" si="379"/>
        <v>49508</v>
      </c>
      <c r="K278" s="60">
        <f t="shared" si="367"/>
        <v>7779</v>
      </c>
      <c r="L278" s="57">
        <v>0</v>
      </c>
      <c r="M278" s="57"/>
      <c r="N278" s="57">
        <f t="shared" ref="N278:AC278" si="387">+ROUND(($G$278-$H$278)*365/$K$278,0)</f>
        <v>6748</v>
      </c>
      <c r="O278" s="57">
        <f t="shared" si="387"/>
        <v>6748</v>
      </c>
      <c r="P278" s="57">
        <f t="shared" si="387"/>
        <v>6748</v>
      </c>
      <c r="Q278" s="57">
        <f t="shared" si="387"/>
        <v>6748</v>
      </c>
      <c r="R278" s="57">
        <f t="shared" si="387"/>
        <v>6748</v>
      </c>
      <c r="S278" s="57">
        <f t="shared" si="387"/>
        <v>6748</v>
      </c>
      <c r="T278" s="57">
        <f t="shared" si="387"/>
        <v>6748</v>
      </c>
      <c r="U278" s="352">
        <f t="shared" si="387"/>
        <v>6748</v>
      </c>
      <c r="V278" s="57">
        <f t="shared" si="387"/>
        <v>6748</v>
      </c>
      <c r="W278" s="57">
        <f t="shared" si="387"/>
        <v>6748</v>
      </c>
      <c r="X278" s="57">
        <f t="shared" si="387"/>
        <v>6748</v>
      </c>
      <c r="Y278" s="57">
        <f t="shared" si="387"/>
        <v>6748</v>
      </c>
      <c r="Z278" s="57">
        <f t="shared" si="387"/>
        <v>6748</v>
      </c>
      <c r="AA278" s="57">
        <f t="shared" si="387"/>
        <v>6748</v>
      </c>
      <c r="AB278" s="57">
        <f t="shared" si="387"/>
        <v>6748</v>
      </c>
      <c r="AC278" s="57">
        <f t="shared" si="387"/>
        <v>6748</v>
      </c>
      <c r="AD278" s="57"/>
      <c r="AE278" s="57">
        <f>ROUND((G278-H278)*(K278-5840)/K278,0)-7</f>
        <v>35838</v>
      </c>
      <c r="AF278" s="140">
        <f t="shared" si="349"/>
        <v>99351.30471890411</v>
      </c>
      <c r="AG278" s="32">
        <f t="shared" si="316"/>
        <v>143806</v>
      </c>
      <c r="AH278" s="101">
        <f t="shared" si="369"/>
        <v>143806.30471890411</v>
      </c>
      <c r="AP278" s="101"/>
      <c r="AQ278" s="101"/>
    </row>
    <row r="279" spans="1:43" ht="15.9" customHeight="1" x14ac:dyDescent="0.3">
      <c r="A279" s="475"/>
      <c r="B279" s="52" t="s">
        <v>81</v>
      </c>
      <c r="C279" s="98">
        <v>40443</v>
      </c>
      <c r="D279" s="54">
        <v>174482</v>
      </c>
      <c r="E279" s="78">
        <v>15</v>
      </c>
      <c r="F279" s="54">
        <v>29200.953273972602</v>
      </c>
      <c r="G279" s="89">
        <f t="shared" si="309"/>
        <v>145281.04672602739</v>
      </c>
      <c r="H279" s="57">
        <f t="shared" si="312"/>
        <v>8724</v>
      </c>
      <c r="I279" s="58">
        <f t="shared" si="313"/>
        <v>1287</v>
      </c>
      <c r="J279" s="100">
        <f>+C279+5478</f>
        <v>45921</v>
      </c>
      <c r="K279" s="60">
        <f t="shared" si="367"/>
        <v>4192</v>
      </c>
      <c r="L279" s="57">
        <v>0</v>
      </c>
      <c r="M279" s="57"/>
      <c r="N279" s="57">
        <f>+ROUND((G279-H279)*365/K279,0)</f>
        <v>11890</v>
      </c>
      <c r="O279" s="80">
        <f t="shared" si="370"/>
        <v>11890</v>
      </c>
      <c r="P279" s="80">
        <f t="shared" ref="P279:X279" si="388">+O279</f>
        <v>11890</v>
      </c>
      <c r="Q279" s="80">
        <f t="shared" si="388"/>
        <v>11890</v>
      </c>
      <c r="R279" s="80">
        <f t="shared" si="388"/>
        <v>11890</v>
      </c>
      <c r="S279" s="80">
        <f t="shared" si="388"/>
        <v>11890</v>
      </c>
      <c r="T279" s="57">
        <f t="shared" si="388"/>
        <v>11890</v>
      </c>
      <c r="U279" s="353">
        <f t="shared" si="388"/>
        <v>11890</v>
      </c>
      <c r="V279" s="80">
        <f t="shared" si="388"/>
        <v>11890</v>
      </c>
      <c r="W279" s="80">
        <f t="shared" si="388"/>
        <v>11890</v>
      </c>
      <c r="X279" s="80">
        <f t="shared" si="388"/>
        <v>11890</v>
      </c>
      <c r="Y279" s="57">
        <f>+ROUND((G279-H279)*(K279-4015)/K279,0)+1</f>
        <v>5767</v>
      </c>
      <c r="Z279" s="80">
        <v>0</v>
      </c>
      <c r="AA279" s="80">
        <f t="shared" ref="AA279:AC279" si="389">+Z279</f>
        <v>0</v>
      </c>
      <c r="AB279" s="80">
        <f t="shared" si="389"/>
        <v>0</v>
      </c>
      <c r="AC279" s="80">
        <f t="shared" si="389"/>
        <v>0</v>
      </c>
      <c r="AD279" s="80"/>
      <c r="AE279" s="80">
        <f>+AC279</f>
        <v>0</v>
      </c>
      <c r="AF279" s="140">
        <f t="shared" si="349"/>
        <v>50161.046726027387</v>
      </c>
      <c r="AG279" s="32">
        <f t="shared" si="316"/>
        <v>136557</v>
      </c>
      <c r="AH279" s="101">
        <f t="shared" si="369"/>
        <v>136557.04672602739</v>
      </c>
      <c r="AP279" s="101"/>
      <c r="AQ279" s="101"/>
    </row>
    <row r="280" spans="1:43" ht="15.9" customHeight="1" x14ac:dyDescent="0.3">
      <c r="A280" s="475"/>
      <c r="B280" s="52" t="s">
        <v>82</v>
      </c>
      <c r="C280" s="98">
        <v>40460</v>
      </c>
      <c r="D280" s="54">
        <v>63368</v>
      </c>
      <c r="E280" s="78">
        <v>25</v>
      </c>
      <c r="F280" s="54">
        <v>11632.998601643836</v>
      </c>
      <c r="G280" s="89">
        <f t="shared" si="309"/>
        <v>51735.001398356166</v>
      </c>
      <c r="H280" s="57">
        <f t="shared" si="312"/>
        <v>3168</v>
      </c>
      <c r="I280" s="58">
        <f t="shared" si="313"/>
        <v>1270</v>
      </c>
      <c r="J280" s="100">
        <f t="shared" si="379"/>
        <v>49590</v>
      </c>
      <c r="K280" s="60">
        <f t="shared" si="367"/>
        <v>7861</v>
      </c>
      <c r="L280" s="57">
        <v>0</v>
      </c>
      <c r="M280" s="57"/>
      <c r="N280" s="57">
        <f t="shared" ref="N280:AC280" si="390">+ROUND(($G$280-$H$280)*365/$K$280,0)</f>
        <v>2255</v>
      </c>
      <c r="O280" s="57">
        <f t="shared" si="390"/>
        <v>2255</v>
      </c>
      <c r="P280" s="57">
        <f t="shared" si="390"/>
        <v>2255</v>
      </c>
      <c r="Q280" s="57">
        <f t="shared" si="390"/>
        <v>2255</v>
      </c>
      <c r="R280" s="57">
        <f t="shared" si="390"/>
        <v>2255</v>
      </c>
      <c r="S280" s="57">
        <f t="shared" si="390"/>
        <v>2255</v>
      </c>
      <c r="T280" s="57">
        <f t="shared" si="390"/>
        <v>2255</v>
      </c>
      <c r="U280" s="352">
        <f t="shared" si="390"/>
        <v>2255</v>
      </c>
      <c r="V280" s="57">
        <f t="shared" si="390"/>
        <v>2255</v>
      </c>
      <c r="W280" s="57">
        <f t="shared" si="390"/>
        <v>2255</v>
      </c>
      <c r="X280" s="57">
        <f t="shared" si="390"/>
        <v>2255</v>
      </c>
      <c r="Y280" s="57">
        <f t="shared" si="390"/>
        <v>2255</v>
      </c>
      <c r="Z280" s="57">
        <f t="shared" si="390"/>
        <v>2255</v>
      </c>
      <c r="AA280" s="57">
        <f t="shared" si="390"/>
        <v>2255</v>
      </c>
      <c r="AB280" s="57">
        <f t="shared" si="390"/>
        <v>2255</v>
      </c>
      <c r="AC280" s="57">
        <f t="shared" si="390"/>
        <v>2255</v>
      </c>
      <c r="AD280" s="57"/>
      <c r="AE280" s="57">
        <f>ROUND((G280-H280)*(K280-5840)/K280,0)+1</f>
        <v>12487</v>
      </c>
      <c r="AF280" s="140">
        <f t="shared" si="349"/>
        <v>33695.001398356166</v>
      </c>
      <c r="AG280" s="32">
        <f t="shared" si="316"/>
        <v>48567</v>
      </c>
      <c r="AH280" s="101">
        <f t="shared" si="369"/>
        <v>48567.001398356166</v>
      </c>
      <c r="AP280" s="101"/>
      <c r="AQ280" s="101"/>
    </row>
    <row r="281" spans="1:43" ht="15.9" customHeight="1" x14ac:dyDescent="0.3">
      <c r="A281" s="475"/>
      <c r="B281" s="52" t="s">
        <v>83</v>
      </c>
      <c r="C281" s="98">
        <v>40566</v>
      </c>
      <c r="D281" s="54">
        <v>91219</v>
      </c>
      <c r="E281" s="78">
        <v>25</v>
      </c>
      <c r="F281" s="54">
        <v>15345.295061917808</v>
      </c>
      <c r="G281" s="89">
        <f t="shared" si="309"/>
        <v>75873.704938082199</v>
      </c>
      <c r="H281" s="57">
        <f t="shared" si="312"/>
        <v>4561</v>
      </c>
      <c r="I281" s="58">
        <f t="shared" si="313"/>
        <v>1164</v>
      </c>
      <c r="J281" s="100">
        <f t="shared" si="379"/>
        <v>49696</v>
      </c>
      <c r="K281" s="60">
        <f t="shared" si="367"/>
        <v>7967</v>
      </c>
      <c r="L281" s="57">
        <v>0</v>
      </c>
      <c r="M281" s="57"/>
      <c r="N281" s="57">
        <f t="shared" ref="N281:AC281" si="391">+ROUND(($G$281-$H$281)*365/$K$281,0)</f>
        <v>3267</v>
      </c>
      <c r="O281" s="57">
        <f t="shared" si="391"/>
        <v>3267</v>
      </c>
      <c r="P281" s="57">
        <f t="shared" si="391"/>
        <v>3267</v>
      </c>
      <c r="Q281" s="57">
        <f t="shared" si="391"/>
        <v>3267</v>
      </c>
      <c r="R281" s="57">
        <f t="shared" si="391"/>
        <v>3267</v>
      </c>
      <c r="S281" s="57">
        <f t="shared" si="391"/>
        <v>3267</v>
      </c>
      <c r="T281" s="57">
        <f t="shared" si="391"/>
        <v>3267</v>
      </c>
      <c r="U281" s="352">
        <f t="shared" si="391"/>
        <v>3267</v>
      </c>
      <c r="V281" s="57">
        <f t="shared" si="391"/>
        <v>3267</v>
      </c>
      <c r="W281" s="57">
        <f t="shared" si="391"/>
        <v>3267</v>
      </c>
      <c r="X281" s="57">
        <f t="shared" si="391"/>
        <v>3267</v>
      </c>
      <c r="Y281" s="57">
        <f t="shared" si="391"/>
        <v>3267</v>
      </c>
      <c r="Z281" s="57">
        <f t="shared" si="391"/>
        <v>3267</v>
      </c>
      <c r="AA281" s="57">
        <f t="shared" si="391"/>
        <v>3267</v>
      </c>
      <c r="AB281" s="57">
        <f t="shared" si="391"/>
        <v>3267</v>
      </c>
      <c r="AC281" s="57">
        <f t="shared" si="391"/>
        <v>3267</v>
      </c>
      <c r="AD281" s="57"/>
      <c r="AE281" s="57">
        <f>ROUND((G281-H281)*(K281-5840)/K281,0)+2</f>
        <v>19041</v>
      </c>
      <c r="AF281" s="140">
        <f t="shared" si="349"/>
        <v>49737.704938082199</v>
      </c>
      <c r="AG281" s="32">
        <f t="shared" si="316"/>
        <v>71313</v>
      </c>
      <c r="AH281" s="101">
        <f t="shared" si="369"/>
        <v>71312.704938082199</v>
      </c>
      <c r="AP281" s="101"/>
      <c r="AQ281" s="101"/>
    </row>
    <row r="282" spans="1:43" ht="15.9" customHeight="1" x14ac:dyDescent="0.3">
      <c r="A282" s="475"/>
      <c r="B282" s="52" t="s">
        <v>84</v>
      </c>
      <c r="C282" s="98">
        <v>40589</v>
      </c>
      <c r="D282" s="54">
        <v>20400</v>
      </c>
      <c r="E282" s="78">
        <v>15</v>
      </c>
      <c r="F282" s="54">
        <v>3026.4657534246576</v>
      </c>
      <c r="G282" s="89">
        <f t="shared" si="309"/>
        <v>17373.534246575342</v>
      </c>
      <c r="H282" s="57">
        <f t="shared" si="312"/>
        <v>1020</v>
      </c>
      <c r="I282" s="58">
        <f t="shared" si="313"/>
        <v>1141</v>
      </c>
      <c r="J282" s="100">
        <f t="shared" si="318"/>
        <v>46067</v>
      </c>
      <c r="K282" s="60">
        <f t="shared" si="367"/>
        <v>4338</v>
      </c>
      <c r="L282" s="57">
        <v>0</v>
      </c>
      <c r="M282" s="57"/>
      <c r="N282" s="57">
        <f>+ROUND((G282-H282)*365/K282,0)</f>
        <v>1376</v>
      </c>
      <c r="O282" s="80">
        <f t="shared" si="370"/>
        <v>1376</v>
      </c>
      <c r="P282" s="80">
        <f t="shared" ref="P282:X282" si="392">+O282</f>
        <v>1376</v>
      </c>
      <c r="Q282" s="80">
        <f t="shared" si="392"/>
        <v>1376</v>
      </c>
      <c r="R282" s="80">
        <f t="shared" si="392"/>
        <v>1376</v>
      </c>
      <c r="S282" s="80">
        <f t="shared" si="392"/>
        <v>1376</v>
      </c>
      <c r="T282" s="57">
        <f t="shared" si="392"/>
        <v>1376</v>
      </c>
      <c r="U282" s="353">
        <f t="shared" si="392"/>
        <v>1376</v>
      </c>
      <c r="V282" s="80">
        <f t="shared" si="392"/>
        <v>1376</v>
      </c>
      <c r="W282" s="80">
        <f t="shared" si="392"/>
        <v>1376</v>
      </c>
      <c r="X282" s="80">
        <f t="shared" si="392"/>
        <v>1376</v>
      </c>
      <c r="Y282" s="57">
        <f>+ROUND((G282-H282)*(K282-4015)/K282,0)</f>
        <v>1218</v>
      </c>
      <c r="Z282" s="80">
        <v>0</v>
      </c>
      <c r="AA282" s="80">
        <f t="shared" ref="AA282:AC282" si="393">+Z282</f>
        <v>0</v>
      </c>
      <c r="AB282" s="80">
        <f t="shared" si="393"/>
        <v>0</v>
      </c>
      <c r="AC282" s="80">
        <f t="shared" si="393"/>
        <v>0</v>
      </c>
      <c r="AD282" s="80"/>
      <c r="AE282" s="80">
        <f>+AC282</f>
        <v>0</v>
      </c>
      <c r="AF282" s="140">
        <f t="shared" si="349"/>
        <v>6365.534246575342</v>
      </c>
      <c r="AG282" s="32">
        <f t="shared" si="316"/>
        <v>16354</v>
      </c>
      <c r="AH282" s="101">
        <f t="shared" si="369"/>
        <v>16353.534246575342</v>
      </c>
      <c r="AP282" s="101"/>
      <c r="AQ282" s="101"/>
    </row>
    <row r="283" spans="1:43" ht="15.9" customHeight="1" x14ac:dyDescent="0.3">
      <c r="A283" s="475"/>
      <c r="B283" s="52" t="s">
        <v>85</v>
      </c>
      <c r="C283" s="98">
        <v>40598</v>
      </c>
      <c r="D283" s="54">
        <v>20696.72</v>
      </c>
      <c r="E283" s="78">
        <v>25</v>
      </c>
      <c r="F283" s="54">
        <v>3386.7817133589042</v>
      </c>
      <c r="G283" s="89">
        <f t="shared" si="309"/>
        <v>17309.938286641096</v>
      </c>
      <c r="H283" s="57">
        <f t="shared" si="312"/>
        <v>1035</v>
      </c>
      <c r="I283" s="58">
        <f t="shared" si="313"/>
        <v>1132</v>
      </c>
      <c r="J283" s="100">
        <f t="shared" si="379"/>
        <v>49728</v>
      </c>
      <c r="K283" s="60">
        <f t="shared" si="367"/>
        <v>7999</v>
      </c>
      <c r="L283" s="57">
        <v>0</v>
      </c>
      <c r="M283" s="57"/>
      <c r="N283" s="57">
        <f t="shared" ref="N283:AC283" si="394">+ROUND(($G$283-$H$283)*365/$K$283,0)</f>
        <v>743</v>
      </c>
      <c r="O283" s="57">
        <f t="shared" si="394"/>
        <v>743</v>
      </c>
      <c r="P283" s="57">
        <f t="shared" si="394"/>
        <v>743</v>
      </c>
      <c r="Q283" s="57">
        <f t="shared" si="394"/>
        <v>743</v>
      </c>
      <c r="R283" s="57">
        <f t="shared" si="394"/>
        <v>743</v>
      </c>
      <c r="S283" s="57">
        <f t="shared" si="394"/>
        <v>743</v>
      </c>
      <c r="T283" s="57">
        <f t="shared" si="394"/>
        <v>743</v>
      </c>
      <c r="U283" s="352">
        <f t="shared" si="394"/>
        <v>743</v>
      </c>
      <c r="V283" s="57">
        <f t="shared" si="394"/>
        <v>743</v>
      </c>
      <c r="W283" s="57">
        <f t="shared" si="394"/>
        <v>743</v>
      </c>
      <c r="X283" s="57">
        <f t="shared" si="394"/>
        <v>743</v>
      </c>
      <c r="Y283" s="57">
        <f t="shared" si="394"/>
        <v>743</v>
      </c>
      <c r="Z283" s="57">
        <f t="shared" si="394"/>
        <v>743</v>
      </c>
      <c r="AA283" s="57">
        <f t="shared" si="394"/>
        <v>743</v>
      </c>
      <c r="AB283" s="57">
        <f t="shared" si="394"/>
        <v>743</v>
      </c>
      <c r="AC283" s="57">
        <f t="shared" si="394"/>
        <v>743</v>
      </c>
      <c r="AD283" s="57"/>
      <c r="AE283" s="57">
        <f>ROUND((G283-H283)*(K283-5840)/K283,0)-6</f>
        <v>4387</v>
      </c>
      <c r="AF283" s="140">
        <f t="shared" si="349"/>
        <v>11365.938286641096</v>
      </c>
      <c r="AG283" s="32">
        <f t="shared" si="316"/>
        <v>16275</v>
      </c>
      <c r="AH283" s="101">
        <f t="shared" si="369"/>
        <v>16274.938286641096</v>
      </c>
      <c r="AP283" s="101"/>
      <c r="AQ283" s="101"/>
    </row>
    <row r="284" spans="1:43" ht="15.9" customHeight="1" x14ac:dyDescent="0.3">
      <c r="A284" s="475"/>
      <c r="B284" s="52" t="s">
        <v>85</v>
      </c>
      <c r="C284" s="98">
        <v>40598</v>
      </c>
      <c r="D284" s="54">
        <v>31440.28</v>
      </c>
      <c r="E284" s="78">
        <v>25</v>
      </c>
      <c r="F284" s="54">
        <v>5143.7306417095888</v>
      </c>
      <c r="G284" s="89">
        <f t="shared" si="309"/>
        <v>26296.549358290409</v>
      </c>
      <c r="H284" s="57">
        <f t="shared" si="312"/>
        <v>1572</v>
      </c>
      <c r="I284" s="58">
        <f t="shared" si="313"/>
        <v>1132</v>
      </c>
      <c r="J284" s="100">
        <f t="shared" si="379"/>
        <v>49728</v>
      </c>
      <c r="K284" s="60">
        <f t="shared" si="367"/>
        <v>7999</v>
      </c>
      <c r="L284" s="57">
        <v>0</v>
      </c>
      <c r="M284" s="57"/>
      <c r="N284" s="57">
        <f t="shared" ref="N284:AC284" si="395">+ROUND(($G$284-$H$284)*365/$K$284,0)</f>
        <v>1128</v>
      </c>
      <c r="O284" s="57">
        <f t="shared" si="395"/>
        <v>1128</v>
      </c>
      <c r="P284" s="57">
        <f t="shared" si="395"/>
        <v>1128</v>
      </c>
      <c r="Q284" s="57">
        <f t="shared" si="395"/>
        <v>1128</v>
      </c>
      <c r="R284" s="57">
        <f t="shared" si="395"/>
        <v>1128</v>
      </c>
      <c r="S284" s="57">
        <f t="shared" si="395"/>
        <v>1128</v>
      </c>
      <c r="T284" s="57">
        <f t="shared" si="395"/>
        <v>1128</v>
      </c>
      <c r="U284" s="352">
        <f t="shared" si="395"/>
        <v>1128</v>
      </c>
      <c r="V284" s="57">
        <f t="shared" si="395"/>
        <v>1128</v>
      </c>
      <c r="W284" s="57">
        <f t="shared" si="395"/>
        <v>1128</v>
      </c>
      <c r="X284" s="57">
        <f t="shared" si="395"/>
        <v>1128</v>
      </c>
      <c r="Y284" s="57">
        <f t="shared" si="395"/>
        <v>1128</v>
      </c>
      <c r="Z284" s="57">
        <f t="shared" si="395"/>
        <v>1128</v>
      </c>
      <c r="AA284" s="57">
        <f t="shared" si="395"/>
        <v>1128</v>
      </c>
      <c r="AB284" s="57">
        <f t="shared" si="395"/>
        <v>1128</v>
      </c>
      <c r="AC284" s="57">
        <f t="shared" si="395"/>
        <v>1128</v>
      </c>
      <c r="AD284" s="57"/>
      <c r="AE284" s="57">
        <f>ROUND((G284-H284)*(K284-5840)/K284,0)+4</f>
        <v>6677</v>
      </c>
      <c r="AF284" s="140">
        <f t="shared" si="349"/>
        <v>17272.549358290409</v>
      </c>
      <c r="AG284" s="32">
        <f t="shared" si="316"/>
        <v>24725</v>
      </c>
      <c r="AH284" s="101">
        <f t="shared" si="369"/>
        <v>24724.549358290409</v>
      </c>
      <c r="AP284" s="101"/>
      <c r="AQ284" s="101"/>
    </row>
    <row r="285" spans="1:43" ht="15.9" customHeight="1" x14ac:dyDescent="0.3">
      <c r="A285" s="475"/>
      <c r="B285" s="52" t="s">
        <v>8</v>
      </c>
      <c r="C285" s="98">
        <v>41010</v>
      </c>
      <c r="D285" s="54">
        <v>1683000</v>
      </c>
      <c r="E285" s="78">
        <v>25</v>
      </c>
      <c r="F285" s="54">
        <v>175290</v>
      </c>
      <c r="G285" s="89">
        <f t="shared" si="309"/>
        <v>1507710</v>
      </c>
      <c r="H285" s="57">
        <f t="shared" si="312"/>
        <v>84150</v>
      </c>
      <c r="I285" s="58">
        <f t="shared" si="313"/>
        <v>720</v>
      </c>
      <c r="J285" s="100">
        <f>+C285+9130</f>
        <v>50140</v>
      </c>
      <c r="K285" s="60">
        <f t="shared" si="367"/>
        <v>8411</v>
      </c>
      <c r="L285" s="57">
        <v>0</v>
      </c>
      <c r="M285" s="57"/>
      <c r="N285" s="57">
        <f t="shared" ref="N285:AC285" si="396">+ROUND(($G$285-$H$285)*365/$K$285,0)</f>
        <v>61776</v>
      </c>
      <c r="O285" s="57">
        <f t="shared" si="396"/>
        <v>61776</v>
      </c>
      <c r="P285" s="57">
        <f t="shared" si="396"/>
        <v>61776</v>
      </c>
      <c r="Q285" s="57">
        <f t="shared" si="396"/>
        <v>61776</v>
      </c>
      <c r="R285" s="57">
        <f t="shared" si="396"/>
        <v>61776</v>
      </c>
      <c r="S285" s="57">
        <f t="shared" si="396"/>
        <v>61776</v>
      </c>
      <c r="T285" s="57">
        <f t="shared" si="396"/>
        <v>61776</v>
      </c>
      <c r="U285" s="352">
        <f t="shared" si="396"/>
        <v>61776</v>
      </c>
      <c r="V285" s="57">
        <f t="shared" si="396"/>
        <v>61776</v>
      </c>
      <c r="W285" s="57">
        <f t="shared" si="396"/>
        <v>61776</v>
      </c>
      <c r="X285" s="57">
        <f t="shared" si="396"/>
        <v>61776</v>
      </c>
      <c r="Y285" s="57">
        <f t="shared" si="396"/>
        <v>61776</v>
      </c>
      <c r="Z285" s="57">
        <f t="shared" si="396"/>
        <v>61776</v>
      </c>
      <c r="AA285" s="57">
        <f t="shared" si="396"/>
        <v>61776</v>
      </c>
      <c r="AB285" s="57">
        <f t="shared" si="396"/>
        <v>61776</v>
      </c>
      <c r="AC285" s="57">
        <f t="shared" si="396"/>
        <v>61776</v>
      </c>
      <c r="AD285" s="57"/>
      <c r="AE285" s="57">
        <f>ROUND((G285-H285)*(K285-5840)/K285,0)+3</f>
        <v>435144</v>
      </c>
      <c r="AF285" s="140">
        <f t="shared" si="349"/>
        <v>1013502</v>
      </c>
      <c r="AG285" s="32">
        <f t="shared" si="316"/>
        <v>1423560</v>
      </c>
      <c r="AH285" s="101">
        <f t="shared" si="369"/>
        <v>1423560</v>
      </c>
      <c r="AP285" s="101"/>
      <c r="AQ285" s="101"/>
    </row>
    <row r="286" spans="1:43" ht="15.9" customHeight="1" x14ac:dyDescent="0.3">
      <c r="A286" s="475"/>
      <c r="B286" s="52" t="s">
        <v>9</v>
      </c>
      <c r="C286" s="98">
        <v>41034</v>
      </c>
      <c r="D286" s="54">
        <v>69528</v>
      </c>
      <c r="E286" s="78">
        <v>15</v>
      </c>
      <c r="F286" s="54">
        <v>6298</v>
      </c>
      <c r="G286" s="89">
        <f t="shared" si="309"/>
        <v>63230</v>
      </c>
      <c r="H286" s="57">
        <f t="shared" si="312"/>
        <v>3476</v>
      </c>
      <c r="I286" s="58">
        <f t="shared" si="313"/>
        <v>696</v>
      </c>
      <c r="J286" s="100">
        <f>+C286+5477</f>
        <v>46511</v>
      </c>
      <c r="K286" s="60">
        <f t="shared" si="367"/>
        <v>4782</v>
      </c>
      <c r="L286" s="57">
        <v>0</v>
      </c>
      <c r="M286" s="57"/>
      <c r="N286" s="57">
        <f>+ROUND((G286-H286)*365/K286,0)</f>
        <v>4561</v>
      </c>
      <c r="O286" s="80">
        <f t="shared" si="370"/>
        <v>4561</v>
      </c>
      <c r="P286" s="80">
        <f t="shared" ref="P286:Z286" si="397">+O286</f>
        <v>4561</v>
      </c>
      <c r="Q286" s="80">
        <f t="shared" si="397"/>
        <v>4561</v>
      </c>
      <c r="R286" s="80">
        <f t="shared" si="397"/>
        <v>4561</v>
      </c>
      <c r="S286" s="80">
        <f t="shared" si="397"/>
        <v>4561</v>
      </c>
      <c r="T286" s="57">
        <f t="shared" si="397"/>
        <v>4561</v>
      </c>
      <c r="U286" s="353">
        <f t="shared" si="397"/>
        <v>4561</v>
      </c>
      <c r="V286" s="80">
        <f t="shared" si="397"/>
        <v>4561</v>
      </c>
      <c r="W286" s="80">
        <f t="shared" si="397"/>
        <v>4561</v>
      </c>
      <c r="X286" s="80">
        <f t="shared" si="397"/>
        <v>4561</v>
      </c>
      <c r="Y286" s="80">
        <f t="shared" si="397"/>
        <v>4561</v>
      </c>
      <c r="Z286" s="80">
        <f t="shared" si="397"/>
        <v>4561</v>
      </c>
      <c r="AA286" s="57">
        <f>+ROUND((G286-H286)*(K286-4745)/K286,0)-1</f>
        <v>461</v>
      </c>
      <c r="AB286" s="80">
        <v>0</v>
      </c>
      <c r="AC286" s="80">
        <f t="shared" ref="AC286" si="398">+AB286</f>
        <v>0</v>
      </c>
      <c r="AD286" s="80"/>
      <c r="AE286" s="80">
        <f>+AC286</f>
        <v>0</v>
      </c>
      <c r="AF286" s="140">
        <f t="shared" si="349"/>
        <v>26742</v>
      </c>
      <c r="AG286" s="32">
        <f t="shared" si="316"/>
        <v>59754</v>
      </c>
      <c r="AH286" s="101">
        <f t="shared" si="369"/>
        <v>59754</v>
      </c>
      <c r="AP286" s="101"/>
      <c r="AQ286" s="101"/>
    </row>
    <row r="287" spans="1:43" ht="15.9" customHeight="1" x14ac:dyDescent="0.3">
      <c r="A287" s="475"/>
      <c r="B287" s="52" t="s">
        <v>86</v>
      </c>
      <c r="C287" s="98">
        <v>41031</v>
      </c>
      <c r="D287" s="54">
        <v>201207597.97999999</v>
      </c>
      <c r="E287" s="78">
        <v>25</v>
      </c>
      <c r="F287" s="54">
        <v>20345230</v>
      </c>
      <c r="G287" s="89">
        <f t="shared" si="309"/>
        <v>180862367.97999999</v>
      </c>
      <c r="H287" s="57">
        <f t="shared" si="312"/>
        <v>10060380</v>
      </c>
      <c r="I287" s="58">
        <f t="shared" si="313"/>
        <v>699</v>
      </c>
      <c r="J287" s="100">
        <f t="shared" ref="J287:J295" si="399">+C287+9130</f>
        <v>50161</v>
      </c>
      <c r="K287" s="60">
        <f t="shared" si="367"/>
        <v>8432</v>
      </c>
      <c r="L287" s="57">
        <v>0</v>
      </c>
      <c r="M287" s="57"/>
      <c r="N287" s="57">
        <f t="shared" ref="N287:AC287" si="400">+ROUND(($G$287-$H$287)*365/$K$287,0)</f>
        <v>7393587</v>
      </c>
      <c r="O287" s="57">
        <f t="shared" si="400"/>
        <v>7393587</v>
      </c>
      <c r="P287" s="57">
        <f t="shared" si="400"/>
        <v>7393587</v>
      </c>
      <c r="Q287" s="57">
        <f t="shared" si="400"/>
        <v>7393587</v>
      </c>
      <c r="R287" s="57">
        <f t="shared" si="400"/>
        <v>7393587</v>
      </c>
      <c r="S287" s="57">
        <f t="shared" si="400"/>
        <v>7393587</v>
      </c>
      <c r="T287" s="57">
        <f t="shared" si="400"/>
        <v>7393587</v>
      </c>
      <c r="U287" s="352">
        <f t="shared" si="400"/>
        <v>7393587</v>
      </c>
      <c r="V287" s="57">
        <f t="shared" si="400"/>
        <v>7393587</v>
      </c>
      <c r="W287" s="57">
        <f t="shared" si="400"/>
        <v>7393587</v>
      </c>
      <c r="X287" s="57">
        <f t="shared" si="400"/>
        <v>7393587</v>
      </c>
      <c r="Y287" s="57">
        <f t="shared" si="400"/>
        <v>7393587</v>
      </c>
      <c r="Z287" s="57">
        <f t="shared" si="400"/>
        <v>7393587</v>
      </c>
      <c r="AA287" s="57">
        <f t="shared" si="400"/>
        <v>7393587</v>
      </c>
      <c r="AB287" s="57">
        <f t="shared" si="400"/>
        <v>7393587</v>
      </c>
      <c r="AC287" s="57">
        <f t="shared" si="400"/>
        <v>7393587</v>
      </c>
      <c r="AD287" s="57"/>
      <c r="AE287" s="57">
        <f>ROUND((G287-H287)*(K287-5840)/K287,0)</f>
        <v>52504596</v>
      </c>
      <c r="AF287" s="140">
        <f t="shared" si="349"/>
        <v>121713671.97999999</v>
      </c>
      <c r="AG287" s="32">
        <f t="shared" si="316"/>
        <v>170801988</v>
      </c>
      <c r="AH287" s="101">
        <f t="shared" si="369"/>
        <v>170801987.97999999</v>
      </c>
      <c r="AP287" s="101"/>
      <c r="AQ287" s="101"/>
    </row>
    <row r="288" spans="1:43" ht="15.9" customHeight="1" x14ac:dyDescent="0.3">
      <c r="A288" s="475"/>
      <c r="B288" s="52" t="s">
        <v>87</v>
      </c>
      <c r="C288" s="98">
        <v>41031</v>
      </c>
      <c r="D288" s="54">
        <v>9870140</v>
      </c>
      <c r="E288" s="78">
        <v>25</v>
      </c>
      <c r="F288" s="54">
        <v>998025</v>
      </c>
      <c r="G288" s="89">
        <f t="shared" si="309"/>
        <v>8872115</v>
      </c>
      <c r="H288" s="57">
        <f t="shared" si="312"/>
        <v>493507</v>
      </c>
      <c r="I288" s="58">
        <f t="shared" si="313"/>
        <v>699</v>
      </c>
      <c r="J288" s="100">
        <f t="shared" si="399"/>
        <v>50161</v>
      </c>
      <c r="K288" s="60">
        <f t="shared" si="367"/>
        <v>8432</v>
      </c>
      <c r="L288" s="57">
        <v>0</v>
      </c>
      <c r="M288" s="57"/>
      <c r="N288" s="57">
        <f t="shared" ref="N288:AC288" si="401">+ROUND(($G$288-$H$288)*365/$K$288,0)</f>
        <v>362689</v>
      </c>
      <c r="O288" s="57">
        <f t="shared" si="401"/>
        <v>362689</v>
      </c>
      <c r="P288" s="57">
        <f t="shared" si="401"/>
        <v>362689</v>
      </c>
      <c r="Q288" s="57">
        <f t="shared" si="401"/>
        <v>362689</v>
      </c>
      <c r="R288" s="57">
        <f t="shared" si="401"/>
        <v>362689</v>
      </c>
      <c r="S288" s="57">
        <f t="shared" si="401"/>
        <v>362689</v>
      </c>
      <c r="T288" s="57">
        <f t="shared" si="401"/>
        <v>362689</v>
      </c>
      <c r="U288" s="352">
        <f t="shared" si="401"/>
        <v>362689</v>
      </c>
      <c r="V288" s="57">
        <f t="shared" si="401"/>
        <v>362689</v>
      </c>
      <c r="W288" s="57">
        <f t="shared" si="401"/>
        <v>362689</v>
      </c>
      <c r="X288" s="57">
        <f t="shared" si="401"/>
        <v>362689</v>
      </c>
      <c r="Y288" s="57">
        <f t="shared" si="401"/>
        <v>362689</v>
      </c>
      <c r="Z288" s="57">
        <f t="shared" si="401"/>
        <v>362689</v>
      </c>
      <c r="AA288" s="57">
        <f t="shared" si="401"/>
        <v>362689</v>
      </c>
      <c r="AB288" s="57">
        <f t="shared" si="401"/>
        <v>362689</v>
      </c>
      <c r="AC288" s="57">
        <f t="shared" si="401"/>
        <v>362689</v>
      </c>
      <c r="AD288" s="57"/>
      <c r="AE288" s="57">
        <f>ROUND((G288-H288)*(K288-5840)/K288,0)-3</f>
        <v>2575584</v>
      </c>
      <c r="AF288" s="140">
        <f t="shared" si="349"/>
        <v>5970603</v>
      </c>
      <c r="AG288" s="32">
        <f t="shared" si="316"/>
        <v>8378608</v>
      </c>
      <c r="AH288" s="101">
        <f t="shared" si="369"/>
        <v>8378608</v>
      </c>
      <c r="AP288" s="101"/>
      <c r="AQ288" s="101"/>
    </row>
    <row r="289" spans="1:46" ht="15.9" customHeight="1" x14ac:dyDescent="0.3">
      <c r="A289" s="475"/>
      <c r="B289" s="52" t="s">
        <v>88</v>
      </c>
      <c r="C289" s="98">
        <v>41031</v>
      </c>
      <c r="D289" s="54">
        <v>729102</v>
      </c>
      <c r="E289" s="78">
        <v>25</v>
      </c>
      <c r="F289" s="54">
        <v>73724</v>
      </c>
      <c r="G289" s="89">
        <f t="shared" si="309"/>
        <v>655378</v>
      </c>
      <c r="H289" s="57">
        <f t="shared" si="312"/>
        <v>36455</v>
      </c>
      <c r="I289" s="58">
        <f t="shared" si="313"/>
        <v>699</v>
      </c>
      <c r="J289" s="100">
        <f t="shared" si="399"/>
        <v>50161</v>
      </c>
      <c r="K289" s="60">
        <f t="shared" si="367"/>
        <v>8432</v>
      </c>
      <c r="L289" s="57">
        <v>0</v>
      </c>
      <c r="M289" s="57"/>
      <c r="N289" s="57">
        <f t="shared" ref="N289:AC289" si="402">+ROUND(($G$289-$H$289)*365/$K$289,0)</f>
        <v>26792</v>
      </c>
      <c r="O289" s="57">
        <f t="shared" si="402"/>
        <v>26792</v>
      </c>
      <c r="P289" s="57">
        <f t="shared" si="402"/>
        <v>26792</v>
      </c>
      <c r="Q289" s="57">
        <f t="shared" si="402"/>
        <v>26792</v>
      </c>
      <c r="R289" s="57">
        <f t="shared" si="402"/>
        <v>26792</v>
      </c>
      <c r="S289" s="57">
        <f t="shared" si="402"/>
        <v>26792</v>
      </c>
      <c r="T289" s="57">
        <f t="shared" si="402"/>
        <v>26792</v>
      </c>
      <c r="U289" s="352">
        <f t="shared" si="402"/>
        <v>26792</v>
      </c>
      <c r="V289" s="57">
        <f t="shared" si="402"/>
        <v>26792</v>
      </c>
      <c r="W289" s="57">
        <f t="shared" si="402"/>
        <v>26792</v>
      </c>
      <c r="X289" s="57">
        <f t="shared" si="402"/>
        <v>26792</v>
      </c>
      <c r="Y289" s="57">
        <f t="shared" si="402"/>
        <v>26792</v>
      </c>
      <c r="Z289" s="57">
        <f t="shared" si="402"/>
        <v>26792</v>
      </c>
      <c r="AA289" s="57">
        <f t="shared" si="402"/>
        <v>26792</v>
      </c>
      <c r="AB289" s="57">
        <f t="shared" si="402"/>
        <v>26792</v>
      </c>
      <c r="AC289" s="57">
        <f t="shared" si="402"/>
        <v>26792</v>
      </c>
      <c r="AD289" s="57"/>
      <c r="AE289" s="57">
        <f>ROUND((G289-H289)*(K289-5840)/K289,0)-6</f>
        <v>190251</v>
      </c>
      <c r="AF289" s="140">
        <f t="shared" si="349"/>
        <v>441042</v>
      </c>
      <c r="AG289" s="32">
        <f t="shared" si="316"/>
        <v>618923</v>
      </c>
      <c r="AH289" s="101">
        <f t="shared" si="369"/>
        <v>618923</v>
      </c>
      <c r="AP289" s="101"/>
      <c r="AQ289" s="101"/>
    </row>
    <row r="290" spans="1:46" ht="15.9" customHeight="1" x14ac:dyDescent="0.3">
      <c r="A290" s="475"/>
      <c r="B290" s="52" t="s">
        <v>89</v>
      </c>
      <c r="C290" s="98">
        <v>41060</v>
      </c>
      <c r="D290" s="54">
        <v>201207597.97999999</v>
      </c>
      <c r="E290" s="78">
        <v>25</v>
      </c>
      <c r="F290" s="54">
        <v>19501150</v>
      </c>
      <c r="G290" s="89">
        <f t="shared" si="309"/>
        <v>181706447.97999999</v>
      </c>
      <c r="H290" s="57">
        <f t="shared" si="312"/>
        <v>10060380</v>
      </c>
      <c r="I290" s="58">
        <f t="shared" si="313"/>
        <v>670</v>
      </c>
      <c r="J290" s="100">
        <f t="shared" si="399"/>
        <v>50190</v>
      </c>
      <c r="K290" s="60">
        <f t="shared" si="367"/>
        <v>8461</v>
      </c>
      <c r="L290" s="57">
        <v>0</v>
      </c>
      <c r="M290" s="57"/>
      <c r="N290" s="57">
        <f t="shared" ref="N290:AC290" si="403">+ROUND(($G$290-$H$290)*365/$K$290,0)</f>
        <v>7404658</v>
      </c>
      <c r="O290" s="57">
        <f t="shared" si="403"/>
        <v>7404658</v>
      </c>
      <c r="P290" s="57">
        <f t="shared" si="403"/>
        <v>7404658</v>
      </c>
      <c r="Q290" s="57">
        <f t="shared" si="403"/>
        <v>7404658</v>
      </c>
      <c r="R290" s="57">
        <f t="shared" si="403"/>
        <v>7404658</v>
      </c>
      <c r="S290" s="57">
        <f t="shared" si="403"/>
        <v>7404658</v>
      </c>
      <c r="T290" s="57">
        <f t="shared" si="403"/>
        <v>7404658</v>
      </c>
      <c r="U290" s="352">
        <f t="shared" si="403"/>
        <v>7404658</v>
      </c>
      <c r="V290" s="57">
        <f t="shared" si="403"/>
        <v>7404658</v>
      </c>
      <c r="W290" s="57">
        <f t="shared" si="403"/>
        <v>7404658</v>
      </c>
      <c r="X290" s="57">
        <f t="shared" si="403"/>
        <v>7404658</v>
      </c>
      <c r="Y290" s="57">
        <f t="shared" si="403"/>
        <v>7404658</v>
      </c>
      <c r="Z290" s="57">
        <f t="shared" si="403"/>
        <v>7404658</v>
      </c>
      <c r="AA290" s="57">
        <f t="shared" si="403"/>
        <v>7404658</v>
      </c>
      <c r="AB290" s="57">
        <f t="shared" si="403"/>
        <v>7404658</v>
      </c>
      <c r="AC290" s="57">
        <f t="shared" si="403"/>
        <v>7404658</v>
      </c>
      <c r="AD290" s="57"/>
      <c r="AE290" s="57">
        <f>ROUND((G290-H290)*(K290-5840)/K290,0)+7</f>
        <v>53171540</v>
      </c>
      <c r="AF290" s="140">
        <f t="shared" si="349"/>
        <v>122469183.97999999</v>
      </c>
      <c r="AG290" s="32">
        <f t="shared" si="316"/>
        <v>171646068</v>
      </c>
      <c r="AH290" s="101">
        <f t="shared" si="369"/>
        <v>171646067.97999999</v>
      </c>
      <c r="AP290" s="101"/>
      <c r="AQ290" s="101"/>
    </row>
    <row r="291" spans="1:46" ht="15.9" customHeight="1" x14ac:dyDescent="0.3">
      <c r="A291" s="475"/>
      <c r="B291" s="52" t="s">
        <v>90</v>
      </c>
      <c r="C291" s="98">
        <v>41060</v>
      </c>
      <c r="D291" s="54">
        <v>201172625.05000001</v>
      </c>
      <c r="E291" s="78">
        <v>25</v>
      </c>
      <c r="F291" s="54">
        <v>19497761</v>
      </c>
      <c r="G291" s="89">
        <f t="shared" si="309"/>
        <v>181674864.05000001</v>
      </c>
      <c r="H291" s="57">
        <f t="shared" si="312"/>
        <v>10058631</v>
      </c>
      <c r="I291" s="58">
        <f t="shared" si="313"/>
        <v>670</v>
      </c>
      <c r="J291" s="100">
        <f t="shared" si="399"/>
        <v>50190</v>
      </c>
      <c r="K291" s="60">
        <f t="shared" si="367"/>
        <v>8461</v>
      </c>
      <c r="L291" s="57">
        <v>0</v>
      </c>
      <c r="M291" s="57"/>
      <c r="N291" s="57">
        <f t="shared" ref="N291:AC291" si="404">+ROUND(($G$291-$H$291)*365/$K$291,0)</f>
        <v>7403371</v>
      </c>
      <c r="O291" s="57">
        <f t="shared" si="404"/>
        <v>7403371</v>
      </c>
      <c r="P291" s="57">
        <f t="shared" si="404"/>
        <v>7403371</v>
      </c>
      <c r="Q291" s="57">
        <f t="shared" si="404"/>
        <v>7403371</v>
      </c>
      <c r="R291" s="57">
        <f t="shared" si="404"/>
        <v>7403371</v>
      </c>
      <c r="S291" s="57">
        <f t="shared" si="404"/>
        <v>7403371</v>
      </c>
      <c r="T291" s="57">
        <f t="shared" si="404"/>
        <v>7403371</v>
      </c>
      <c r="U291" s="352">
        <f t="shared" si="404"/>
        <v>7403371</v>
      </c>
      <c r="V291" s="57">
        <f t="shared" si="404"/>
        <v>7403371</v>
      </c>
      <c r="W291" s="57">
        <f t="shared" si="404"/>
        <v>7403371</v>
      </c>
      <c r="X291" s="57">
        <f t="shared" si="404"/>
        <v>7403371</v>
      </c>
      <c r="Y291" s="57">
        <f t="shared" si="404"/>
        <v>7403371</v>
      </c>
      <c r="Z291" s="57">
        <f t="shared" si="404"/>
        <v>7403371</v>
      </c>
      <c r="AA291" s="57">
        <f t="shared" si="404"/>
        <v>7403371</v>
      </c>
      <c r="AB291" s="57">
        <f t="shared" si="404"/>
        <v>7403371</v>
      </c>
      <c r="AC291" s="57">
        <f t="shared" si="404"/>
        <v>7403371</v>
      </c>
      <c r="AD291" s="57"/>
      <c r="AE291" s="57">
        <f>ROUND((G291-H291)*(K291-5840)/K291,0)+6</f>
        <v>53162297</v>
      </c>
      <c r="AF291" s="140">
        <f t="shared" si="349"/>
        <v>122447896.05000001</v>
      </c>
      <c r="AG291" s="32">
        <f t="shared" si="316"/>
        <v>171616233</v>
      </c>
      <c r="AH291" s="101">
        <f t="shared" si="369"/>
        <v>171616233.05000001</v>
      </c>
      <c r="AP291" s="101"/>
      <c r="AQ291" s="101"/>
    </row>
    <row r="292" spans="1:46" ht="15.9" customHeight="1" x14ac:dyDescent="0.3">
      <c r="A292" s="475"/>
      <c r="B292" s="52" t="s">
        <v>91</v>
      </c>
      <c r="C292" s="98">
        <v>41060</v>
      </c>
      <c r="D292" s="54">
        <v>223314</v>
      </c>
      <c r="E292" s="78">
        <v>25</v>
      </c>
      <c r="F292" s="54">
        <v>21644</v>
      </c>
      <c r="G292" s="89">
        <f t="shared" si="309"/>
        <v>201670</v>
      </c>
      <c r="H292" s="57">
        <f t="shared" si="312"/>
        <v>11166</v>
      </c>
      <c r="I292" s="58">
        <f t="shared" si="313"/>
        <v>670</v>
      </c>
      <c r="J292" s="100">
        <f t="shared" si="399"/>
        <v>50190</v>
      </c>
      <c r="K292" s="60">
        <f t="shared" si="367"/>
        <v>8461</v>
      </c>
      <c r="L292" s="57">
        <v>0</v>
      </c>
      <c r="M292" s="57"/>
      <c r="N292" s="57">
        <f t="shared" ref="N292:AC292" si="405">+ROUND(($G$292-$H$292)*365/$K$292,0)</f>
        <v>8218</v>
      </c>
      <c r="O292" s="57">
        <f t="shared" si="405"/>
        <v>8218</v>
      </c>
      <c r="P292" s="57">
        <f t="shared" si="405"/>
        <v>8218</v>
      </c>
      <c r="Q292" s="57">
        <f t="shared" si="405"/>
        <v>8218</v>
      </c>
      <c r="R292" s="57">
        <f t="shared" si="405"/>
        <v>8218</v>
      </c>
      <c r="S292" s="57">
        <f t="shared" si="405"/>
        <v>8218</v>
      </c>
      <c r="T292" s="57">
        <f t="shared" si="405"/>
        <v>8218</v>
      </c>
      <c r="U292" s="352">
        <f t="shared" si="405"/>
        <v>8218</v>
      </c>
      <c r="V292" s="57">
        <f t="shared" si="405"/>
        <v>8218</v>
      </c>
      <c r="W292" s="57">
        <f t="shared" si="405"/>
        <v>8218</v>
      </c>
      <c r="X292" s="57">
        <f t="shared" si="405"/>
        <v>8218</v>
      </c>
      <c r="Y292" s="57">
        <f t="shared" si="405"/>
        <v>8218</v>
      </c>
      <c r="Z292" s="57">
        <f t="shared" si="405"/>
        <v>8218</v>
      </c>
      <c r="AA292" s="57">
        <f t="shared" si="405"/>
        <v>8218</v>
      </c>
      <c r="AB292" s="57">
        <f t="shared" si="405"/>
        <v>8218</v>
      </c>
      <c r="AC292" s="57">
        <f t="shared" si="405"/>
        <v>8218</v>
      </c>
      <c r="AD292" s="57"/>
      <c r="AE292" s="57">
        <f>ROUND((G292-H292)*(K292-5840)/K292,0)+3</f>
        <v>59016</v>
      </c>
      <c r="AF292" s="140">
        <f t="shared" si="349"/>
        <v>135926</v>
      </c>
      <c r="AG292" s="32">
        <f t="shared" si="316"/>
        <v>190504</v>
      </c>
      <c r="AH292" s="101">
        <f t="shared" si="369"/>
        <v>190504</v>
      </c>
      <c r="AP292" s="101"/>
      <c r="AQ292" s="101"/>
    </row>
    <row r="293" spans="1:46" ht="15.9" customHeight="1" x14ac:dyDescent="0.3">
      <c r="A293" s="475"/>
      <c r="B293" s="52" t="s">
        <v>92</v>
      </c>
      <c r="C293" s="98">
        <v>41060</v>
      </c>
      <c r="D293" s="54">
        <v>82402</v>
      </c>
      <c r="E293" s="78">
        <v>25</v>
      </c>
      <c r="F293" s="54">
        <v>7987</v>
      </c>
      <c r="G293" s="89">
        <f t="shared" si="309"/>
        <v>74415</v>
      </c>
      <c r="H293" s="57">
        <f t="shared" si="312"/>
        <v>4120</v>
      </c>
      <c r="I293" s="58">
        <f t="shared" si="313"/>
        <v>670</v>
      </c>
      <c r="J293" s="100">
        <f t="shared" si="399"/>
        <v>50190</v>
      </c>
      <c r="K293" s="60">
        <f t="shared" si="367"/>
        <v>8461</v>
      </c>
      <c r="L293" s="57">
        <v>0</v>
      </c>
      <c r="M293" s="57"/>
      <c r="N293" s="57">
        <f t="shared" ref="N293:AC293" si="406">+ROUND(($G$293-$H$293)*365/$K$293,0)</f>
        <v>3032</v>
      </c>
      <c r="O293" s="57">
        <f t="shared" si="406"/>
        <v>3032</v>
      </c>
      <c r="P293" s="57">
        <f t="shared" si="406"/>
        <v>3032</v>
      </c>
      <c r="Q293" s="57">
        <f t="shared" si="406"/>
        <v>3032</v>
      </c>
      <c r="R293" s="57">
        <f t="shared" si="406"/>
        <v>3032</v>
      </c>
      <c r="S293" s="57">
        <f t="shared" si="406"/>
        <v>3032</v>
      </c>
      <c r="T293" s="57">
        <f t="shared" si="406"/>
        <v>3032</v>
      </c>
      <c r="U293" s="352">
        <f t="shared" si="406"/>
        <v>3032</v>
      </c>
      <c r="V293" s="57">
        <f t="shared" si="406"/>
        <v>3032</v>
      </c>
      <c r="W293" s="57">
        <f t="shared" si="406"/>
        <v>3032</v>
      </c>
      <c r="X293" s="57">
        <f t="shared" si="406"/>
        <v>3032</v>
      </c>
      <c r="Y293" s="57">
        <f t="shared" si="406"/>
        <v>3032</v>
      </c>
      <c r="Z293" s="57">
        <f t="shared" si="406"/>
        <v>3032</v>
      </c>
      <c r="AA293" s="57">
        <f t="shared" si="406"/>
        <v>3032</v>
      </c>
      <c r="AB293" s="57">
        <f t="shared" si="406"/>
        <v>3032</v>
      </c>
      <c r="AC293" s="57">
        <f t="shared" si="406"/>
        <v>3032</v>
      </c>
      <c r="AD293" s="57"/>
      <c r="AE293" s="57">
        <f>ROUND((G293-H293)*(K293-5840)/K293,0)+7</f>
        <v>21783</v>
      </c>
      <c r="AF293" s="140">
        <f t="shared" si="349"/>
        <v>50159</v>
      </c>
      <c r="AG293" s="32">
        <f t="shared" si="316"/>
        <v>70295</v>
      </c>
      <c r="AH293" s="101">
        <f t="shared" si="369"/>
        <v>70295</v>
      </c>
      <c r="AP293" s="101"/>
      <c r="AQ293" s="101"/>
    </row>
    <row r="294" spans="1:46" ht="15.9" customHeight="1" x14ac:dyDescent="0.3">
      <c r="A294" s="475"/>
      <c r="B294" s="52" t="s">
        <v>93</v>
      </c>
      <c r="C294" s="98">
        <v>41455</v>
      </c>
      <c r="D294" s="54">
        <v>171912</v>
      </c>
      <c r="E294" s="78">
        <v>25</v>
      </c>
      <c r="F294" s="54">
        <v>6839</v>
      </c>
      <c r="G294" s="89">
        <f t="shared" si="309"/>
        <v>165073</v>
      </c>
      <c r="H294" s="57">
        <f t="shared" si="312"/>
        <v>8596</v>
      </c>
      <c r="I294" s="58">
        <f t="shared" si="313"/>
        <v>275</v>
      </c>
      <c r="J294" s="100">
        <f t="shared" si="399"/>
        <v>50585</v>
      </c>
      <c r="K294" s="60">
        <f t="shared" si="367"/>
        <v>8856</v>
      </c>
      <c r="L294" s="57">
        <v>0</v>
      </c>
      <c r="M294" s="57"/>
      <c r="N294" s="57">
        <f t="shared" ref="N294:AC294" si="407">+ROUND(($G$294-$H$294)*365/$K$294,0)</f>
        <v>6449</v>
      </c>
      <c r="O294" s="57">
        <f t="shared" si="407"/>
        <v>6449</v>
      </c>
      <c r="P294" s="57">
        <f t="shared" si="407"/>
        <v>6449</v>
      </c>
      <c r="Q294" s="57">
        <f t="shared" si="407"/>
        <v>6449</v>
      </c>
      <c r="R294" s="57">
        <f t="shared" si="407"/>
        <v>6449</v>
      </c>
      <c r="S294" s="57">
        <f t="shared" si="407"/>
        <v>6449</v>
      </c>
      <c r="T294" s="57">
        <f t="shared" si="407"/>
        <v>6449</v>
      </c>
      <c r="U294" s="352">
        <f t="shared" si="407"/>
        <v>6449</v>
      </c>
      <c r="V294" s="57">
        <f t="shared" si="407"/>
        <v>6449</v>
      </c>
      <c r="W294" s="57">
        <f t="shared" si="407"/>
        <v>6449</v>
      </c>
      <c r="X294" s="57">
        <f t="shared" si="407"/>
        <v>6449</v>
      </c>
      <c r="Y294" s="57">
        <f t="shared" si="407"/>
        <v>6449</v>
      </c>
      <c r="Z294" s="57">
        <f t="shared" si="407"/>
        <v>6449</v>
      </c>
      <c r="AA294" s="57">
        <f t="shared" si="407"/>
        <v>6449</v>
      </c>
      <c r="AB294" s="57">
        <f t="shared" si="407"/>
        <v>6449</v>
      </c>
      <c r="AC294" s="57">
        <f t="shared" si="407"/>
        <v>6449</v>
      </c>
      <c r="AD294" s="57"/>
      <c r="AE294" s="57">
        <f>ROUND((G294-H294)*(K294-5840)/K294,0)+3</f>
        <v>53293</v>
      </c>
      <c r="AF294" s="140">
        <f t="shared" si="349"/>
        <v>113481</v>
      </c>
      <c r="AG294" s="32">
        <f t="shared" si="316"/>
        <v>156477</v>
      </c>
      <c r="AH294" s="101">
        <f t="shared" si="369"/>
        <v>156477</v>
      </c>
      <c r="AP294" s="101"/>
      <c r="AQ294" s="101"/>
    </row>
    <row r="295" spans="1:46" ht="15.9" customHeight="1" x14ac:dyDescent="0.3">
      <c r="A295" s="475"/>
      <c r="B295" s="92" t="s">
        <v>93</v>
      </c>
      <c r="C295" s="98">
        <v>41455</v>
      </c>
      <c r="D295" s="102">
        <v>16360</v>
      </c>
      <c r="E295" s="78">
        <v>25</v>
      </c>
      <c r="F295" s="94">
        <v>651</v>
      </c>
      <c r="G295" s="89">
        <f t="shared" si="309"/>
        <v>15709</v>
      </c>
      <c r="H295" s="57">
        <f t="shared" si="312"/>
        <v>818</v>
      </c>
      <c r="I295" s="58">
        <f t="shared" si="313"/>
        <v>275</v>
      </c>
      <c r="J295" s="100">
        <f t="shared" si="399"/>
        <v>50585</v>
      </c>
      <c r="K295" s="60">
        <f t="shared" si="367"/>
        <v>8856</v>
      </c>
      <c r="L295" s="57">
        <v>0</v>
      </c>
      <c r="M295" s="57"/>
      <c r="N295" s="57">
        <f t="shared" ref="N295:AC295" si="408">+ROUND(($G$295-$H$295)*365/$K$295,0)</f>
        <v>614</v>
      </c>
      <c r="O295" s="57">
        <f t="shared" si="408"/>
        <v>614</v>
      </c>
      <c r="P295" s="57">
        <f t="shared" si="408"/>
        <v>614</v>
      </c>
      <c r="Q295" s="57">
        <f t="shared" si="408"/>
        <v>614</v>
      </c>
      <c r="R295" s="57">
        <f t="shared" si="408"/>
        <v>614</v>
      </c>
      <c r="S295" s="57">
        <f t="shared" si="408"/>
        <v>614</v>
      </c>
      <c r="T295" s="57">
        <f t="shared" si="408"/>
        <v>614</v>
      </c>
      <c r="U295" s="352">
        <f t="shared" si="408"/>
        <v>614</v>
      </c>
      <c r="V295" s="57">
        <f t="shared" si="408"/>
        <v>614</v>
      </c>
      <c r="W295" s="57">
        <f t="shared" si="408"/>
        <v>614</v>
      </c>
      <c r="X295" s="57">
        <f t="shared" si="408"/>
        <v>614</v>
      </c>
      <c r="Y295" s="57">
        <f t="shared" si="408"/>
        <v>614</v>
      </c>
      <c r="Z295" s="57">
        <f t="shared" si="408"/>
        <v>614</v>
      </c>
      <c r="AA295" s="57">
        <f t="shared" si="408"/>
        <v>614</v>
      </c>
      <c r="AB295" s="57">
        <f t="shared" si="408"/>
        <v>614</v>
      </c>
      <c r="AC295" s="57">
        <f t="shared" si="408"/>
        <v>614</v>
      </c>
      <c r="AD295" s="57"/>
      <c r="AE295" s="57">
        <f>ROUND((G295-H295)*(K295-5840)/K295,0)-4</f>
        <v>5067</v>
      </c>
      <c r="AF295" s="140">
        <f t="shared" si="349"/>
        <v>10797</v>
      </c>
      <c r="AG295" s="32">
        <f t="shared" si="316"/>
        <v>14891</v>
      </c>
      <c r="AH295" s="101">
        <f t="shared" si="369"/>
        <v>14891</v>
      </c>
      <c r="AP295" s="101"/>
      <c r="AQ295" s="101"/>
    </row>
    <row r="296" spans="1:46" ht="15.9" customHeight="1" x14ac:dyDescent="0.3">
      <c r="A296" s="475"/>
      <c r="B296" s="92" t="s">
        <v>383</v>
      </c>
      <c r="C296" s="98">
        <v>43536</v>
      </c>
      <c r="D296" s="54">
        <v>2175000</v>
      </c>
      <c r="E296" s="78">
        <v>25</v>
      </c>
      <c r="F296" s="94">
        <v>0</v>
      </c>
      <c r="G296" s="89">
        <f t="shared" ref="G296:G297" si="409">D296-F296</f>
        <v>2175000</v>
      </c>
      <c r="H296" s="57">
        <f t="shared" ref="H296:H300" si="410">ROUND(D296*5%,0)</f>
        <v>108750</v>
      </c>
      <c r="I296" s="58">
        <v>0</v>
      </c>
      <c r="J296" s="100">
        <f t="shared" ref="J296:J297" si="411">+C296+9130</f>
        <v>52666</v>
      </c>
      <c r="K296" s="60">
        <f t="shared" ref="K296:K298" si="412">+J296-C296-I296+1</f>
        <v>9131</v>
      </c>
      <c r="L296" s="57">
        <v>0</v>
      </c>
      <c r="M296" s="57"/>
      <c r="N296" s="57">
        <v>0</v>
      </c>
      <c r="O296" s="57">
        <v>0</v>
      </c>
      <c r="P296" s="57">
        <v>0</v>
      </c>
      <c r="Q296" s="57">
        <v>0</v>
      </c>
      <c r="R296" s="57">
        <f>+ROUND(($G$296-$H$296)*20/$K$296,0)</f>
        <v>4526</v>
      </c>
      <c r="S296" s="57">
        <f t="shared" ref="S296:AC296" si="413">+ROUND(($G$296-$H$296)*365/$K$296,0)</f>
        <v>82596</v>
      </c>
      <c r="T296" s="57">
        <f t="shared" si="413"/>
        <v>82596</v>
      </c>
      <c r="U296" s="352">
        <f t="shared" si="413"/>
        <v>82596</v>
      </c>
      <c r="V296" s="57">
        <f t="shared" si="413"/>
        <v>82596</v>
      </c>
      <c r="W296" s="57">
        <f t="shared" si="413"/>
        <v>82596</v>
      </c>
      <c r="X296" s="57">
        <f t="shared" si="413"/>
        <v>82596</v>
      </c>
      <c r="Y296" s="57">
        <f t="shared" si="413"/>
        <v>82596</v>
      </c>
      <c r="Z296" s="57">
        <f t="shared" si="413"/>
        <v>82596</v>
      </c>
      <c r="AA296" s="57">
        <f t="shared" si="413"/>
        <v>82596</v>
      </c>
      <c r="AB296" s="57">
        <f t="shared" si="413"/>
        <v>82596</v>
      </c>
      <c r="AC296" s="57">
        <f t="shared" si="413"/>
        <v>82596</v>
      </c>
      <c r="AD296" s="57"/>
      <c r="AE296" s="57">
        <f>ROUND((G296-H296)*(K296-5840)/K296,0)-4</f>
        <v>744715</v>
      </c>
      <c r="AF296" s="140">
        <f t="shared" si="349"/>
        <v>1922686</v>
      </c>
      <c r="AG296" s="32">
        <f t="shared" ref="AG296" si="414">SUM(N296:AE296)</f>
        <v>1657797</v>
      </c>
      <c r="AH296" s="101">
        <f t="shared" si="369"/>
        <v>2066250</v>
      </c>
      <c r="AP296" s="101"/>
      <c r="AQ296" s="101"/>
    </row>
    <row r="297" spans="1:46" ht="15.9" customHeight="1" x14ac:dyDescent="0.3">
      <c r="A297" s="475"/>
      <c r="B297" s="92" t="s">
        <v>398</v>
      </c>
      <c r="C297" s="98">
        <v>43630</v>
      </c>
      <c r="D297" s="102">
        <v>48300</v>
      </c>
      <c r="E297" s="78">
        <v>25</v>
      </c>
      <c r="F297" s="94">
        <v>0</v>
      </c>
      <c r="G297" s="89">
        <f t="shared" si="409"/>
        <v>48300</v>
      </c>
      <c r="H297" s="57">
        <f t="shared" si="410"/>
        <v>2415</v>
      </c>
      <c r="I297" s="58">
        <v>0</v>
      </c>
      <c r="J297" s="100">
        <f t="shared" si="411"/>
        <v>52760</v>
      </c>
      <c r="K297" s="60">
        <f t="shared" si="412"/>
        <v>9131</v>
      </c>
      <c r="L297" s="57"/>
      <c r="M297" s="57"/>
      <c r="N297" s="57">
        <v>0</v>
      </c>
      <c r="O297" s="57">
        <v>0</v>
      </c>
      <c r="P297" s="57">
        <v>0</v>
      </c>
      <c r="Q297" s="57">
        <v>0</v>
      </c>
      <c r="R297" s="57">
        <v>0</v>
      </c>
      <c r="S297" s="57">
        <f>+ROUND(($G$297-$H$297)*292/$K$297,0)</f>
        <v>1467</v>
      </c>
      <c r="T297" s="57">
        <f>+ROUND(($G$297-$H$297)*365/$K$297,0)</f>
        <v>1834</v>
      </c>
      <c r="U297" s="352">
        <f t="shared" ref="U297:AC297" si="415">+ROUND(($G$297-$H$297)*365/$K$297,0)</f>
        <v>1834</v>
      </c>
      <c r="V297" s="57">
        <f>+ROUND((G297-H297)*365/K297,0)</f>
        <v>1834</v>
      </c>
      <c r="W297" s="57">
        <f t="shared" si="415"/>
        <v>1834</v>
      </c>
      <c r="X297" s="57">
        <f t="shared" si="415"/>
        <v>1834</v>
      </c>
      <c r="Y297" s="57">
        <f t="shared" si="415"/>
        <v>1834</v>
      </c>
      <c r="Z297" s="57">
        <f t="shared" si="415"/>
        <v>1834</v>
      </c>
      <c r="AA297" s="57">
        <f t="shared" si="415"/>
        <v>1834</v>
      </c>
      <c r="AB297" s="57">
        <f t="shared" si="415"/>
        <v>1834</v>
      </c>
      <c r="AC297" s="57">
        <f t="shared" si="415"/>
        <v>1834</v>
      </c>
      <c r="AD297" s="57"/>
      <c r="AE297" s="57"/>
      <c r="AF297" s="140">
        <f t="shared" si="349"/>
        <v>43165</v>
      </c>
      <c r="AH297" s="101">
        <f t="shared" si="369"/>
        <v>45885</v>
      </c>
      <c r="AP297" s="101"/>
      <c r="AQ297" s="101"/>
    </row>
    <row r="298" spans="1:46" ht="15.9" customHeight="1" x14ac:dyDescent="0.3">
      <c r="A298" s="475"/>
      <c r="B298" s="92" t="s">
        <v>467</v>
      </c>
      <c r="C298" s="98">
        <v>44639</v>
      </c>
      <c r="D298" s="78">
        <v>504679348.02488375</v>
      </c>
      <c r="E298" s="78">
        <v>40</v>
      </c>
      <c r="F298" s="94"/>
      <c r="G298" s="89">
        <f t="shared" ref="G298:G304" si="416">D298</f>
        <v>504679348.02488375</v>
      </c>
      <c r="H298" s="57">
        <f t="shared" si="410"/>
        <v>25233967</v>
      </c>
      <c r="I298" s="58"/>
      <c r="J298" s="100">
        <f>+C298+E298*365</f>
        <v>59239</v>
      </c>
      <c r="K298" s="60">
        <f t="shared" si="412"/>
        <v>14601</v>
      </c>
      <c r="L298" s="57"/>
      <c r="M298" s="57"/>
      <c r="N298" s="57"/>
      <c r="O298" s="57"/>
      <c r="P298" s="57"/>
      <c r="Q298" s="57"/>
      <c r="R298" s="57"/>
      <c r="S298" s="57"/>
      <c r="T298" s="57"/>
      <c r="U298" s="57">
        <f>(D298-H298)*M298/K298</f>
        <v>0</v>
      </c>
      <c r="V298" s="57">
        <f>+ROUND(($G$298-$H$298)*365/$K$298,0)</f>
        <v>11985314</v>
      </c>
      <c r="W298" s="57">
        <f t="shared" ref="W298:AE298" si="417">+ROUND(($G$298-$H$298)*365/$K$298,0)</f>
        <v>11985314</v>
      </c>
      <c r="X298" s="57">
        <f t="shared" si="417"/>
        <v>11985314</v>
      </c>
      <c r="Y298" s="57">
        <f t="shared" si="417"/>
        <v>11985314</v>
      </c>
      <c r="Z298" s="57">
        <f t="shared" si="417"/>
        <v>11985314</v>
      </c>
      <c r="AA298" s="57">
        <f t="shared" si="417"/>
        <v>11985314</v>
      </c>
      <c r="AB298" s="57">
        <f t="shared" si="417"/>
        <v>11985314</v>
      </c>
      <c r="AC298" s="57">
        <f t="shared" si="417"/>
        <v>11985314</v>
      </c>
      <c r="AD298" s="57">
        <f t="shared" si="417"/>
        <v>11985314</v>
      </c>
      <c r="AE298" s="57">
        <f t="shared" si="417"/>
        <v>11985314</v>
      </c>
      <c r="AF298" s="140">
        <f t="shared" si="349"/>
        <v>504679348.02488375</v>
      </c>
      <c r="AH298" s="101">
        <f t="shared" si="369"/>
        <v>479445381.02488375</v>
      </c>
      <c r="AI298" s="102">
        <v>508332005.08225089</v>
      </c>
      <c r="AL298" s="102"/>
      <c r="AP298" s="101"/>
      <c r="AQ298" s="101"/>
    </row>
    <row r="299" spans="1:46" ht="15.9" customHeight="1" x14ac:dyDescent="0.3">
      <c r="A299" s="475"/>
      <c r="B299" s="92" t="s">
        <v>482</v>
      </c>
      <c r="C299" s="98">
        <v>44641</v>
      </c>
      <c r="D299" s="78">
        <v>292367716.09583503</v>
      </c>
      <c r="E299" s="78">
        <f>25-25+20</f>
        <v>20</v>
      </c>
      <c r="F299" s="94"/>
      <c r="G299" s="89">
        <f t="shared" si="416"/>
        <v>292367716.09583503</v>
      </c>
      <c r="H299" s="57">
        <f t="shared" si="410"/>
        <v>14618386</v>
      </c>
      <c r="I299" s="58"/>
      <c r="J299" s="100">
        <f t="shared" ref="J299:J300" si="418">+C299+E299*365</f>
        <v>51941</v>
      </c>
      <c r="K299" s="60">
        <f t="shared" ref="K299" si="419">+J299-C299-I299+1</f>
        <v>7301</v>
      </c>
      <c r="L299" s="57"/>
      <c r="M299" s="57"/>
      <c r="N299" s="57"/>
      <c r="O299" s="57"/>
      <c r="P299" s="57"/>
      <c r="Q299" s="57"/>
      <c r="R299" s="57"/>
      <c r="S299" s="57"/>
      <c r="T299" s="57"/>
      <c r="U299" s="57">
        <f>(D299-H299)*M299/K299</f>
        <v>0</v>
      </c>
      <c r="V299" s="57">
        <f>+ROUND(($G$299-$H$299)*365/$K$299,0)</f>
        <v>13885564</v>
      </c>
      <c r="W299" s="57">
        <f t="shared" ref="W299:AE299" si="420">+ROUND(($G$299-$H$299)*365/$K$299,0)</f>
        <v>13885564</v>
      </c>
      <c r="X299" s="57">
        <f t="shared" si="420"/>
        <v>13885564</v>
      </c>
      <c r="Y299" s="57">
        <f t="shared" si="420"/>
        <v>13885564</v>
      </c>
      <c r="Z299" s="57">
        <f t="shared" si="420"/>
        <v>13885564</v>
      </c>
      <c r="AA299" s="57">
        <f t="shared" si="420"/>
        <v>13885564</v>
      </c>
      <c r="AB299" s="57">
        <f t="shared" si="420"/>
        <v>13885564</v>
      </c>
      <c r="AC299" s="57">
        <f t="shared" si="420"/>
        <v>13885564</v>
      </c>
      <c r="AD299" s="57">
        <f t="shared" si="420"/>
        <v>13885564</v>
      </c>
      <c r="AE299" s="57">
        <f t="shared" si="420"/>
        <v>13885564</v>
      </c>
      <c r="AF299" s="140">
        <f t="shared" si="349"/>
        <v>292367716.09583503</v>
      </c>
      <c r="AH299" s="101"/>
      <c r="AI299" s="102">
        <v>294587098.61746359</v>
      </c>
      <c r="AL299" s="102"/>
      <c r="AP299" s="101"/>
      <c r="AQ299" s="101"/>
    </row>
    <row r="300" spans="1:46" ht="15.9" customHeight="1" x14ac:dyDescent="0.3">
      <c r="A300" s="475"/>
      <c r="B300" s="92" t="s">
        <v>483</v>
      </c>
      <c r="C300" s="98">
        <v>44641</v>
      </c>
      <c r="D300" s="78">
        <v>438803164.87736219</v>
      </c>
      <c r="E300" s="78">
        <f>25-25+20</f>
        <v>20</v>
      </c>
      <c r="F300" s="94"/>
      <c r="G300" s="89">
        <f t="shared" si="416"/>
        <v>438803164.87736219</v>
      </c>
      <c r="H300" s="57">
        <f t="shared" si="410"/>
        <v>21940158</v>
      </c>
      <c r="I300" s="58"/>
      <c r="J300" s="100">
        <f t="shared" si="418"/>
        <v>51941</v>
      </c>
      <c r="K300" s="60">
        <f t="shared" ref="K300" si="421">+J300-C300-I300+1</f>
        <v>7301</v>
      </c>
      <c r="L300" s="57"/>
      <c r="M300" s="57"/>
      <c r="N300" s="57"/>
      <c r="O300" s="57"/>
      <c r="P300" s="57"/>
      <c r="Q300" s="57"/>
      <c r="R300" s="57"/>
      <c r="S300" s="57"/>
      <c r="T300" s="57"/>
      <c r="U300" s="57">
        <f>($D$300-$H$300)*M$300/$K$300</f>
        <v>0</v>
      </c>
      <c r="V300" s="57">
        <f>($D$300-$H$300)*365/$K$300</f>
        <v>20840295.508866895</v>
      </c>
      <c r="W300" s="57">
        <f t="shared" ref="W300:AE301" si="422">($D$300-$H$300)*365/$K$300</f>
        <v>20840295.508866895</v>
      </c>
      <c r="X300" s="57">
        <f t="shared" si="422"/>
        <v>20840295.508866895</v>
      </c>
      <c r="Y300" s="57">
        <f t="shared" si="422"/>
        <v>20840295.508866895</v>
      </c>
      <c r="Z300" s="57">
        <f t="shared" si="422"/>
        <v>20840295.508866895</v>
      </c>
      <c r="AA300" s="57">
        <f t="shared" si="422"/>
        <v>20840295.508866895</v>
      </c>
      <c r="AB300" s="57">
        <f t="shared" si="422"/>
        <v>20840295.508866895</v>
      </c>
      <c r="AC300" s="57">
        <f t="shared" si="422"/>
        <v>20840295.508866895</v>
      </c>
      <c r="AD300" s="57">
        <f t="shared" si="422"/>
        <v>20840295.508866895</v>
      </c>
      <c r="AE300" s="57">
        <f t="shared" si="422"/>
        <v>20840295.508866895</v>
      </c>
      <c r="AF300" s="140">
        <f t="shared" si="349"/>
        <v>438803164.87736219</v>
      </c>
      <c r="AG300" s="32">
        <f>SUM(AF170:AF300)</f>
        <v>1789978677.8175173</v>
      </c>
      <c r="AH300" s="101"/>
      <c r="AI300" s="102">
        <v>441958146.16300476</v>
      </c>
      <c r="AL300" s="102"/>
      <c r="AP300" s="101"/>
      <c r="AQ300" s="101"/>
    </row>
    <row r="301" spans="1:46" s="333" customFormat="1" ht="15.9" customHeight="1" x14ac:dyDescent="0.3">
      <c r="A301" s="475"/>
      <c r="B301" s="361" t="s">
        <v>594</v>
      </c>
      <c r="C301" s="363">
        <v>44766</v>
      </c>
      <c r="D301" s="438">
        <v>954653540.76969934</v>
      </c>
      <c r="E301" s="326">
        <v>25</v>
      </c>
      <c r="F301" s="338"/>
      <c r="G301" s="365">
        <f t="shared" si="416"/>
        <v>954653540.76969934</v>
      </c>
      <c r="H301" s="327">
        <f t="shared" ref="H301" si="423">ROUND(D301*5%,0)</f>
        <v>47732677</v>
      </c>
      <c r="I301" s="328"/>
      <c r="J301" s="366">
        <f t="shared" ref="J301" si="424">+C301+E301*365</f>
        <v>53891</v>
      </c>
      <c r="K301" s="329">
        <f t="shared" ref="K301" si="425">+J301-C301-I301+1</f>
        <v>9126</v>
      </c>
      <c r="L301" s="327"/>
      <c r="M301" s="327">
        <f>($V$3-C301)+1</f>
        <v>251</v>
      </c>
      <c r="N301" s="327"/>
      <c r="O301" s="327"/>
      <c r="P301" s="327"/>
      <c r="Q301" s="327"/>
      <c r="R301" s="327"/>
      <c r="S301" s="327"/>
      <c r="T301" s="327"/>
      <c r="U301" s="327"/>
      <c r="V301" s="327">
        <f>($D$301-$H$301)*M301/K301</f>
        <v>24943801.973065365</v>
      </c>
      <c r="W301" s="327">
        <f>($D$301-$H$301)*365/$K$301</f>
        <v>36272859.442903817</v>
      </c>
      <c r="X301" s="327">
        <f>($D$301-$H$301)*365/$K$301</f>
        <v>36272859.442903817</v>
      </c>
      <c r="Y301" s="327">
        <f t="shared" ref="Y301:Z301" si="426">($D$301-$H$301)*365/$K$301</f>
        <v>36272859.442903817</v>
      </c>
      <c r="Z301" s="327">
        <f t="shared" si="426"/>
        <v>36272859.442903817</v>
      </c>
      <c r="AA301" s="327">
        <f t="shared" si="422"/>
        <v>20840295.508866895</v>
      </c>
      <c r="AB301" s="327">
        <f t="shared" si="422"/>
        <v>20840295.508866895</v>
      </c>
      <c r="AC301" s="327">
        <f t="shared" si="422"/>
        <v>20840295.508866895</v>
      </c>
      <c r="AD301" s="327">
        <f t="shared" si="422"/>
        <v>20840295.508866895</v>
      </c>
      <c r="AE301" s="327">
        <f t="shared" si="422"/>
        <v>20840295.508866895</v>
      </c>
      <c r="AF301" s="362">
        <f t="shared" ref="AF301" si="427">+D301-F301-SUM(N301:U301)-L301</f>
        <v>954653540.76969934</v>
      </c>
      <c r="AG301" s="332">
        <f>SUM(AF171:AF301)</f>
        <v>2651380617.5872164</v>
      </c>
      <c r="AH301" s="334"/>
      <c r="AI301" s="364"/>
      <c r="AL301" s="364"/>
      <c r="AP301" s="334"/>
      <c r="AQ301" s="334"/>
      <c r="AT301" s="333">
        <v>12485838</v>
      </c>
    </row>
    <row r="302" spans="1:46" s="333" customFormat="1" ht="15.9" customHeight="1" x14ac:dyDescent="0.3">
      <c r="A302" s="475"/>
      <c r="B302" s="361" t="s">
        <v>575</v>
      </c>
      <c r="C302" s="363">
        <v>45001</v>
      </c>
      <c r="D302" s="438">
        <f>4778550+AT302</f>
        <v>4816229</v>
      </c>
      <c r="E302" s="326">
        <v>25</v>
      </c>
      <c r="F302" s="338"/>
      <c r="G302" s="365">
        <f>D302</f>
        <v>4816229</v>
      </c>
      <c r="H302" s="327">
        <f>ROUND(D302*5%,0)</f>
        <v>240811</v>
      </c>
      <c r="I302" s="328"/>
      <c r="J302" s="366">
        <f>+C302+E302*365</f>
        <v>54126</v>
      </c>
      <c r="K302" s="329">
        <f>+J302-C302-I302+1</f>
        <v>9126</v>
      </c>
      <c r="L302" s="327"/>
      <c r="M302" s="327">
        <f>($V$3-C302)+1</f>
        <v>16</v>
      </c>
      <c r="N302" s="327"/>
      <c r="O302" s="327"/>
      <c r="P302" s="327"/>
      <c r="Q302" s="327"/>
      <c r="R302" s="327"/>
      <c r="S302" s="327"/>
      <c r="T302" s="327"/>
      <c r="U302" s="327"/>
      <c r="V302" s="327">
        <f>($D$301-$H$301)*M302/K302</f>
        <v>1590043.1536615372</v>
      </c>
      <c r="W302" s="327">
        <f>($D$304-$H$304)*M302/$K$304</f>
        <v>788576.85634307493</v>
      </c>
      <c r="X302" s="327">
        <f>($D$304-$H$304)*365/$K$304</f>
        <v>17989409.535326399</v>
      </c>
      <c r="Y302" s="327">
        <f t="shared" ref="Y302:Z305" si="428">($D$304-$H$304)*365/$K$304</f>
        <v>17989409.535326399</v>
      </c>
      <c r="Z302" s="327">
        <f t="shared" si="428"/>
        <v>17989409.535326399</v>
      </c>
      <c r="AA302" s="327"/>
      <c r="AB302" s="327"/>
      <c r="AC302" s="327"/>
      <c r="AD302" s="327"/>
      <c r="AE302" s="327"/>
      <c r="AF302" s="362"/>
      <c r="AG302" s="332"/>
      <c r="AH302" s="334"/>
      <c r="AI302" s="364"/>
      <c r="AL302" s="364"/>
      <c r="AP302" s="334"/>
      <c r="AQ302" s="334"/>
      <c r="AT302" s="333">
        <v>37679</v>
      </c>
    </row>
    <row r="303" spans="1:46" s="333" customFormat="1" ht="15.9" customHeight="1" x14ac:dyDescent="0.3">
      <c r="A303" s="475"/>
      <c r="B303" s="92" t="s">
        <v>530</v>
      </c>
      <c r="C303" s="363">
        <v>45013</v>
      </c>
      <c r="D303" s="438">
        <v>1104962807.5928888</v>
      </c>
      <c r="E303" s="326">
        <v>40</v>
      </c>
      <c r="F303" s="338"/>
      <c r="G303" s="365">
        <f t="shared" si="416"/>
        <v>1104962807.5928888</v>
      </c>
      <c r="H303" s="327">
        <f t="shared" ref="H303" si="429">ROUND(D303*5%,0)</f>
        <v>55248140</v>
      </c>
      <c r="I303" s="328"/>
      <c r="J303" s="366">
        <f t="shared" ref="J303" si="430">+C303+E303*365</f>
        <v>59613</v>
      </c>
      <c r="K303" s="329">
        <f t="shared" ref="K303" si="431">+J303-C303-I303+1</f>
        <v>14601</v>
      </c>
      <c r="L303" s="327"/>
      <c r="M303" s="327">
        <f>($V$3-C303)+1</f>
        <v>4</v>
      </c>
      <c r="N303" s="327"/>
      <c r="O303" s="327"/>
      <c r="P303" s="327"/>
      <c r="Q303" s="327"/>
      <c r="R303" s="327"/>
      <c r="S303" s="327"/>
      <c r="T303" s="327"/>
      <c r="U303" s="327"/>
      <c r="V303" s="327">
        <f t="shared" ref="V303:V304" si="432">($D$301-$H$301)*M303/K303</f>
        <v>248454.45209771916</v>
      </c>
      <c r="W303" s="327">
        <f>($D$303-$H$303)*M303/$K$303</f>
        <v>287573.36280881823</v>
      </c>
      <c r="X303" s="327">
        <f>($D$303-$H$303)*365/$K$303</f>
        <v>26241069.356304664</v>
      </c>
      <c r="Y303" s="327">
        <f t="shared" ref="Y303:Z303" si="433">($D$303-$H$303)*365/$K$303</f>
        <v>26241069.356304664</v>
      </c>
      <c r="Z303" s="327">
        <f t="shared" si="433"/>
        <v>26241069.356304664</v>
      </c>
      <c r="AA303" s="327"/>
      <c r="AB303" s="327"/>
      <c r="AC303" s="327"/>
      <c r="AD303" s="327"/>
      <c r="AE303" s="327"/>
      <c r="AF303" s="362"/>
      <c r="AG303" s="332"/>
      <c r="AH303" s="334"/>
      <c r="AI303" s="364"/>
      <c r="AL303" s="364"/>
      <c r="AP303" s="334"/>
      <c r="AQ303" s="334"/>
      <c r="AT303" s="333">
        <v>8138852</v>
      </c>
    </row>
    <row r="304" spans="1:46" s="333" customFormat="1" ht="15.9" customHeight="1" x14ac:dyDescent="0.3">
      <c r="A304" s="475"/>
      <c r="B304" s="92" t="s">
        <v>531</v>
      </c>
      <c r="C304" s="363">
        <v>45015</v>
      </c>
      <c r="D304" s="438">
        <v>378776291.7600494</v>
      </c>
      <c r="E304" s="326">
        <v>20</v>
      </c>
      <c r="F304" s="338"/>
      <c r="G304" s="365">
        <f t="shared" si="416"/>
        <v>378776291.7600494</v>
      </c>
      <c r="H304" s="327">
        <f t="shared" ref="H304" si="434">ROUND(D304*5%,0)</f>
        <v>18938815</v>
      </c>
      <c r="I304" s="328"/>
      <c r="J304" s="366">
        <f t="shared" ref="J304" si="435">+C304+E304*365</f>
        <v>52315</v>
      </c>
      <c r="K304" s="329">
        <f t="shared" ref="K304" si="436">+J304-C304-I304+1</f>
        <v>7301</v>
      </c>
      <c r="L304" s="327"/>
      <c r="M304" s="327">
        <f>($V$3-C304)+1</f>
        <v>2</v>
      </c>
      <c r="N304" s="327"/>
      <c r="O304" s="327"/>
      <c r="P304" s="327"/>
      <c r="Q304" s="327"/>
      <c r="R304" s="327"/>
      <c r="S304" s="327"/>
      <c r="T304" s="327"/>
      <c r="U304" s="327"/>
      <c r="V304" s="327">
        <f t="shared" si="432"/>
        <v>248437.43700032853</v>
      </c>
      <c r="W304" s="327">
        <f>($D$304-$H$304)*M304/$K$304</f>
        <v>98572.107042884367</v>
      </c>
      <c r="X304" s="327">
        <f>($D$304-$H$304)*365/$K$304</f>
        <v>17989409.535326399</v>
      </c>
      <c r="Y304" s="327">
        <f t="shared" si="428"/>
        <v>17989409.535326399</v>
      </c>
      <c r="Z304" s="327">
        <f t="shared" si="428"/>
        <v>17989409.535326399</v>
      </c>
      <c r="AA304" s="327"/>
      <c r="AB304" s="327"/>
      <c r="AC304" s="327"/>
      <c r="AD304" s="327"/>
      <c r="AE304" s="327"/>
      <c r="AF304" s="362"/>
      <c r="AG304" s="332"/>
      <c r="AH304" s="334"/>
      <c r="AI304" s="364"/>
      <c r="AL304" s="364"/>
      <c r="AP304" s="334"/>
      <c r="AQ304" s="334"/>
      <c r="AT304" s="333">
        <v>2593847</v>
      </c>
    </row>
    <row r="305" spans="1:43" s="333" customFormat="1" ht="15.9" customHeight="1" x14ac:dyDescent="0.3">
      <c r="A305" s="475"/>
      <c r="B305" s="361" t="s">
        <v>595</v>
      </c>
      <c r="C305" s="335">
        <v>45014</v>
      </c>
      <c r="D305" s="439">
        <v>940993706.16736138</v>
      </c>
      <c r="E305" s="326">
        <v>25</v>
      </c>
      <c r="G305" s="365">
        <f t="shared" ref="G305" si="437">D305</f>
        <v>940993706.16736138</v>
      </c>
      <c r="H305" s="327">
        <f t="shared" ref="H305" si="438">ROUND(D305*5%,0)</f>
        <v>47049685</v>
      </c>
      <c r="I305" s="328"/>
      <c r="J305" s="366">
        <f t="shared" ref="J305" si="439">+C305+E305*365</f>
        <v>54139</v>
      </c>
      <c r="K305" s="329">
        <f t="shared" ref="K305" si="440">+J305-C305-I305+1</f>
        <v>9126</v>
      </c>
      <c r="L305" s="327"/>
      <c r="M305" s="327">
        <f>($V$3-C305)+1</f>
        <v>3</v>
      </c>
      <c r="N305" s="327"/>
      <c r="O305" s="327"/>
      <c r="P305" s="327"/>
      <c r="Q305" s="327"/>
      <c r="R305" s="327"/>
      <c r="S305" s="327"/>
      <c r="T305" s="327"/>
      <c r="U305" s="327"/>
      <c r="V305" s="327">
        <f t="shared" ref="V305" si="441">($D$301-$H$301)*M305/K305</f>
        <v>298133.09131153824</v>
      </c>
      <c r="W305" s="327">
        <f>($D$304-$H$304)*M305/$K$304</f>
        <v>147858.16056432656</v>
      </c>
      <c r="X305" s="327">
        <f>($D$304-$H$304)*365/$K$304</f>
        <v>17989409.535326399</v>
      </c>
      <c r="Y305" s="327">
        <f t="shared" si="428"/>
        <v>17989409.535326399</v>
      </c>
      <c r="Z305" s="327">
        <f t="shared" si="428"/>
        <v>17989409.535326399</v>
      </c>
      <c r="AA305" s="327"/>
      <c r="AB305" s="327"/>
      <c r="AC305" s="327"/>
      <c r="AD305" s="327"/>
      <c r="AE305" s="327"/>
      <c r="AF305" s="362"/>
      <c r="AG305" s="332"/>
      <c r="AH305" s="334"/>
      <c r="AP305" s="334"/>
      <c r="AQ305" s="334"/>
    </row>
    <row r="306" spans="1:43" s="333" customFormat="1" ht="15.9" customHeight="1" x14ac:dyDescent="0.3">
      <c r="A306" s="475"/>
      <c r="B306" s="361"/>
      <c r="C306" s="363"/>
      <c r="D306" s="326"/>
      <c r="E306" s="326"/>
      <c r="F306" s="338"/>
      <c r="G306" s="365"/>
      <c r="H306" s="327"/>
      <c r="I306" s="328"/>
      <c r="J306" s="366"/>
      <c r="K306" s="329"/>
      <c r="L306" s="327"/>
      <c r="M306" s="327"/>
      <c r="N306" s="327"/>
      <c r="O306" s="327"/>
      <c r="P306" s="327"/>
      <c r="Q306" s="327"/>
      <c r="R306" s="327"/>
      <c r="S306" s="327"/>
      <c r="T306" s="327"/>
      <c r="U306" s="327"/>
      <c r="V306" s="327"/>
      <c r="W306" s="327"/>
      <c r="X306" s="327"/>
      <c r="Y306" s="327"/>
      <c r="Z306" s="327"/>
      <c r="AA306" s="327"/>
      <c r="AB306" s="327"/>
      <c r="AC306" s="327"/>
      <c r="AD306" s="327"/>
      <c r="AE306" s="327"/>
      <c r="AF306" s="362"/>
      <c r="AG306" s="332"/>
      <c r="AH306" s="334"/>
      <c r="AI306" s="364"/>
      <c r="AL306" s="364"/>
      <c r="AP306" s="334"/>
      <c r="AQ306" s="334"/>
    </row>
    <row r="307" spans="1:43" s="35" customFormat="1" ht="15.9" customHeight="1" x14ac:dyDescent="0.3">
      <c r="A307" s="476"/>
      <c r="B307" s="61" t="s">
        <v>2</v>
      </c>
      <c r="C307" s="62"/>
      <c r="D307" s="103">
        <f>SUM(D170:D305)</f>
        <v>5835610722.6980801</v>
      </c>
      <c r="E307" s="64">
        <v>0</v>
      </c>
      <c r="F307" s="103">
        <f>SUM(F170:F305)</f>
        <v>332388189.59056354</v>
      </c>
      <c r="G307" s="103">
        <f>SUM(G170:G306)</f>
        <v>5503222533.1075163</v>
      </c>
      <c r="H307" s="103">
        <f>SUM(H170:H305)</f>
        <v>291778769</v>
      </c>
      <c r="I307" s="103"/>
      <c r="J307" s="103"/>
      <c r="K307" s="103"/>
      <c r="L307" s="103">
        <f>SUM(L170:L295)</f>
        <v>0</v>
      </c>
      <c r="M307" s="103"/>
      <c r="N307" s="103">
        <f t="shared" ref="N307:T307" si="442">SUM(N170:N297)</f>
        <v>41232761</v>
      </c>
      <c r="O307" s="103">
        <f t="shared" si="442"/>
        <v>41232761</v>
      </c>
      <c r="P307" s="103">
        <f t="shared" si="442"/>
        <v>41232761</v>
      </c>
      <c r="Q307" s="103">
        <f t="shared" si="442"/>
        <v>41232761</v>
      </c>
      <c r="R307" s="103">
        <f t="shared" si="442"/>
        <v>41206119</v>
      </c>
      <c r="S307" s="103">
        <f t="shared" si="442"/>
        <v>41253971</v>
      </c>
      <c r="T307" s="103">
        <f t="shared" si="442"/>
        <v>40908577</v>
      </c>
      <c r="U307" s="354">
        <f>SUM(U170:U300)</f>
        <v>40741569</v>
      </c>
      <c r="V307" s="354">
        <f>SUM(V170:V306)</f>
        <v>114661258.61600338</v>
      </c>
      <c r="W307" s="354">
        <f t="shared" ref="W307:Y307" si="443">SUM(W170:W306)</f>
        <v>124784101.43852982</v>
      </c>
      <c r="X307" s="354">
        <f t="shared" si="443"/>
        <v>203583775.91405457</v>
      </c>
      <c r="Y307" s="354">
        <f t="shared" si="443"/>
        <v>203541774.91405457</v>
      </c>
      <c r="Z307" s="354">
        <f t="shared" ref="Z307:AA307" si="444">SUM(Z170:Z300)</f>
        <v>87052632.508866891</v>
      </c>
      <c r="AA307" s="354">
        <f t="shared" si="444"/>
        <v>87048532.508866891</v>
      </c>
      <c r="AB307" s="354">
        <f t="shared" ref="AB307:AE307" si="445">SUM(AB170:AB298)</f>
        <v>52322212</v>
      </c>
      <c r="AC307" s="354">
        <f t="shared" si="445"/>
        <v>52322212</v>
      </c>
      <c r="AD307" s="354">
        <f t="shared" si="445"/>
        <v>12449646</v>
      </c>
      <c r="AE307" s="354">
        <f t="shared" si="445"/>
        <v>181248560</v>
      </c>
      <c r="AF307" s="140">
        <f>+D307-F307-SUM(N307:V307)-L307</f>
        <v>5059519994.4915133</v>
      </c>
      <c r="AG307" s="68">
        <f>AG300-AF307</f>
        <v>-3269541316.673996</v>
      </c>
      <c r="AI307" s="32"/>
      <c r="AP307" s="101"/>
    </row>
    <row r="308" spans="1:43" ht="15.9" customHeight="1" x14ac:dyDescent="0.3">
      <c r="A308" s="104"/>
      <c r="B308" s="69"/>
      <c r="C308" s="411"/>
      <c r="D308" s="82"/>
      <c r="E308" s="83"/>
      <c r="F308" s="82"/>
      <c r="G308" s="105"/>
      <c r="H308" s="71"/>
      <c r="I308" s="106"/>
      <c r="J308" s="74"/>
      <c r="K308" s="75"/>
      <c r="L308" s="75"/>
      <c r="M308" s="75"/>
      <c r="N308" s="71"/>
      <c r="O308" s="71"/>
      <c r="P308" s="71"/>
      <c r="Q308" s="71"/>
      <c r="R308" s="71"/>
      <c r="S308" s="71"/>
      <c r="T308" s="71"/>
      <c r="U308" s="351"/>
      <c r="V308" s="71"/>
      <c r="W308" s="71"/>
      <c r="X308" s="71"/>
      <c r="Y308" s="71"/>
      <c r="Z308" s="71"/>
      <c r="AA308" s="71"/>
      <c r="AB308" s="71"/>
      <c r="AC308" s="71"/>
      <c r="AD308" s="71"/>
      <c r="AE308" s="71"/>
      <c r="AF308" s="59"/>
      <c r="AP308" s="101"/>
    </row>
    <row r="309" spans="1:43" ht="15.9" customHeight="1" x14ac:dyDescent="0.3">
      <c r="A309" s="468" t="s">
        <v>355</v>
      </c>
      <c r="B309" s="97" t="s">
        <v>314</v>
      </c>
      <c r="C309" s="107"/>
      <c r="D309" s="99">
        <f>109495.92-1530</f>
        <v>107965.92</v>
      </c>
      <c r="E309" s="108">
        <v>10</v>
      </c>
      <c r="F309" s="109">
        <f>103788.92+4177</f>
        <v>107965.92</v>
      </c>
      <c r="G309" s="86">
        <f>D309-F309</f>
        <v>0</v>
      </c>
      <c r="H309" s="57">
        <f>1530-1530</f>
        <v>0</v>
      </c>
      <c r="I309" s="86">
        <v>0</v>
      </c>
      <c r="J309" s="86">
        <v>0</v>
      </c>
      <c r="K309" s="86">
        <v>0</v>
      </c>
      <c r="L309" s="58">
        <f>+G309-H309</f>
        <v>0</v>
      </c>
      <c r="M309" s="58"/>
      <c r="N309" s="86">
        <v>0</v>
      </c>
      <c r="O309" s="86">
        <v>0</v>
      </c>
      <c r="P309" s="86">
        <v>0</v>
      </c>
      <c r="Q309" s="86">
        <v>0</v>
      </c>
      <c r="R309" s="86">
        <v>0</v>
      </c>
      <c r="S309" s="86">
        <v>0</v>
      </c>
      <c r="T309" s="86">
        <v>0</v>
      </c>
      <c r="U309" s="355">
        <v>0</v>
      </c>
      <c r="V309" s="86">
        <v>0</v>
      </c>
      <c r="W309" s="86">
        <v>0</v>
      </c>
      <c r="X309" s="86">
        <v>0</v>
      </c>
      <c r="Y309" s="86">
        <v>0</v>
      </c>
      <c r="Z309" s="86">
        <v>0</v>
      </c>
      <c r="AA309" s="86">
        <v>0</v>
      </c>
      <c r="AB309" s="86">
        <v>0</v>
      </c>
      <c r="AC309" s="86">
        <v>0</v>
      </c>
      <c r="AD309" s="86"/>
      <c r="AE309" s="86">
        <v>0</v>
      </c>
      <c r="AF309" s="59">
        <f t="shared" si="349"/>
        <v>0</v>
      </c>
      <c r="AG309" s="32">
        <f>SUM(N309:AE309)</f>
        <v>0</v>
      </c>
      <c r="AH309" s="101">
        <f t="shared" ref="AH309:AH340" si="446">G309-H309</f>
        <v>0</v>
      </c>
      <c r="AP309" s="101"/>
      <c r="AQ309" s="101"/>
    </row>
    <row r="310" spans="1:43" ht="15.9" customHeight="1" x14ac:dyDescent="0.3">
      <c r="A310" s="468"/>
      <c r="B310" s="97" t="s">
        <v>463</v>
      </c>
      <c r="C310" s="107"/>
      <c r="D310" s="99">
        <v>-107966</v>
      </c>
      <c r="E310" s="108"/>
      <c r="F310" s="109">
        <v>-107966</v>
      </c>
      <c r="G310" s="86"/>
      <c r="H310" s="57"/>
      <c r="I310" s="86"/>
      <c r="J310" s="86"/>
      <c r="K310" s="86"/>
      <c r="L310" s="58"/>
      <c r="M310" s="58"/>
      <c r="N310" s="86"/>
      <c r="O310" s="86"/>
      <c r="P310" s="86"/>
      <c r="Q310" s="86"/>
      <c r="R310" s="86"/>
      <c r="S310" s="86"/>
      <c r="T310" s="86"/>
      <c r="U310" s="355"/>
      <c r="V310" s="86"/>
      <c r="W310" s="86"/>
      <c r="X310" s="86"/>
      <c r="Y310" s="86"/>
      <c r="Z310" s="86"/>
      <c r="AA310" s="86"/>
      <c r="AB310" s="86"/>
      <c r="AC310" s="86"/>
      <c r="AD310" s="86"/>
      <c r="AE310" s="86"/>
      <c r="AF310" s="59">
        <f t="shared" si="349"/>
        <v>0</v>
      </c>
      <c r="AH310" s="101"/>
      <c r="AP310" s="101"/>
      <c r="AQ310" s="101"/>
    </row>
    <row r="311" spans="1:43" ht="15.9" customHeight="1" x14ac:dyDescent="0.3">
      <c r="A311" s="468"/>
      <c r="B311" s="97" t="s">
        <v>322</v>
      </c>
      <c r="C311" s="107">
        <v>38472</v>
      </c>
      <c r="D311" s="99">
        <v>36513</v>
      </c>
      <c r="E311" s="108">
        <v>10</v>
      </c>
      <c r="F311" s="109">
        <v>36513</v>
      </c>
      <c r="G311" s="86">
        <f t="shared" ref="G311:G340" si="447">D311-F311</f>
        <v>0</v>
      </c>
      <c r="H311" s="57">
        <v>0</v>
      </c>
      <c r="I311" s="58">
        <v>0</v>
      </c>
      <c r="J311" s="58">
        <v>0</v>
      </c>
      <c r="K311" s="58">
        <v>0</v>
      </c>
      <c r="L311" s="86">
        <v>0</v>
      </c>
      <c r="M311" s="86"/>
      <c r="N311" s="86">
        <v>0</v>
      </c>
      <c r="O311" s="86">
        <v>0</v>
      </c>
      <c r="P311" s="86">
        <v>0</v>
      </c>
      <c r="Q311" s="86">
        <v>0</v>
      </c>
      <c r="R311" s="86">
        <v>0</v>
      </c>
      <c r="S311" s="86">
        <v>0</v>
      </c>
      <c r="T311" s="86">
        <v>0</v>
      </c>
      <c r="U311" s="355">
        <v>0</v>
      </c>
      <c r="V311" s="86">
        <v>0</v>
      </c>
      <c r="W311" s="86">
        <v>0</v>
      </c>
      <c r="X311" s="86">
        <v>0</v>
      </c>
      <c r="Y311" s="86">
        <v>0</v>
      </c>
      <c r="Z311" s="86">
        <v>0</v>
      </c>
      <c r="AA311" s="86">
        <v>0</v>
      </c>
      <c r="AB311" s="86">
        <v>0</v>
      </c>
      <c r="AC311" s="86">
        <v>0</v>
      </c>
      <c r="AD311" s="86"/>
      <c r="AE311" s="86">
        <v>0</v>
      </c>
      <c r="AF311" s="59">
        <f t="shared" si="349"/>
        <v>0</v>
      </c>
      <c r="AG311" s="32">
        <f t="shared" ref="AG311:AG339" si="448">SUM(N311:AE311)</f>
        <v>0</v>
      </c>
      <c r="AH311" s="101">
        <f t="shared" si="446"/>
        <v>0</v>
      </c>
      <c r="AP311" s="101"/>
      <c r="AQ311" s="101"/>
    </row>
    <row r="312" spans="1:43" ht="15.9" customHeight="1" x14ac:dyDescent="0.3">
      <c r="A312" s="468"/>
      <c r="B312" s="97" t="s">
        <v>323</v>
      </c>
      <c r="C312" s="107">
        <v>38089</v>
      </c>
      <c r="D312" s="99">
        <v>637671.81999999995</v>
      </c>
      <c r="E312" s="108">
        <v>10</v>
      </c>
      <c r="F312" s="109">
        <v>637671.81999999995</v>
      </c>
      <c r="G312" s="86">
        <f t="shared" si="447"/>
        <v>0</v>
      </c>
      <c r="H312" s="57">
        <v>0</v>
      </c>
      <c r="I312" s="58">
        <v>0</v>
      </c>
      <c r="J312" s="58">
        <v>0</v>
      </c>
      <c r="K312" s="58">
        <v>0</v>
      </c>
      <c r="L312" s="86">
        <v>0</v>
      </c>
      <c r="M312" s="86"/>
      <c r="N312" s="86">
        <v>0</v>
      </c>
      <c r="O312" s="86">
        <v>0</v>
      </c>
      <c r="P312" s="86">
        <v>0</v>
      </c>
      <c r="Q312" s="86">
        <v>0</v>
      </c>
      <c r="R312" s="86">
        <v>0</v>
      </c>
      <c r="S312" s="86">
        <v>0</v>
      </c>
      <c r="T312" s="86">
        <v>0</v>
      </c>
      <c r="U312" s="355">
        <v>0</v>
      </c>
      <c r="V312" s="86">
        <v>0</v>
      </c>
      <c r="W312" s="86">
        <v>0</v>
      </c>
      <c r="X312" s="86">
        <v>0</v>
      </c>
      <c r="Y312" s="86">
        <v>0</v>
      </c>
      <c r="Z312" s="86">
        <v>0</v>
      </c>
      <c r="AA312" s="86">
        <v>0</v>
      </c>
      <c r="AB312" s="86">
        <v>0</v>
      </c>
      <c r="AC312" s="86">
        <v>0</v>
      </c>
      <c r="AD312" s="86"/>
      <c r="AE312" s="86">
        <v>0</v>
      </c>
      <c r="AF312" s="59">
        <f t="shared" si="349"/>
        <v>0</v>
      </c>
      <c r="AG312" s="32">
        <f t="shared" si="448"/>
        <v>0</v>
      </c>
      <c r="AH312" s="101">
        <f t="shared" si="446"/>
        <v>0</v>
      </c>
      <c r="AP312" s="101"/>
      <c r="AQ312" s="101"/>
    </row>
    <row r="313" spans="1:43" ht="15.9" customHeight="1" x14ac:dyDescent="0.3">
      <c r="A313" s="468"/>
      <c r="B313" s="97" t="s">
        <v>324</v>
      </c>
      <c r="C313" s="107">
        <v>38408</v>
      </c>
      <c r="D313" s="99">
        <v>11300</v>
      </c>
      <c r="E313" s="108">
        <v>10</v>
      </c>
      <c r="F313" s="109">
        <f>10496.24-4177</f>
        <v>6319.24</v>
      </c>
      <c r="G313" s="86">
        <f t="shared" si="447"/>
        <v>4980.76</v>
      </c>
      <c r="H313" s="57">
        <f t="shared" ref="H313:H340" si="449">ROUND(D313*5%,0)</f>
        <v>565</v>
      </c>
      <c r="I313" s="58">
        <f t="shared" ref="I313:I320" si="450">$I$3-C313+1</f>
        <v>3322</v>
      </c>
      <c r="J313" s="100">
        <f>+C313+3651</f>
        <v>42059</v>
      </c>
      <c r="K313" s="60">
        <f t="shared" ref="K313:K320" si="451">+J313-C313-I313+1</f>
        <v>330</v>
      </c>
      <c r="L313" s="86">
        <v>0</v>
      </c>
      <c r="M313" s="86"/>
      <c r="N313" s="57">
        <f>+ROUND((G313-H313)*330/K313,0)</f>
        <v>4416</v>
      </c>
      <c r="O313" s="80">
        <v>0</v>
      </c>
      <c r="P313" s="80">
        <f t="shared" ref="P313:R313" si="452">+O313</f>
        <v>0</v>
      </c>
      <c r="Q313" s="80">
        <f t="shared" si="452"/>
        <v>0</v>
      </c>
      <c r="R313" s="80">
        <f t="shared" si="452"/>
        <v>0</v>
      </c>
      <c r="S313" s="57">
        <v>0</v>
      </c>
      <c r="T313" s="57">
        <v>0</v>
      </c>
      <c r="U313" s="353">
        <v>0</v>
      </c>
      <c r="V313" s="80">
        <f t="shared" ref="V313:AA314" si="453">+U313</f>
        <v>0</v>
      </c>
      <c r="W313" s="80">
        <f t="shared" si="453"/>
        <v>0</v>
      </c>
      <c r="X313" s="80">
        <f t="shared" si="453"/>
        <v>0</v>
      </c>
      <c r="Y313" s="80">
        <f t="shared" si="453"/>
        <v>0</v>
      </c>
      <c r="Z313" s="80">
        <f t="shared" si="453"/>
        <v>0</v>
      </c>
      <c r="AA313" s="80">
        <f t="shared" si="453"/>
        <v>0</v>
      </c>
      <c r="AB313" s="80">
        <v>0</v>
      </c>
      <c r="AC313" s="80">
        <v>0</v>
      </c>
      <c r="AD313" s="80"/>
      <c r="AE313" s="80">
        <v>0</v>
      </c>
      <c r="AF313" s="59">
        <f t="shared" si="349"/>
        <v>564.76000000000022</v>
      </c>
      <c r="AG313" s="32">
        <f t="shared" si="448"/>
        <v>4416</v>
      </c>
      <c r="AH313" s="101">
        <f t="shared" si="446"/>
        <v>4415.76</v>
      </c>
      <c r="AP313" s="101"/>
      <c r="AQ313" s="101"/>
    </row>
    <row r="314" spans="1:43" ht="15.9" customHeight="1" x14ac:dyDescent="0.3">
      <c r="A314" s="468"/>
      <c r="B314" s="52" t="s">
        <v>151</v>
      </c>
      <c r="C314" s="107">
        <v>38387</v>
      </c>
      <c r="D314" s="54">
        <v>20400</v>
      </c>
      <c r="E314" s="108">
        <v>10</v>
      </c>
      <c r="F314" s="54">
        <v>11819.23</v>
      </c>
      <c r="G314" s="86">
        <f t="shared" si="447"/>
        <v>8580.77</v>
      </c>
      <c r="H314" s="57">
        <f t="shared" si="449"/>
        <v>1020</v>
      </c>
      <c r="I314" s="58">
        <f t="shared" si="450"/>
        <v>3343</v>
      </c>
      <c r="J314" s="100">
        <f t="shared" ref="J314:J318" si="454">+C314+3651</f>
        <v>42038</v>
      </c>
      <c r="K314" s="60">
        <f t="shared" si="451"/>
        <v>309</v>
      </c>
      <c r="L314" s="86">
        <v>0</v>
      </c>
      <c r="M314" s="86"/>
      <c r="N314" s="57">
        <f>+ROUND((G314-H314)*309/K314,0)</f>
        <v>7561</v>
      </c>
      <c r="O314" s="80">
        <v>0</v>
      </c>
      <c r="P314" s="80">
        <v>0</v>
      </c>
      <c r="Q314" s="80">
        <v>0</v>
      </c>
      <c r="R314" s="80">
        <v>0</v>
      </c>
      <c r="S314" s="57">
        <v>0</v>
      </c>
      <c r="T314" s="57">
        <v>0</v>
      </c>
      <c r="U314" s="353">
        <v>0</v>
      </c>
      <c r="V314" s="80">
        <f t="shared" si="453"/>
        <v>0</v>
      </c>
      <c r="W314" s="80">
        <f t="shared" si="453"/>
        <v>0</v>
      </c>
      <c r="X314" s="80">
        <f t="shared" si="453"/>
        <v>0</v>
      </c>
      <c r="Y314" s="80">
        <f t="shared" si="453"/>
        <v>0</v>
      </c>
      <c r="Z314" s="80">
        <f t="shared" si="453"/>
        <v>0</v>
      </c>
      <c r="AA314" s="80">
        <f t="shared" si="453"/>
        <v>0</v>
      </c>
      <c r="AB314" s="80">
        <v>0</v>
      </c>
      <c r="AC314" s="80">
        <v>0</v>
      </c>
      <c r="AD314" s="80"/>
      <c r="AE314" s="80">
        <v>0</v>
      </c>
      <c r="AF314" s="59">
        <f t="shared" si="349"/>
        <v>1019.7700000000004</v>
      </c>
      <c r="AG314" s="32">
        <f t="shared" si="448"/>
        <v>7561</v>
      </c>
      <c r="AH314" s="101">
        <f t="shared" si="446"/>
        <v>7560.77</v>
      </c>
      <c r="AP314" s="101"/>
      <c r="AQ314" s="101"/>
    </row>
    <row r="315" spans="1:43" ht="15.9" customHeight="1" x14ac:dyDescent="0.3">
      <c r="A315" s="468"/>
      <c r="B315" s="52" t="s">
        <v>152</v>
      </c>
      <c r="C315" s="107">
        <v>38505</v>
      </c>
      <c r="D315" s="54">
        <v>150609</v>
      </c>
      <c r="E315" s="108">
        <v>10</v>
      </c>
      <c r="F315" s="54">
        <v>84183.89910000001</v>
      </c>
      <c r="G315" s="86">
        <f t="shared" si="447"/>
        <v>66425.10089999999</v>
      </c>
      <c r="H315" s="57">
        <f t="shared" si="449"/>
        <v>7530</v>
      </c>
      <c r="I315" s="58">
        <f t="shared" si="450"/>
        <v>3225</v>
      </c>
      <c r="J315" s="100">
        <f t="shared" si="454"/>
        <v>42156</v>
      </c>
      <c r="K315" s="60">
        <f t="shared" si="451"/>
        <v>427</v>
      </c>
      <c r="L315" s="86">
        <v>0</v>
      </c>
      <c r="M315" s="86"/>
      <c r="N315" s="57">
        <f>+ROUND(($G$315-$H$315)*365/$K$315,0)</f>
        <v>50344</v>
      </c>
      <c r="O315" s="57">
        <f>+ROUND(($G$315-$H$315)*62/$K$315,0)-1</f>
        <v>8551</v>
      </c>
      <c r="P315" s="80">
        <v>0</v>
      </c>
      <c r="Q315" s="80">
        <v>0</v>
      </c>
      <c r="R315" s="80">
        <v>0</v>
      </c>
      <c r="S315" s="80">
        <v>0</v>
      </c>
      <c r="T315" s="57">
        <v>0</v>
      </c>
      <c r="U315" s="353">
        <v>0</v>
      </c>
      <c r="V315" s="80">
        <f t="shared" ref="V315:AA315" si="455">+U315</f>
        <v>0</v>
      </c>
      <c r="W315" s="80">
        <f t="shared" si="455"/>
        <v>0</v>
      </c>
      <c r="X315" s="80">
        <f t="shared" si="455"/>
        <v>0</v>
      </c>
      <c r="Y315" s="80">
        <f t="shared" si="455"/>
        <v>0</v>
      </c>
      <c r="Z315" s="80">
        <f t="shared" si="455"/>
        <v>0</v>
      </c>
      <c r="AA315" s="80">
        <f t="shared" si="455"/>
        <v>0</v>
      </c>
      <c r="AB315" s="80">
        <v>0</v>
      </c>
      <c r="AC315" s="80">
        <v>0</v>
      </c>
      <c r="AD315" s="80"/>
      <c r="AE315" s="80">
        <v>0</v>
      </c>
      <c r="AF315" s="59">
        <f t="shared" si="349"/>
        <v>7530.1008999999904</v>
      </c>
      <c r="AG315" s="32">
        <f t="shared" si="448"/>
        <v>58895</v>
      </c>
      <c r="AH315" s="101">
        <f t="shared" si="446"/>
        <v>58895.10089999999</v>
      </c>
      <c r="AP315" s="101"/>
      <c r="AQ315" s="101"/>
    </row>
    <row r="316" spans="1:43" ht="15.9" customHeight="1" x14ac:dyDescent="0.3">
      <c r="A316" s="468"/>
      <c r="B316" s="52" t="s">
        <v>153</v>
      </c>
      <c r="C316" s="107">
        <v>38555</v>
      </c>
      <c r="D316" s="54">
        <v>15900</v>
      </c>
      <c r="E316" s="108">
        <v>10</v>
      </c>
      <c r="F316" s="54">
        <v>8748.08</v>
      </c>
      <c r="G316" s="86">
        <f t="shared" si="447"/>
        <v>7151.92</v>
      </c>
      <c r="H316" s="57">
        <f t="shared" si="449"/>
        <v>795</v>
      </c>
      <c r="I316" s="58">
        <f t="shared" si="450"/>
        <v>3175</v>
      </c>
      <c r="J316" s="100">
        <f t="shared" si="454"/>
        <v>42206</v>
      </c>
      <c r="K316" s="60">
        <f t="shared" si="451"/>
        <v>477</v>
      </c>
      <c r="L316" s="86">
        <v>0</v>
      </c>
      <c r="M316" s="86"/>
      <c r="N316" s="57">
        <f>+ROUND(($G$316-$H$316)*365/$K$316,0)</f>
        <v>4864</v>
      </c>
      <c r="O316" s="57">
        <f>+ROUND(($G$316-$H$316)*112/$K$316,0)</f>
        <v>1493</v>
      </c>
      <c r="P316" s="80">
        <v>0</v>
      </c>
      <c r="Q316" s="80">
        <f t="shared" ref="Q316:S316" si="456">+P316</f>
        <v>0</v>
      </c>
      <c r="R316" s="80">
        <f t="shared" si="456"/>
        <v>0</v>
      </c>
      <c r="S316" s="80">
        <f t="shared" si="456"/>
        <v>0</v>
      </c>
      <c r="T316" s="57">
        <v>0</v>
      </c>
      <c r="U316" s="353">
        <v>0</v>
      </c>
      <c r="V316" s="80">
        <f t="shared" ref="V316:AA316" si="457">+U316</f>
        <v>0</v>
      </c>
      <c r="W316" s="80">
        <f t="shared" si="457"/>
        <v>0</v>
      </c>
      <c r="X316" s="80">
        <f t="shared" si="457"/>
        <v>0</v>
      </c>
      <c r="Y316" s="80">
        <f t="shared" si="457"/>
        <v>0</v>
      </c>
      <c r="Z316" s="80">
        <f t="shared" si="457"/>
        <v>0</v>
      </c>
      <c r="AA316" s="80">
        <f t="shared" si="457"/>
        <v>0</v>
      </c>
      <c r="AB316" s="80">
        <v>0</v>
      </c>
      <c r="AC316" s="80">
        <v>0</v>
      </c>
      <c r="AD316" s="80"/>
      <c r="AE316" s="80">
        <v>0</v>
      </c>
      <c r="AF316" s="59">
        <f t="shared" si="349"/>
        <v>794.92000000000007</v>
      </c>
      <c r="AG316" s="32">
        <f t="shared" si="448"/>
        <v>6357</v>
      </c>
      <c r="AH316" s="101">
        <f t="shared" si="446"/>
        <v>6356.92</v>
      </c>
      <c r="AP316" s="101"/>
      <c r="AQ316" s="101"/>
    </row>
    <row r="317" spans="1:43" ht="15.9" customHeight="1" x14ac:dyDescent="0.3">
      <c r="A317" s="468"/>
      <c r="B317" s="52" t="s">
        <v>154</v>
      </c>
      <c r="C317" s="107">
        <v>38658</v>
      </c>
      <c r="D317" s="54">
        <v>52348</v>
      </c>
      <c r="E317" s="108">
        <v>10</v>
      </c>
      <c r="F317" s="54">
        <v>27871.915199999999</v>
      </c>
      <c r="G317" s="86">
        <f t="shared" si="447"/>
        <v>24476.084800000001</v>
      </c>
      <c r="H317" s="57">
        <f t="shared" si="449"/>
        <v>2617</v>
      </c>
      <c r="I317" s="58">
        <f t="shared" si="450"/>
        <v>3072</v>
      </c>
      <c r="J317" s="100">
        <f t="shared" si="454"/>
        <v>42309</v>
      </c>
      <c r="K317" s="60">
        <f t="shared" si="451"/>
        <v>580</v>
      </c>
      <c r="L317" s="86">
        <v>0</v>
      </c>
      <c r="M317" s="86"/>
      <c r="N317" s="57">
        <f>+ROUND(($G$317-$H$317)*365/$K$317,0)</f>
        <v>13756</v>
      </c>
      <c r="O317" s="57">
        <f>+ROUND(($G$317-$H$317)*215/$K$317,0)</f>
        <v>8103</v>
      </c>
      <c r="P317" s="80">
        <v>0</v>
      </c>
      <c r="Q317" s="80">
        <v>0</v>
      </c>
      <c r="R317" s="80">
        <v>0</v>
      </c>
      <c r="S317" s="80">
        <v>0</v>
      </c>
      <c r="T317" s="57">
        <v>0</v>
      </c>
      <c r="U317" s="353">
        <v>0</v>
      </c>
      <c r="V317" s="80">
        <f t="shared" ref="V317:AA317" si="458">+U317</f>
        <v>0</v>
      </c>
      <c r="W317" s="80">
        <f t="shared" si="458"/>
        <v>0</v>
      </c>
      <c r="X317" s="80">
        <f t="shared" si="458"/>
        <v>0</v>
      </c>
      <c r="Y317" s="80">
        <f t="shared" si="458"/>
        <v>0</v>
      </c>
      <c r="Z317" s="80">
        <f t="shared" si="458"/>
        <v>0</v>
      </c>
      <c r="AA317" s="80">
        <f t="shared" si="458"/>
        <v>0</v>
      </c>
      <c r="AB317" s="80">
        <v>0</v>
      </c>
      <c r="AC317" s="80">
        <v>0</v>
      </c>
      <c r="AD317" s="80"/>
      <c r="AE317" s="80">
        <v>0</v>
      </c>
      <c r="AF317" s="59">
        <f t="shared" si="349"/>
        <v>2617.0848000000005</v>
      </c>
      <c r="AG317" s="32">
        <f t="shared" si="448"/>
        <v>21859</v>
      </c>
      <c r="AH317" s="101">
        <f t="shared" si="446"/>
        <v>21859.084800000001</v>
      </c>
      <c r="AP317" s="101"/>
      <c r="AQ317" s="101"/>
    </row>
    <row r="318" spans="1:43" ht="15.9" customHeight="1" x14ac:dyDescent="0.3">
      <c r="A318" s="468"/>
      <c r="B318" s="52" t="s">
        <v>155</v>
      </c>
      <c r="C318" s="107">
        <v>38658</v>
      </c>
      <c r="D318" s="54">
        <v>53888</v>
      </c>
      <c r="E318" s="108">
        <v>10</v>
      </c>
      <c r="F318" s="54">
        <v>28690.481199999998</v>
      </c>
      <c r="G318" s="86">
        <f t="shared" si="447"/>
        <v>25197.518800000002</v>
      </c>
      <c r="H318" s="57">
        <f t="shared" si="449"/>
        <v>2694</v>
      </c>
      <c r="I318" s="58">
        <f t="shared" si="450"/>
        <v>3072</v>
      </c>
      <c r="J318" s="100">
        <f t="shared" si="454"/>
        <v>42309</v>
      </c>
      <c r="K318" s="60">
        <f t="shared" si="451"/>
        <v>580</v>
      </c>
      <c r="L318" s="86">
        <v>0</v>
      </c>
      <c r="M318" s="86"/>
      <c r="N318" s="57">
        <f>+ROUND(($G$318-$H$318)*365/$K$318,0)</f>
        <v>14162</v>
      </c>
      <c r="O318" s="57">
        <f>+ROUND(($G$318-$H$318)*215/$K$318,0)</f>
        <v>8342</v>
      </c>
      <c r="P318" s="80">
        <v>0</v>
      </c>
      <c r="Q318" s="80">
        <f t="shared" ref="Q318:S318" si="459">+P318</f>
        <v>0</v>
      </c>
      <c r="R318" s="80">
        <f t="shared" si="459"/>
        <v>0</v>
      </c>
      <c r="S318" s="80">
        <f t="shared" si="459"/>
        <v>0</v>
      </c>
      <c r="T318" s="57">
        <v>0</v>
      </c>
      <c r="U318" s="353">
        <v>0</v>
      </c>
      <c r="V318" s="80">
        <f t="shared" ref="V318:AA318" si="460">+U318</f>
        <v>0</v>
      </c>
      <c r="W318" s="80">
        <f t="shared" si="460"/>
        <v>0</v>
      </c>
      <c r="X318" s="80">
        <f t="shared" si="460"/>
        <v>0</v>
      </c>
      <c r="Y318" s="80">
        <f t="shared" si="460"/>
        <v>0</v>
      </c>
      <c r="Z318" s="80">
        <f t="shared" si="460"/>
        <v>0</v>
      </c>
      <c r="AA318" s="80">
        <f t="shared" si="460"/>
        <v>0</v>
      </c>
      <c r="AB318" s="80">
        <v>0</v>
      </c>
      <c r="AC318" s="80">
        <v>0</v>
      </c>
      <c r="AD318" s="80"/>
      <c r="AE318" s="80">
        <v>0</v>
      </c>
      <c r="AF318" s="59">
        <f t="shared" si="349"/>
        <v>2693.5188000000016</v>
      </c>
      <c r="AG318" s="32">
        <f t="shared" si="448"/>
        <v>22504</v>
      </c>
      <c r="AH318" s="101">
        <f t="shared" si="446"/>
        <v>22503.518800000002</v>
      </c>
      <c r="AP318" s="101"/>
      <c r="AQ318" s="101"/>
    </row>
    <row r="319" spans="1:43" ht="15.9" customHeight="1" x14ac:dyDescent="0.3">
      <c r="A319" s="468"/>
      <c r="B319" s="52" t="s">
        <v>156</v>
      </c>
      <c r="C319" s="107">
        <v>38785</v>
      </c>
      <c r="D319" s="54">
        <v>54170</v>
      </c>
      <c r="E319" s="108">
        <v>10</v>
      </c>
      <c r="F319" s="54">
        <v>27647.873</v>
      </c>
      <c r="G319" s="86">
        <f t="shared" si="447"/>
        <v>26522.127</v>
      </c>
      <c r="H319" s="57">
        <f t="shared" si="449"/>
        <v>2709</v>
      </c>
      <c r="I319" s="58">
        <f t="shared" si="450"/>
        <v>2945</v>
      </c>
      <c r="J319" s="100">
        <f>+C319+3652</f>
        <v>42437</v>
      </c>
      <c r="K319" s="60">
        <f t="shared" si="451"/>
        <v>708</v>
      </c>
      <c r="L319" s="86">
        <v>0</v>
      </c>
      <c r="M319" s="86"/>
      <c r="N319" s="57">
        <f>+ROUND(($G$319-$H$319)*365/$K$319,0)</f>
        <v>12277</v>
      </c>
      <c r="O319" s="57">
        <f>+ROUND(($G$319-$H$319)*343/$K$319,0)-1</f>
        <v>11536</v>
      </c>
      <c r="P319" s="80">
        <v>0</v>
      </c>
      <c r="Q319" s="80">
        <f t="shared" ref="Q319:S320" si="461">+P319</f>
        <v>0</v>
      </c>
      <c r="R319" s="80">
        <f t="shared" si="461"/>
        <v>0</v>
      </c>
      <c r="S319" s="80">
        <v>0</v>
      </c>
      <c r="T319" s="57">
        <v>0</v>
      </c>
      <c r="U319" s="353">
        <v>0</v>
      </c>
      <c r="V319" s="80">
        <f t="shared" ref="V319:AA319" si="462">+U319</f>
        <v>0</v>
      </c>
      <c r="W319" s="80">
        <f t="shared" si="462"/>
        <v>0</v>
      </c>
      <c r="X319" s="80">
        <f t="shared" si="462"/>
        <v>0</v>
      </c>
      <c r="Y319" s="80">
        <f t="shared" si="462"/>
        <v>0</v>
      </c>
      <c r="Z319" s="80">
        <f t="shared" si="462"/>
        <v>0</v>
      </c>
      <c r="AA319" s="80">
        <f t="shared" si="462"/>
        <v>0</v>
      </c>
      <c r="AB319" s="80">
        <v>0</v>
      </c>
      <c r="AC319" s="80">
        <v>0</v>
      </c>
      <c r="AD319" s="80"/>
      <c r="AE319" s="80">
        <v>0</v>
      </c>
      <c r="AF319" s="59">
        <f t="shared" si="349"/>
        <v>2709.1270000000004</v>
      </c>
      <c r="AG319" s="32">
        <f t="shared" si="448"/>
        <v>23813</v>
      </c>
      <c r="AH319" s="101">
        <f t="shared" si="446"/>
        <v>23813.127</v>
      </c>
      <c r="AP319" s="101"/>
      <c r="AQ319" s="101"/>
    </row>
    <row r="320" spans="1:43" ht="15.9" customHeight="1" x14ac:dyDescent="0.3">
      <c r="A320" s="468"/>
      <c r="B320" s="52" t="s">
        <v>157</v>
      </c>
      <c r="C320" s="107">
        <v>38807</v>
      </c>
      <c r="D320" s="54">
        <v>707365</v>
      </c>
      <c r="E320" s="108">
        <v>10</v>
      </c>
      <c r="F320" s="54">
        <v>389191.33349999995</v>
      </c>
      <c r="G320" s="86">
        <f t="shared" si="447"/>
        <v>318173.66650000005</v>
      </c>
      <c r="H320" s="57">
        <f t="shared" si="449"/>
        <v>35368</v>
      </c>
      <c r="I320" s="58">
        <f t="shared" si="450"/>
        <v>2923</v>
      </c>
      <c r="J320" s="100">
        <f>+C320+3652</f>
        <v>42459</v>
      </c>
      <c r="K320" s="60">
        <f t="shared" si="451"/>
        <v>730</v>
      </c>
      <c r="L320" s="86">
        <v>0</v>
      </c>
      <c r="M320" s="86"/>
      <c r="N320" s="57">
        <f>+ROUND(($G$320-$H$320)*365/$K$320,0)</f>
        <v>141403</v>
      </c>
      <c r="O320" s="57">
        <f>+ROUND(($G$320-$H$320)*365/$K$320,0)</f>
        <v>141403</v>
      </c>
      <c r="P320" s="80">
        <v>0</v>
      </c>
      <c r="Q320" s="80">
        <v>0</v>
      </c>
      <c r="R320" s="80">
        <f t="shared" ref="R320" si="463">+Q320</f>
        <v>0</v>
      </c>
      <c r="S320" s="80">
        <f t="shared" si="461"/>
        <v>0</v>
      </c>
      <c r="T320" s="57">
        <v>0</v>
      </c>
      <c r="U320" s="352">
        <v>0</v>
      </c>
      <c r="V320" s="80">
        <v>0</v>
      </c>
      <c r="W320" s="80">
        <f t="shared" ref="W320:AA320" si="464">+V320</f>
        <v>0</v>
      </c>
      <c r="X320" s="80">
        <f t="shared" si="464"/>
        <v>0</v>
      </c>
      <c r="Y320" s="80">
        <f t="shared" si="464"/>
        <v>0</v>
      </c>
      <c r="Z320" s="80">
        <f t="shared" si="464"/>
        <v>0</v>
      </c>
      <c r="AA320" s="80">
        <f t="shared" si="464"/>
        <v>0</v>
      </c>
      <c r="AB320" s="80">
        <v>0</v>
      </c>
      <c r="AC320" s="80">
        <v>0</v>
      </c>
      <c r="AD320" s="80"/>
      <c r="AE320" s="80">
        <v>0</v>
      </c>
      <c r="AF320" s="59">
        <f t="shared" si="349"/>
        <v>35367.66650000005</v>
      </c>
      <c r="AG320" s="32">
        <f t="shared" si="448"/>
        <v>282806</v>
      </c>
      <c r="AH320" s="101">
        <f t="shared" si="446"/>
        <v>282805.66650000005</v>
      </c>
      <c r="AP320" s="101"/>
      <c r="AQ320" s="101"/>
    </row>
    <row r="321" spans="1:43" ht="15.9" customHeight="1" x14ac:dyDescent="0.3">
      <c r="A321" s="468"/>
      <c r="B321" s="52" t="s">
        <v>321</v>
      </c>
      <c r="C321" s="107">
        <v>38849</v>
      </c>
      <c r="D321" s="54">
        <v>9300</v>
      </c>
      <c r="E321" s="108">
        <v>10</v>
      </c>
      <c r="F321" s="54">
        <v>9300</v>
      </c>
      <c r="G321" s="86">
        <f t="shared" si="447"/>
        <v>0</v>
      </c>
      <c r="H321" s="57">
        <v>0</v>
      </c>
      <c r="I321" s="58">
        <v>0</v>
      </c>
      <c r="J321" s="58">
        <v>0</v>
      </c>
      <c r="K321" s="58">
        <v>0</v>
      </c>
      <c r="L321" s="86">
        <v>0</v>
      </c>
      <c r="M321" s="86"/>
      <c r="N321" s="86">
        <v>0</v>
      </c>
      <c r="O321" s="86">
        <v>0</v>
      </c>
      <c r="P321" s="86">
        <v>0</v>
      </c>
      <c r="Q321" s="86">
        <v>0</v>
      </c>
      <c r="R321" s="86">
        <v>0</v>
      </c>
      <c r="S321" s="86">
        <v>0</v>
      </c>
      <c r="T321" s="86">
        <v>0</v>
      </c>
      <c r="U321" s="355">
        <v>0</v>
      </c>
      <c r="V321" s="86">
        <v>0</v>
      </c>
      <c r="W321" s="86">
        <v>0</v>
      </c>
      <c r="X321" s="86">
        <v>0</v>
      </c>
      <c r="Y321" s="86">
        <v>0</v>
      </c>
      <c r="Z321" s="86">
        <v>0</v>
      </c>
      <c r="AA321" s="86">
        <v>0</v>
      </c>
      <c r="AB321" s="86">
        <v>0</v>
      </c>
      <c r="AC321" s="86">
        <v>0</v>
      </c>
      <c r="AD321" s="86"/>
      <c r="AE321" s="86">
        <v>0</v>
      </c>
      <c r="AF321" s="59">
        <f t="shared" si="349"/>
        <v>0</v>
      </c>
      <c r="AG321" s="32">
        <f t="shared" si="448"/>
        <v>0</v>
      </c>
      <c r="AH321" s="101">
        <f t="shared" si="446"/>
        <v>0</v>
      </c>
      <c r="AP321" s="101"/>
      <c r="AQ321" s="101"/>
    </row>
    <row r="322" spans="1:43" ht="15.9" customHeight="1" x14ac:dyDescent="0.3">
      <c r="A322" s="468"/>
      <c r="B322" s="52" t="s">
        <v>321</v>
      </c>
      <c r="C322" s="107">
        <v>38917</v>
      </c>
      <c r="D322" s="54">
        <v>9300</v>
      </c>
      <c r="E322" s="108">
        <v>10</v>
      </c>
      <c r="F322" s="54">
        <v>9300</v>
      </c>
      <c r="G322" s="86">
        <f t="shared" si="447"/>
        <v>0</v>
      </c>
      <c r="H322" s="57">
        <v>0</v>
      </c>
      <c r="I322" s="58">
        <v>0</v>
      </c>
      <c r="J322" s="58">
        <v>0</v>
      </c>
      <c r="K322" s="58">
        <v>0</v>
      </c>
      <c r="L322" s="86">
        <v>0</v>
      </c>
      <c r="M322" s="86"/>
      <c r="N322" s="86">
        <v>0</v>
      </c>
      <c r="O322" s="86">
        <v>0</v>
      </c>
      <c r="P322" s="86">
        <v>0</v>
      </c>
      <c r="Q322" s="86">
        <v>0</v>
      </c>
      <c r="R322" s="86">
        <v>0</v>
      </c>
      <c r="S322" s="86">
        <v>0</v>
      </c>
      <c r="T322" s="86">
        <v>0</v>
      </c>
      <c r="U322" s="355">
        <v>0</v>
      </c>
      <c r="V322" s="86">
        <v>0</v>
      </c>
      <c r="W322" s="86">
        <v>0</v>
      </c>
      <c r="X322" s="86">
        <v>0</v>
      </c>
      <c r="Y322" s="86">
        <v>0</v>
      </c>
      <c r="Z322" s="86">
        <v>0</v>
      </c>
      <c r="AA322" s="86">
        <v>0</v>
      </c>
      <c r="AB322" s="86">
        <v>0</v>
      </c>
      <c r="AC322" s="86">
        <v>0</v>
      </c>
      <c r="AD322" s="86"/>
      <c r="AE322" s="86">
        <v>0</v>
      </c>
      <c r="AF322" s="59">
        <f t="shared" si="349"/>
        <v>0</v>
      </c>
      <c r="AG322" s="32">
        <f t="shared" si="448"/>
        <v>0</v>
      </c>
      <c r="AH322" s="101">
        <f t="shared" si="446"/>
        <v>0</v>
      </c>
      <c r="AP322" s="101"/>
      <c r="AQ322" s="101"/>
    </row>
    <row r="323" spans="1:43" ht="15.9" customHeight="1" x14ac:dyDescent="0.3">
      <c r="A323" s="468"/>
      <c r="B323" s="52" t="s">
        <v>158</v>
      </c>
      <c r="C323" s="107">
        <v>38961</v>
      </c>
      <c r="D323" s="54">
        <v>7500</v>
      </c>
      <c r="E323" s="108">
        <v>10</v>
      </c>
      <c r="F323" s="54">
        <v>3599.75</v>
      </c>
      <c r="G323" s="86">
        <f t="shared" si="447"/>
        <v>3900.25</v>
      </c>
      <c r="H323" s="57">
        <f t="shared" si="449"/>
        <v>375</v>
      </c>
      <c r="I323" s="58">
        <f>$I$3-C323+1</f>
        <v>2769</v>
      </c>
      <c r="J323" s="100">
        <f>+C323+3652</f>
        <v>42613</v>
      </c>
      <c r="K323" s="60">
        <f>+J323-C323-I323+1</f>
        <v>884</v>
      </c>
      <c r="L323" s="86">
        <v>0</v>
      </c>
      <c r="M323" s="86"/>
      <c r="N323" s="57">
        <f>+ROUND(($G$323-$H$323)*365/$K$323,0)</f>
        <v>1456</v>
      </c>
      <c r="O323" s="57">
        <f>+ROUND(($G$323-$H$323)*365/$K$323,0)</f>
        <v>1456</v>
      </c>
      <c r="P323" s="57">
        <f>+ROUND((G323-H323)*(K323-730)/K323,0)-1</f>
        <v>613</v>
      </c>
      <c r="Q323" s="80">
        <v>0</v>
      </c>
      <c r="R323" s="80">
        <v>0</v>
      </c>
      <c r="S323" s="80">
        <v>0</v>
      </c>
      <c r="T323" s="57">
        <v>0</v>
      </c>
      <c r="U323" s="352">
        <v>0</v>
      </c>
      <c r="V323" s="57">
        <v>0</v>
      </c>
      <c r="W323" s="86">
        <v>0</v>
      </c>
      <c r="X323" s="86">
        <v>0</v>
      </c>
      <c r="Y323" s="86">
        <v>0</v>
      </c>
      <c r="Z323" s="86">
        <v>0</v>
      </c>
      <c r="AA323" s="86">
        <v>0</v>
      </c>
      <c r="AB323" s="86">
        <v>0</v>
      </c>
      <c r="AC323" s="86">
        <v>0</v>
      </c>
      <c r="AD323" s="86"/>
      <c r="AE323" s="86">
        <v>0</v>
      </c>
      <c r="AF323" s="59">
        <f t="shared" ref="AF323:AF432" si="465">+D323-F323-SUM(N323:U323)-L323</f>
        <v>375.25</v>
      </c>
      <c r="AG323" s="32">
        <f t="shared" si="448"/>
        <v>3525</v>
      </c>
      <c r="AH323" s="101">
        <f t="shared" si="446"/>
        <v>3525.25</v>
      </c>
      <c r="AP323" s="101"/>
      <c r="AQ323" s="101"/>
    </row>
    <row r="324" spans="1:43" ht="15.9" customHeight="1" x14ac:dyDescent="0.3">
      <c r="A324" s="468"/>
      <c r="B324" s="52" t="s">
        <v>158</v>
      </c>
      <c r="C324" s="107">
        <v>38990</v>
      </c>
      <c r="D324" s="54">
        <v>7500</v>
      </c>
      <c r="E324" s="108">
        <v>10</v>
      </c>
      <c r="F324" s="54">
        <v>3562.03</v>
      </c>
      <c r="G324" s="86">
        <f t="shared" si="447"/>
        <v>3937.97</v>
      </c>
      <c r="H324" s="57">
        <f t="shared" si="449"/>
        <v>375</v>
      </c>
      <c r="I324" s="58">
        <f>$I$3-C324+1</f>
        <v>2740</v>
      </c>
      <c r="J324" s="100">
        <f>+C324+3652</f>
        <v>42642</v>
      </c>
      <c r="K324" s="60">
        <f>+J324-C324-I324+1</f>
        <v>913</v>
      </c>
      <c r="L324" s="86">
        <v>0</v>
      </c>
      <c r="M324" s="86"/>
      <c r="N324" s="57">
        <f>+ROUND(($G$324-$H$324)*365/$K$324,0)</f>
        <v>1424</v>
      </c>
      <c r="O324" s="57">
        <f>+ROUND(($G$324-$H$324)*365/$K$324,0)</f>
        <v>1424</v>
      </c>
      <c r="P324" s="57">
        <f>+ROUND((G324-H324)*(K324-730)/K324,0)+1</f>
        <v>715</v>
      </c>
      <c r="Q324" s="80"/>
      <c r="R324" s="80"/>
      <c r="S324" s="80"/>
      <c r="T324" s="57"/>
      <c r="U324" s="352"/>
      <c r="V324" s="57">
        <v>0</v>
      </c>
      <c r="W324" s="86">
        <v>0</v>
      </c>
      <c r="X324" s="86">
        <v>0</v>
      </c>
      <c r="Y324" s="86">
        <v>0</v>
      </c>
      <c r="Z324" s="86">
        <v>0</v>
      </c>
      <c r="AA324" s="86">
        <v>0</v>
      </c>
      <c r="AB324" s="86">
        <v>0</v>
      </c>
      <c r="AC324" s="86">
        <v>0</v>
      </c>
      <c r="AD324" s="86"/>
      <c r="AE324" s="86">
        <v>0</v>
      </c>
      <c r="AF324" s="59">
        <f t="shared" si="465"/>
        <v>374.9699999999998</v>
      </c>
      <c r="AG324" s="32">
        <f t="shared" si="448"/>
        <v>3563</v>
      </c>
      <c r="AH324" s="101">
        <f t="shared" si="446"/>
        <v>3562.97</v>
      </c>
      <c r="AP324" s="101"/>
      <c r="AQ324" s="101"/>
    </row>
    <row r="325" spans="1:43" ht="15.9" customHeight="1" x14ac:dyDescent="0.3">
      <c r="A325" s="468"/>
      <c r="B325" s="52" t="s">
        <v>159</v>
      </c>
      <c r="C325" s="107">
        <v>39090</v>
      </c>
      <c r="D325" s="54">
        <v>27525</v>
      </c>
      <c r="E325" s="108">
        <v>10</v>
      </c>
      <c r="F325" s="54">
        <v>12591.5275</v>
      </c>
      <c r="G325" s="86">
        <f t="shared" si="447"/>
        <v>14933.4725</v>
      </c>
      <c r="H325" s="57">
        <f t="shared" si="449"/>
        <v>1376</v>
      </c>
      <c r="I325" s="58">
        <f>$I$3-C325+1</f>
        <v>2640</v>
      </c>
      <c r="J325" s="100">
        <f>+C325+3652</f>
        <v>42742</v>
      </c>
      <c r="K325" s="60">
        <f>+J325-C325-I325+1</f>
        <v>1013</v>
      </c>
      <c r="L325" s="86">
        <v>0</v>
      </c>
      <c r="M325" s="86"/>
      <c r="N325" s="57">
        <f>+ROUND(($G$325-$H$325)*365/$K$325,0)</f>
        <v>4885</v>
      </c>
      <c r="O325" s="57">
        <f>+ROUND(($G$325-$H$325)*365/$K$325,0)</f>
        <v>4885</v>
      </c>
      <c r="P325" s="57">
        <f>+ROUND((G325-H325)*(K325-730)/K325,0)-1</f>
        <v>3787</v>
      </c>
      <c r="Q325" s="80"/>
      <c r="R325" s="80"/>
      <c r="S325" s="80"/>
      <c r="T325" s="57"/>
      <c r="U325" s="352"/>
      <c r="V325" s="57">
        <v>0</v>
      </c>
      <c r="W325" s="86">
        <v>0</v>
      </c>
      <c r="X325" s="86">
        <v>0</v>
      </c>
      <c r="Y325" s="86">
        <v>0</v>
      </c>
      <c r="Z325" s="86">
        <v>0</v>
      </c>
      <c r="AA325" s="86">
        <v>0</v>
      </c>
      <c r="AB325" s="86">
        <v>0</v>
      </c>
      <c r="AC325" s="86">
        <v>0</v>
      </c>
      <c r="AD325" s="86"/>
      <c r="AE325" s="86">
        <v>0</v>
      </c>
      <c r="AF325" s="59">
        <f t="shared" si="465"/>
        <v>1376.4724999999999</v>
      </c>
      <c r="AG325" s="32">
        <f t="shared" si="448"/>
        <v>13557</v>
      </c>
      <c r="AH325" s="101">
        <f t="shared" si="446"/>
        <v>13557.4725</v>
      </c>
      <c r="AP325" s="101"/>
      <c r="AQ325" s="101"/>
    </row>
    <row r="326" spans="1:43" ht="15.9" customHeight="1" x14ac:dyDescent="0.3">
      <c r="A326" s="468"/>
      <c r="B326" s="52" t="s">
        <v>320</v>
      </c>
      <c r="C326" s="107">
        <v>39150</v>
      </c>
      <c r="D326" s="54">
        <v>13500</v>
      </c>
      <c r="E326" s="108">
        <v>10</v>
      </c>
      <c r="F326" s="54">
        <v>13500</v>
      </c>
      <c r="G326" s="86">
        <f t="shared" si="447"/>
        <v>0</v>
      </c>
      <c r="H326" s="57">
        <v>0</v>
      </c>
      <c r="I326" s="58">
        <v>0</v>
      </c>
      <c r="J326" s="58">
        <v>0</v>
      </c>
      <c r="K326" s="58">
        <v>0</v>
      </c>
      <c r="L326" s="86">
        <v>0</v>
      </c>
      <c r="M326" s="86"/>
      <c r="N326" s="86">
        <v>0</v>
      </c>
      <c r="O326" s="86">
        <v>0</v>
      </c>
      <c r="P326" s="86">
        <v>0</v>
      </c>
      <c r="Q326" s="86">
        <v>0</v>
      </c>
      <c r="R326" s="86">
        <v>0</v>
      </c>
      <c r="S326" s="86">
        <v>0</v>
      </c>
      <c r="T326" s="86">
        <v>0</v>
      </c>
      <c r="U326" s="355">
        <v>0</v>
      </c>
      <c r="V326" s="86">
        <v>0</v>
      </c>
      <c r="W326" s="86">
        <v>0</v>
      </c>
      <c r="X326" s="86">
        <v>0</v>
      </c>
      <c r="Y326" s="86">
        <v>0</v>
      </c>
      <c r="Z326" s="86">
        <v>0</v>
      </c>
      <c r="AA326" s="86">
        <v>0</v>
      </c>
      <c r="AB326" s="86">
        <v>0</v>
      </c>
      <c r="AC326" s="86">
        <v>0</v>
      </c>
      <c r="AD326" s="86"/>
      <c r="AE326" s="86">
        <v>0</v>
      </c>
      <c r="AF326" s="59">
        <f t="shared" si="465"/>
        <v>0</v>
      </c>
      <c r="AG326" s="32">
        <f t="shared" si="448"/>
        <v>0</v>
      </c>
      <c r="AH326" s="101">
        <f t="shared" si="446"/>
        <v>0</v>
      </c>
      <c r="AP326" s="101"/>
      <c r="AQ326" s="101"/>
    </row>
    <row r="327" spans="1:43" ht="15.9" customHeight="1" x14ac:dyDescent="0.3">
      <c r="A327" s="468"/>
      <c r="B327" s="52" t="s">
        <v>160</v>
      </c>
      <c r="C327" s="107">
        <v>39296</v>
      </c>
      <c r="D327" s="54">
        <v>22177</v>
      </c>
      <c r="E327" s="108">
        <v>10</v>
      </c>
      <c r="F327" s="54">
        <v>9827.2122999999992</v>
      </c>
      <c r="G327" s="86">
        <f t="shared" si="447"/>
        <v>12349.787700000001</v>
      </c>
      <c r="H327" s="57">
        <f t="shared" si="449"/>
        <v>1109</v>
      </c>
      <c r="I327" s="58">
        <f>$I$3-C327+1</f>
        <v>2434</v>
      </c>
      <c r="J327" s="100">
        <f>+C327+3652</f>
        <v>42948</v>
      </c>
      <c r="K327" s="60">
        <f>+J327-C327-I327+1</f>
        <v>1219</v>
      </c>
      <c r="L327" s="86">
        <v>0</v>
      </c>
      <c r="M327" s="86"/>
      <c r="N327" s="57">
        <f>+ROUND(($G$327-$H$327)*365/$K$327,0)</f>
        <v>3366</v>
      </c>
      <c r="O327" s="57">
        <f>+ROUND(($G$327-$H$327)*365/$K$327,0)</f>
        <v>3366</v>
      </c>
      <c r="P327" s="57">
        <f>+ROUND(($G$327-$H$327)*365/$K$327,0)</f>
        <v>3366</v>
      </c>
      <c r="Q327" s="57">
        <f>ROUND((G327-H327)*(K327-1095)/K327,0)</f>
        <v>1143</v>
      </c>
      <c r="R327" s="80"/>
      <c r="S327" s="80"/>
      <c r="T327" s="57"/>
      <c r="U327" s="353"/>
      <c r="V327" s="57"/>
      <c r="W327" s="80">
        <v>0</v>
      </c>
      <c r="X327" s="86">
        <v>0</v>
      </c>
      <c r="Y327" s="86">
        <v>0</v>
      </c>
      <c r="Z327" s="86">
        <v>0</v>
      </c>
      <c r="AA327" s="86">
        <v>0</v>
      </c>
      <c r="AB327" s="86">
        <v>0</v>
      </c>
      <c r="AC327" s="86">
        <v>0</v>
      </c>
      <c r="AD327" s="86"/>
      <c r="AE327" s="86">
        <v>0</v>
      </c>
      <c r="AF327" s="59">
        <f t="shared" si="465"/>
        <v>1108.7877000000008</v>
      </c>
      <c r="AG327" s="32">
        <f t="shared" si="448"/>
        <v>11241</v>
      </c>
      <c r="AH327" s="101">
        <f t="shared" si="446"/>
        <v>11240.787700000001</v>
      </c>
      <c r="AP327" s="101"/>
      <c r="AQ327" s="101"/>
    </row>
    <row r="328" spans="1:43" ht="15.9" customHeight="1" x14ac:dyDescent="0.3">
      <c r="A328" s="468"/>
      <c r="B328" s="52" t="s">
        <v>319</v>
      </c>
      <c r="C328" s="107">
        <v>39353</v>
      </c>
      <c r="D328" s="54">
        <v>10050</v>
      </c>
      <c r="E328" s="108">
        <v>10</v>
      </c>
      <c r="F328" s="54">
        <v>10050</v>
      </c>
      <c r="G328" s="86">
        <f t="shared" si="447"/>
        <v>0</v>
      </c>
      <c r="H328" s="57">
        <v>0</v>
      </c>
      <c r="I328" s="58">
        <v>0</v>
      </c>
      <c r="J328" s="58">
        <v>0</v>
      </c>
      <c r="K328" s="58">
        <v>0</v>
      </c>
      <c r="L328" s="86">
        <v>0</v>
      </c>
      <c r="M328" s="86"/>
      <c r="N328" s="86">
        <v>0</v>
      </c>
      <c r="O328" s="86">
        <v>0</v>
      </c>
      <c r="P328" s="86">
        <v>0</v>
      </c>
      <c r="Q328" s="86">
        <v>0</v>
      </c>
      <c r="R328" s="86">
        <v>0</v>
      </c>
      <c r="S328" s="86">
        <v>0</v>
      </c>
      <c r="T328" s="86">
        <v>0</v>
      </c>
      <c r="U328" s="355">
        <v>0</v>
      </c>
      <c r="V328" s="86">
        <v>0</v>
      </c>
      <c r="W328" s="86">
        <v>0</v>
      </c>
      <c r="X328" s="86">
        <v>0</v>
      </c>
      <c r="Y328" s="86">
        <v>0</v>
      </c>
      <c r="Z328" s="86">
        <v>0</v>
      </c>
      <c r="AA328" s="86">
        <v>0</v>
      </c>
      <c r="AB328" s="86">
        <v>0</v>
      </c>
      <c r="AC328" s="86">
        <v>0</v>
      </c>
      <c r="AD328" s="86"/>
      <c r="AE328" s="86">
        <v>0</v>
      </c>
      <c r="AF328" s="59">
        <f t="shared" si="465"/>
        <v>0</v>
      </c>
      <c r="AG328" s="32">
        <f t="shared" si="448"/>
        <v>0</v>
      </c>
      <c r="AH328" s="101">
        <f t="shared" si="446"/>
        <v>0</v>
      </c>
      <c r="AP328" s="101"/>
      <c r="AQ328" s="101"/>
    </row>
    <row r="329" spans="1:43" ht="15.9" customHeight="1" x14ac:dyDescent="0.3">
      <c r="A329" s="468"/>
      <c r="B329" s="52" t="s">
        <v>318</v>
      </c>
      <c r="C329" s="107">
        <v>39409</v>
      </c>
      <c r="D329" s="54">
        <v>6600</v>
      </c>
      <c r="E329" s="108">
        <v>10</v>
      </c>
      <c r="F329" s="54">
        <v>6600</v>
      </c>
      <c r="G329" s="86">
        <f t="shared" si="447"/>
        <v>0</v>
      </c>
      <c r="H329" s="57">
        <v>0</v>
      </c>
      <c r="I329" s="58">
        <v>0</v>
      </c>
      <c r="J329" s="58">
        <v>0</v>
      </c>
      <c r="K329" s="58">
        <v>0</v>
      </c>
      <c r="L329" s="86">
        <v>0</v>
      </c>
      <c r="M329" s="86"/>
      <c r="N329" s="86">
        <v>0</v>
      </c>
      <c r="O329" s="86">
        <v>0</v>
      </c>
      <c r="P329" s="86">
        <v>0</v>
      </c>
      <c r="Q329" s="86">
        <v>0</v>
      </c>
      <c r="R329" s="86">
        <v>0</v>
      </c>
      <c r="S329" s="86">
        <v>0</v>
      </c>
      <c r="T329" s="86">
        <v>0</v>
      </c>
      <c r="U329" s="355">
        <v>0</v>
      </c>
      <c r="V329" s="86">
        <v>0</v>
      </c>
      <c r="W329" s="86">
        <v>0</v>
      </c>
      <c r="X329" s="86">
        <v>0</v>
      </c>
      <c r="Y329" s="86">
        <v>0</v>
      </c>
      <c r="Z329" s="86">
        <v>0</v>
      </c>
      <c r="AA329" s="86">
        <v>0</v>
      </c>
      <c r="AB329" s="86">
        <v>0</v>
      </c>
      <c r="AC329" s="86">
        <v>0</v>
      </c>
      <c r="AD329" s="86"/>
      <c r="AE329" s="86">
        <v>0</v>
      </c>
      <c r="AF329" s="59">
        <f t="shared" si="465"/>
        <v>0</v>
      </c>
      <c r="AG329" s="32">
        <f t="shared" si="448"/>
        <v>0</v>
      </c>
      <c r="AH329" s="101">
        <f t="shared" si="446"/>
        <v>0</v>
      </c>
      <c r="AP329" s="101"/>
      <c r="AQ329" s="101"/>
    </row>
    <row r="330" spans="1:43" ht="15.9" customHeight="1" x14ac:dyDescent="0.3">
      <c r="A330" s="468"/>
      <c r="B330" s="52" t="s">
        <v>317</v>
      </c>
      <c r="C330" s="107">
        <v>39742</v>
      </c>
      <c r="D330" s="54">
        <v>10237</v>
      </c>
      <c r="E330" s="108">
        <v>10</v>
      </c>
      <c r="F330" s="54">
        <v>10237</v>
      </c>
      <c r="G330" s="86">
        <f t="shared" si="447"/>
        <v>0</v>
      </c>
      <c r="H330" s="57">
        <v>0</v>
      </c>
      <c r="I330" s="58">
        <v>0</v>
      </c>
      <c r="J330" s="58">
        <v>0</v>
      </c>
      <c r="K330" s="58">
        <v>0</v>
      </c>
      <c r="L330" s="86">
        <v>0</v>
      </c>
      <c r="M330" s="86"/>
      <c r="N330" s="86">
        <v>0</v>
      </c>
      <c r="O330" s="86">
        <v>0</v>
      </c>
      <c r="P330" s="86">
        <v>0</v>
      </c>
      <c r="Q330" s="86">
        <v>0</v>
      </c>
      <c r="R330" s="86">
        <v>0</v>
      </c>
      <c r="S330" s="86">
        <v>0</v>
      </c>
      <c r="T330" s="86">
        <v>0</v>
      </c>
      <c r="U330" s="355">
        <v>0</v>
      </c>
      <c r="V330" s="86">
        <v>0</v>
      </c>
      <c r="W330" s="86">
        <v>0</v>
      </c>
      <c r="X330" s="86">
        <v>0</v>
      </c>
      <c r="Y330" s="86">
        <v>0</v>
      </c>
      <c r="Z330" s="86">
        <v>0</v>
      </c>
      <c r="AA330" s="86">
        <v>0</v>
      </c>
      <c r="AB330" s="86">
        <v>0</v>
      </c>
      <c r="AC330" s="86">
        <v>0</v>
      </c>
      <c r="AD330" s="86"/>
      <c r="AE330" s="86">
        <v>0</v>
      </c>
      <c r="AF330" s="59">
        <f t="shared" si="465"/>
        <v>0</v>
      </c>
      <c r="AG330" s="32">
        <f t="shared" si="448"/>
        <v>0</v>
      </c>
      <c r="AH330" s="101">
        <f t="shared" si="446"/>
        <v>0</v>
      </c>
      <c r="AP330" s="101"/>
      <c r="AQ330" s="101"/>
    </row>
    <row r="331" spans="1:43" ht="15.9" customHeight="1" x14ac:dyDescent="0.3">
      <c r="A331" s="468"/>
      <c r="B331" s="52" t="s">
        <v>315</v>
      </c>
      <c r="C331" s="107">
        <v>39780</v>
      </c>
      <c r="D331" s="54">
        <v>13500</v>
      </c>
      <c r="E331" s="108">
        <v>10</v>
      </c>
      <c r="F331" s="54">
        <v>13500</v>
      </c>
      <c r="G331" s="86">
        <f t="shared" si="447"/>
        <v>0</v>
      </c>
      <c r="H331" s="57">
        <v>0</v>
      </c>
      <c r="I331" s="58">
        <v>0</v>
      </c>
      <c r="J331" s="58">
        <v>0</v>
      </c>
      <c r="K331" s="58">
        <v>0</v>
      </c>
      <c r="L331" s="86">
        <v>0</v>
      </c>
      <c r="M331" s="86"/>
      <c r="N331" s="86">
        <v>0</v>
      </c>
      <c r="O331" s="86">
        <v>0</v>
      </c>
      <c r="P331" s="86">
        <v>0</v>
      </c>
      <c r="Q331" s="86">
        <v>0</v>
      </c>
      <c r="R331" s="86">
        <v>0</v>
      </c>
      <c r="S331" s="86">
        <v>0</v>
      </c>
      <c r="T331" s="86">
        <v>0</v>
      </c>
      <c r="U331" s="355">
        <v>0</v>
      </c>
      <c r="V331" s="86">
        <v>0</v>
      </c>
      <c r="W331" s="86">
        <v>0</v>
      </c>
      <c r="X331" s="86">
        <v>0</v>
      </c>
      <c r="Y331" s="86">
        <v>0</v>
      </c>
      <c r="Z331" s="86">
        <v>0</v>
      </c>
      <c r="AA331" s="86">
        <v>0</v>
      </c>
      <c r="AB331" s="86">
        <v>0</v>
      </c>
      <c r="AC331" s="86">
        <v>0</v>
      </c>
      <c r="AD331" s="86"/>
      <c r="AE331" s="86">
        <v>0</v>
      </c>
      <c r="AF331" s="59">
        <f t="shared" si="465"/>
        <v>0</v>
      </c>
      <c r="AG331" s="32">
        <f t="shared" si="448"/>
        <v>0</v>
      </c>
      <c r="AH331" s="101">
        <f t="shared" si="446"/>
        <v>0</v>
      </c>
      <c r="AP331" s="101"/>
      <c r="AQ331" s="101"/>
    </row>
    <row r="332" spans="1:43" ht="15.9" customHeight="1" x14ac:dyDescent="0.3">
      <c r="A332" s="468"/>
      <c r="B332" s="52" t="s">
        <v>316</v>
      </c>
      <c r="C332" s="107">
        <v>39822</v>
      </c>
      <c r="D332" s="54">
        <v>15356</v>
      </c>
      <c r="E332" s="108">
        <v>10</v>
      </c>
      <c r="F332" s="54">
        <v>15356</v>
      </c>
      <c r="G332" s="86">
        <f t="shared" si="447"/>
        <v>0</v>
      </c>
      <c r="H332" s="57">
        <v>0</v>
      </c>
      <c r="I332" s="58">
        <v>0</v>
      </c>
      <c r="J332" s="58">
        <v>0</v>
      </c>
      <c r="K332" s="58">
        <v>0</v>
      </c>
      <c r="L332" s="86">
        <v>0</v>
      </c>
      <c r="M332" s="86"/>
      <c r="N332" s="86">
        <v>0</v>
      </c>
      <c r="O332" s="86">
        <v>0</v>
      </c>
      <c r="P332" s="86">
        <v>0</v>
      </c>
      <c r="Q332" s="86">
        <v>0</v>
      </c>
      <c r="R332" s="86">
        <v>0</v>
      </c>
      <c r="S332" s="86">
        <v>0</v>
      </c>
      <c r="T332" s="86">
        <v>0</v>
      </c>
      <c r="U332" s="355">
        <v>0</v>
      </c>
      <c r="V332" s="86">
        <v>0</v>
      </c>
      <c r="W332" s="86">
        <v>0</v>
      </c>
      <c r="X332" s="86">
        <v>0</v>
      </c>
      <c r="Y332" s="86">
        <v>0</v>
      </c>
      <c r="Z332" s="86">
        <v>0</v>
      </c>
      <c r="AA332" s="86">
        <v>0</v>
      </c>
      <c r="AB332" s="86">
        <v>0</v>
      </c>
      <c r="AC332" s="86">
        <v>0</v>
      </c>
      <c r="AD332" s="86"/>
      <c r="AE332" s="86">
        <v>0</v>
      </c>
      <c r="AF332" s="59">
        <f t="shared" si="465"/>
        <v>0</v>
      </c>
      <c r="AG332" s="32">
        <f t="shared" si="448"/>
        <v>0</v>
      </c>
      <c r="AH332" s="101">
        <f t="shared" si="446"/>
        <v>0</v>
      </c>
      <c r="AP332" s="101"/>
      <c r="AQ332" s="101"/>
    </row>
    <row r="333" spans="1:43" ht="15.9" customHeight="1" x14ac:dyDescent="0.3">
      <c r="A333" s="468"/>
      <c r="B333" s="52" t="s">
        <v>161</v>
      </c>
      <c r="C333" s="107">
        <v>39863</v>
      </c>
      <c r="D333" s="54">
        <v>5850</v>
      </c>
      <c r="E333" s="108">
        <v>10</v>
      </c>
      <c r="F333" s="54">
        <v>1892.205904109589</v>
      </c>
      <c r="G333" s="86">
        <f t="shared" si="447"/>
        <v>3957.794095890411</v>
      </c>
      <c r="H333" s="57">
        <f t="shared" si="449"/>
        <v>293</v>
      </c>
      <c r="I333" s="58">
        <f>$I$3-C333+1</f>
        <v>1867</v>
      </c>
      <c r="J333" s="100">
        <f>+C333+3651</f>
        <v>43514</v>
      </c>
      <c r="K333" s="60">
        <f>+J333-C333-I333+1</f>
        <v>1785</v>
      </c>
      <c r="L333" s="86">
        <v>0</v>
      </c>
      <c r="M333" s="86"/>
      <c r="N333" s="57">
        <f>+ROUND(($G$333-$H$333)*365/$K$333,0)</f>
        <v>749</v>
      </c>
      <c r="O333" s="57">
        <f>+ROUND(($G$333-$H$333)*365/$K$333,0)</f>
        <v>749</v>
      </c>
      <c r="P333" s="57">
        <f>+ROUND(($G$333-$H$333)*365/$K$333,0)</f>
        <v>749</v>
      </c>
      <c r="Q333" s="57">
        <f>+ROUND(($G$333-$H$333)*365/$K$333,0)</f>
        <v>749</v>
      </c>
      <c r="R333" s="80">
        <f>ROUND((G333-H333)*(K333-1460)/K41:K333,0)+2</f>
        <v>669</v>
      </c>
      <c r="S333" s="79">
        <v>0</v>
      </c>
      <c r="T333" s="57">
        <f t="shared" ref="T333" si="466">+S333</f>
        <v>0</v>
      </c>
      <c r="U333" s="353">
        <f t="shared" ref="U333:V334" si="467">+T333</f>
        <v>0</v>
      </c>
      <c r="V333" s="80">
        <f t="shared" si="467"/>
        <v>0</v>
      </c>
      <c r="W333" s="57">
        <v>0</v>
      </c>
      <c r="X333" s="86">
        <v>0</v>
      </c>
      <c r="Y333" s="86">
        <v>0</v>
      </c>
      <c r="Z333" s="86">
        <v>0</v>
      </c>
      <c r="AA333" s="86">
        <v>0</v>
      </c>
      <c r="AB333" s="86">
        <v>0</v>
      </c>
      <c r="AC333" s="86">
        <v>0</v>
      </c>
      <c r="AD333" s="86"/>
      <c r="AE333" s="86">
        <v>0</v>
      </c>
      <c r="AF333" s="59">
        <f t="shared" si="465"/>
        <v>292.79409589041097</v>
      </c>
      <c r="AG333" s="32">
        <f t="shared" si="448"/>
        <v>3665</v>
      </c>
      <c r="AH333" s="101">
        <f t="shared" si="446"/>
        <v>3664.794095890411</v>
      </c>
      <c r="AP333" s="101"/>
      <c r="AQ333" s="101"/>
    </row>
    <row r="334" spans="1:43" ht="15.9" customHeight="1" x14ac:dyDescent="0.3">
      <c r="A334" s="468"/>
      <c r="B334" s="52" t="s">
        <v>162</v>
      </c>
      <c r="C334" s="107">
        <v>40196</v>
      </c>
      <c r="D334" s="54">
        <v>23000</v>
      </c>
      <c r="E334" s="108">
        <v>10</v>
      </c>
      <c r="F334" s="54">
        <v>6115.08</v>
      </c>
      <c r="G334" s="86">
        <f t="shared" si="447"/>
        <v>16884.919999999998</v>
      </c>
      <c r="H334" s="57">
        <f t="shared" si="449"/>
        <v>1150</v>
      </c>
      <c r="I334" s="58">
        <f>$I$3-C334+1</f>
        <v>1534</v>
      </c>
      <c r="J334" s="100">
        <f>+C334+3651</f>
        <v>43847</v>
      </c>
      <c r="K334" s="60">
        <f>+J334-C334-I334+1</f>
        <v>2118</v>
      </c>
      <c r="L334" s="86">
        <v>0</v>
      </c>
      <c r="M334" s="86"/>
      <c r="N334" s="57">
        <f>+ROUND(($G$334-$H$334)*365/$K$334,0)</f>
        <v>2712</v>
      </c>
      <c r="O334" s="57">
        <f>+ROUND(($G$334-$H$334)*365/$K$334,0)</f>
        <v>2712</v>
      </c>
      <c r="P334" s="57">
        <f>+ROUND(($G$334-$H$334)*365/$K$334,0)</f>
        <v>2712</v>
      </c>
      <c r="Q334" s="57">
        <f>+ROUND(($G$334-$H$334)*365/$K$334,0)</f>
        <v>2712</v>
      </c>
      <c r="R334" s="57">
        <f>+ROUND(($G$334-$H$334)*365/$K$334,0)</f>
        <v>2712</v>
      </c>
      <c r="S334" s="80">
        <f>ROUND((G334-H334)*(K334-1825)/K334,0)-2</f>
        <v>2175</v>
      </c>
      <c r="T334" s="57">
        <v>0</v>
      </c>
      <c r="U334" s="353">
        <f t="shared" si="467"/>
        <v>0</v>
      </c>
      <c r="V334" s="80">
        <f t="shared" si="467"/>
        <v>0</v>
      </c>
      <c r="W334" s="80">
        <f t="shared" ref="W334" si="468">+V334</f>
        <v>0</v>
      </c>
      <c r="X334" s="57">
        <v>0</v>
      </c>
      <c r="Y334" s="80">
        <v>0</v>
      </c>
      <c r="Z334" s="86">
        <v>0</v>
      </c>
      <c r="AA334" s="86">
        <v>0</v>
      </c>
      <c r="AB334" s="86">
        <v>0</v>
      </c>
      <c r="AC334" s="86">
        <v>0</v>
      </c>
      <c r="AD334" s="86"/>
      <c r="AE334" s="86">
        <v>0</v>
      </c>
      <c r="AF334" s="59">
        <f t="shared" si="465"/>
        <v>1149.9199999999983</v>
      </c>
      <c r="AG334" s="32">
        <f t="shared" si="448"/>
        <v>15735</v>
      </c>
      <c r="AH334" s="101">
        <f t="shared" si="446"/>
        <v>15734.919999999998</v>
      </c>
      <c r="AP334" s="101"/>
      <c r="AQ334" s="101"/>
    </row>
    <row r="335" spans="1:43" ht="15.9" customHeight="1" x14ac:dyDescent="0.3">
      <c r="A335" s="468"/>
      <c r="B335" s="52" t="s">
        <v>163</v>
      </c>
      <c r="C335" s="107">
        <v>40480</v>
      </c>
      <c r="D335" s="54">
        <v>5263</v>
      </c>
      <c r="E335" s="108">
        <v>10</v>
      </c>
      <c r="F335" s="54">
        <v>1139.5610317808218</v>
      </c>
      <c r="G335" s="86">
        <f t="shared" si="447"/>
        <v>4123.4389682191777</v>
      </c>
      <c r="H335" s="57">
        <f t="shared" si="449"/>
        <v>263</v>
      </c>
      <c r="I335" s="58">
        <f>$I$3-C335+1</f>
        <v>1250</v>
      </c>
      <c r="J335" s="100">
        <f>+C335+3652</f>
        <v>44132</v>
      </c>
      <c r="K335" s="60">
        <f>+J335-C335-I335+1</f>
        <v>2403</v>
      </c>
      <c r="L335" s="86">
        <v>0</v>
      </c>
      <c r="M335" s="86"/>
      <c r="N335" s="57">
        <f t="shared" ref="N335:S335" si="469">+ROUND(($G$335-$H$335)*365/$K$335,0)</f>
        <v>586</v>
      </c>
      <c r="O335" s="57">
        <f t="shared" si="469"/>
        <v>586</v>
      </c>
      <c r="P335" s="57">
        <f t="shared" si="469"/>
        <v>586</v>
      </c>
      <c r="Q335" s="57">
        <f t="shared" si="469"/>
        <v>586</v>
      </c>
      <c r="R335" s="57">
        <f t="shared" si="469"/>
        <v>586</v>
      </c>
      <c r="S335" s="57">
        <f t="shared" si="469"/>
        <v>586</v>
      </c>
      <c r="T335" s="57">
        <f>ROUND((G335-H335)*(K335-2190)/K335,0)+2</f>
        <v>344</v>
      </c>
      <c r="U335" s="353">
        <v>0</v>
      </c>
      <c r="V335" s="80">
        <f t="shared" ref="V335:X335" si="470">+U335</f>
        <v>0</v>
      </c>
      <c r="W335" s="80">
        <f t="shared" si="470"/>
        <v>0</v>
      </c>
      <c r="X335" s="80">
        <f t="shared" si="470"/>
        <v>0</v>
      </c>
      <c r="Y335" s="57">
        <v>0</v>
      </c>
      <c r="Z335" s="86">
        <v>0</v>
      </c>
      <c r="AA335" s="86">
        <v>0</v>
      </c>
      <c r="AB335" s="86">
        <v>0</v>
      </c>
      <c r="AC335" s="86">
        <v>0</v>
      </c>
      <c r="AD335" s="86"/>
      <c r="AE335" s="86">
        <v>0</v>
      </c>
      <c r="AF335" s="59">
        <f t="shared" si="465"/>
        <v>263.4389682191777</v>
      </c>
      <c r="AG335" s="32">
        <f t="shared" si="448"/>
        <v>3860</v>
      </c>
      <c r="AH335" s="101">
        <f t="shared" si="446"/>
        <v>3860.4389682191777</v>
      </c>
      <c r="AP335" s="101"/>
      <c r="AQ335" s="101"/>
    </row>
    <row r="336" spans="1:43" ht="15.9" customHeight="1" x14ac:dyDescent="0.3">
      <c r="A336" s="468"/>
      <c r="B336" s="52" t="s">
        <v>313</v>
      </c>
      <c r="C336" s="107">
        <v>40480</v>
      </c>
      <c r="D336" s="54">
        <v>2500</v>
      </c>
      <c r="E336" s="108">
        <v>10</v>
      </c>
      <c r="F336" s="54">
        <v>2500</v>
      </c>
      <c r="G336" s="86">
        <f t="shared" si="447"/>
        <v>0</v>
      </c>
      <c r="H336" s="57">
        <v>0</v>
      </c>
      <c r="I336" s="58">
        <v>0</v>
      </c>
      <c r="J336" s="58">
        <v>0</v>
      </c>
      <c r="K336" s="58">
        <v>0</v>
      </c>
      <c r="L336" s="86">
        <v>0</v>
      </c>
      <c r="M336" s="86"/>
      <c r="N336" s="57">
        <v>0</v>
      </c>
      <c r="O336" s="80">
        <f t="shared" ref="O336" si="471">+N336</f>
        <v>0</v>
      </c>
      <c r="P336" s="80">
        <f t="shared" ref="P336:Y337" si="472">+O336</f>
        <v>0</v>
      </c>
      <c r="Q336" s="80">
        <f t="shared" si="472"/>
        <v>0</v>
      </c>
      <c r="R336" s="80">
        <f t="shared" si="472"/>
        <v>0</v>
      </c>
      <c r="S336" s="80">
        <f t="shared" si="472"/>
        <v>0</v>
      </c>
      <c r="T336" s="57">
        <f t="shared" si="472"/>
        <v>0</v>
      </c>
      <c r="U336" s="353">
        <f t="shared" si="472"/>
        <v>0</v>
      </c>
      <c r="V336" s="80">
        <f t="shared" si="472"/>
        <v>0</v>
      </c>
      <c r="W336" s="57">
        <v>0</v>
      </c>
      <c r="X336" s="80">
        <v>0</v>
      </c>
      <c r="Y336" s="80">
        <f t="shared" ref="Y336" si="473">+X336</f>
        <v>0</v>
      </c>
      <c r="Z336" s="86">
        <v>0</v>
      </c>
      <c r="AA336" s="86">
        <v>0</v>
      </c>
      <c r="AB336" s="86">
        <v>0</v>
      </c>
      <c r="AC336" s="86">
        <v>0</v>
      </c>
      <c r="AD336" s="86"/>
      <c r="AE336" s="86">
        <v>0</v>
      </c>
      <c r="AF336" s="59">
        <f t="shared" si="465"/>
        <v>0</v>
      </c>
      <c r="AG336" s="32">
        <f t="shared" si="448"/>
        <v>0</v>
      </c>
      <c r="AH336" s="101">
        <f t="shared" si="446"/>
        <v>0</v>
      </c>
      <c r="AP336" s="101"/>
      <c r="AQ336" s="101"/>
    </row>
    <row r="337" spans="1:43" ht="15.9" customHeight="1" x14ac:dyDescent="0.3">
      <c r="A337" s="468"/>
      <c r="B337" s="52" t="s">
        <v>164</v>
      </c>
      <c r="C337" s="107">
        <v>40652</v>
      </c>
      <c r="D337" s="54">
        <v>6469</v>
      </c>
      <c r="E337" s="108">
        <v>10</v>
      </c>
      <c r="F337" s="54">
        <v>1207</v>
      </c>
      <c r="G337" s="86">
        <f t="shared" si="447"/>
        <v>5262</v>
      </c>
      <c r="H337" s="57">
        <f t="shared" si="449"/>
        <v>323</v>
      </c>
      <c r="I337" s="58">
        <f>$I$3-C337+1</f>
        <v>1078</v>
      </c>
      <c r="J337" s="100">
        <f>+C337+3652</f>
        <v>44304</v>
      </c>
      <c r="K337" s="60">
        <f>+J337-C337-I337+1</f>
        <v>2575</v>
      </c>
      <c r="L337" s="86">
        <v>0</v>
      </c>
      <c r="M337" s="86"/>
      <c r="N337" s="57">
        <f t="shared" ref="N337:T337" si="474">+ROUND(($G$337-$H$337)*365/$K$337,0)</f>
        <v>700</v>
      </c>
      <c r="O337" s="57">
        <f t="shared" si="474"/>
        <v>700</v>
      </c>
      <c r="P337" s="57">
        <f t="shared" si="474"/>
        <v>700</v>
      </c>
      <c r="Q337" s="57">
        <f t="shared" si="474"/>
        <v>700</v>
      </c>
      <c r="R337" s="57">
        <f t="shared" si="474"/>
        <v>700</v>
      </c>
      <c r="S337" s="57">
        <f t="shared" si="474"/>
        <v>700</v>
      </c>
      <c r="T337" s="57">
        <f t="shared" si="474"/>
        <v>700</v>
      </c>
      <c r="U337" s="353">
        <f>ROUND((G337-H337)*(K337-2555)/K337,0)+1</f>
        <v>39</v>
      </c>
      <c r="V337" s="80">
        <v>0</v>
      </c>
      <c r="W337" s="80">
        <f t="shared" si="472"/>
        <v>0</v>
      </c>
      <c r="X337" s="80">
        <f t="shared" si="472"/>
        <v>0</v>
      </c>
      <c r="Y337" s="80">
        <f t="shared" si="472"/>
        <v>0</v>
      </c>
      <c r="Z337" s="57">
        <v>0</v>
      </c>
      <c r="AA337" s="57">
        <v>0</v>
      </c>
      <c r="AB337" s="80">
        <v>0</v>
      </c>
      <c r="AC337" s="80">
        <f t="shared" ref="AC337:AC338" si="475">+AB337</f>
        <v>0</v>
      </c>
      <c r="AD337" s="80"/>
      <c r="AE337" s="80">
        <f>+AC337</f>
        <v>0</v>
      </c>
      <c r="AF337" s="59">
        <f t="shared" si="465"/>
        <v>323</v>
      </c>
      <c r="AG337" s="32">
        <f t="shared" si="448"/>
        <v>4939</v>
      </c>
      <c r="AH337" s="101">
        <f t="shared" si="446"/>
        <v>4939</v>
      </c>
      <c r="AP337" s="101"/>
      <c r="AQ337" s="101"/>
    </row>
    <row r="338" spans="1:43" ht="15.9" customHeight="1" x14ac:dyDescent="0.3">
      <c r="A338" s="468"/>
      <c r="B338" s="52" t="s">
        <v>165</v>
      </c>
      <c r="C338" s="107">
        <v>41031</v>
      </c>
      <c r="D338" s="54">
        <v>117043</v>
      </c>
      <c r="E338" s="108">
        <v>10</v>
      </c>
      <c r="F338" s="54">
        <v>14189</v>
      </c>
      <c r="G338" s="86">
        <f t="shared" si="447"/>
        <v>102854</v>
      </c>
      <c r="H338" s="57">
        <f t="shared" si="449"/>
        <v>5852</v>
      </c>
      <c r="I338" s="58">
        <f>$I$3-C338+1</f>
        <v>699</v>
      </c>
      <c r="J338" s="100">
        <f>+C338+3651</f>
        <v>44682</v>
      </c>
      <c r="K338" s="60">
        <f>+J338-C338-I338+1</f>
        <v>2953</v>
      </c>
      <c r="L338" s="86">
        <v>0</v>
      </c>
      <c r="M338" s="86"/>
      <c r="N338" s="57">
        <f t="shared" ref="N338:U338" si="476">+ROUND(($G$338-$H$338)*365/$K$338,0)</f>
        <v>11990</v>
      </c>
      <c r="O338" s="57">
        <f t="shared" si="476"/>
        <v>11990</v>
      </c>
      <c r="P338" s="57">
        <f t="shared" si="476"/>
        <v>11990</v>
      </c>
      <c r="Q338" s="57">
        <f t="shared" si="476"/>
        <v>11990</v>
      </c>
      <c r="R338" s="57">
        <f t="shared" si="476"/>
        <v>11990</v>
      </c>
      <c r="S338" s="57">
        <f t="shared" si="476"/>
        <v>11990</v>
      </c>
      <c r="T338" s="57">
        <f t="shared" si="476"/>
        <v>11990</v>
      </c>
      <c r="U338" s="352">
        <f t="shared" si="476"/>
        <v>11990</v>
      </c>
      <c r="V338" s="80">
        <f>ROUND((G338-H338)*(K338-2920)/K338,0)-2</f>
        <v>1082</v>
      </c>
      <c r="W338" s="80">
        <v>0</v>
      </c>
      <c r="X338" s="80">
        <f t="shared" ref="X338" si="477">+W338</f>
        <v>0</v>
      </c>
      <c r="Y338" s="80">
        <f>+X338</f>
        <v>0</v>
      </c>
      <c r="Z338" s="80">
        <f>+Y338</f>
        <v>0</v>
      </c>
      <c r="AA338" s="57">
        <v>0</v>
      </c>
      <c r="AB338" s="80">
        <v>0</v>
      </c>
      <c r="AC338" s="80">
        <f t="shared" si="475"/>
        <v>0</v>
      </c>
      <c r="AD338" s="80"/>
      <c r="AE338" s="80">
        <f>+AC338</f>
        <v>0</v>
      </c>
      <c r="AF338" s="59">
        <f t="shared" si="465"/>
        <v>6934</v>
      </c>
      <c r="AG338" s="32">
        <f t="shared" si="448"/>
        <v>97002</v>
      </c>
      <c r="AH338" s="101">
        <f t="shared" si="446"/>
        <v>97002</v>
      </c>
      <c r="AP338" s="101"/>
      <c r="AQ338" s="101"/>
    </row>
    <row r="339" spans="1:43" ht="15.9" customHeight="1" x14ac:dyDescent="0.3">
      <c r="A339" s="468"/>
      <c r="B339" s="92" t="s">
        <v>164</v>
      </c>
      <c r="C339" s="107">
        <v>41054</v>
      </c>
      <c r="D339" s="95">
        <v>46054</v>
      </c>
      <c r="E339" s="108">
        <v>10</v>
      </c>
      <c r="F339" s="94">
        <v>5399</v>
      </c>
      <c r="G339" s="86">
        <f t="shared" si="447"/>
        <v>40655</v>
      </c>
      <c r="H339" s="57">
        <f t="shared" si="449"/>
        <v>2303</v>
      </c>
      <c r="I339" s="58">
        <f>$I$3-C339+1</f>
        <v>676</v>
      </c>
      <c r="J339" s="100">
        <f>+C339+3651</f>
        <v>44705</v>
      </c>
      <c r="K339" s="60">
        <f>+J339-C339-I339+1</f>
        <v>2976</v>
      </c>
      <c r="L339" s="86">
        <v>0</v>
      </c>
      <c r="M339" s="86"/>
      <c r="N339" s="57">
        <f t="shared" ref="N339:U339" si="478">+ROUND(($G$339-$H$339)*365/$K$339,0)</f>
        <v>4704</v>
      </c>
      <c r="O339" s="57">
        <f t="shared" si="478"/>
        <v>4704</v>
      </c>
      <c r="P339" s="57">
        <f t="shared" si="478"/>
        <v>4704</v>
      </c>
      <c r="Q339" s="57">
        <f t="shared" si="478"/>
        <v>4704</v>
      </c>
      <c r="R339" s="57">
        <f t="shared" si="478"/>
        <v>4704</v>
      </c>
      <c r="S339" s="57">
        <f t="shared" si="478"/>
        <v>4704</v>
      </c>
      <c r="T339" s="57">
        <f t="shared" si="478"/>
        <v>4704</v>
      </c>
      <c r="U339" s="352">
        <f t="shared" si="478"/>
        <v>4704</v>
      </c>
      <c r="V339" s="80">
        <f>ROUND((G339-H339)*(K339-2920)/K339,0)-2</f>
        <v>720</v>
      </c>
      <c r="W339" s="80">
        <v>0</v>
      </c>
      <c r="X339" s="80">
        <f t="shared" ref="X339:Z339" si="479">+W339</f>
        <v>0</v>
      </c>
      <c r="Y339" s="80">
        <f t="shared" si="479"/>
        <v>0</v>
      </c>
      <c r="Z339" s="80">
        <f t="shared" si="479"/>
        <v>0</v>
      </c>
      <c r="AA339" s="57">
        <v>0</v>
      </c>
      <c r="AB339" s="80">
        <v>0</v>
      </c>
      <c r="AC339" s="80">
        <v>0</v>
      </c>
      <c r="AD339" s="80"/>
      <c r="AE339" s="80">
        <f>+AC339</f>
        <v>0</v>
      </c>
      <c r="AF339" s="59">
        <f t="shared" si="465"/>
        <v>3023</v>
      </c>
      <c r="AG339" s="32">
        <f t="shared" si="448"/>
        <v>38352</v>
      </c>
      <c r="AH339" s="101">
        <f t="shared" si="446"/>
        <v>38352</v>
      </c>
      <c r="AP339" s="101"/>
      <c r="AQ339" s="101"/>
    </row>
    <row r="340" spans="1:43" ht="15.9" customHeight="1" x14ac:dyDescent="0.3">
      <c r="A340" s="468"/>
      <c r="B340" s="92" t="s">
        <v>399</v>
      </c>
      <c r="C340" s="107">
        <v>43573</v>
      </c>
      <c r="D340" s="95">
        <v>239332</v>
      </c>
      <c r="E340" s="117">
        <f>10-($S$3-C340)/365</f>
        <v>8.0465753424657542</v>
      </c>
      <c r="F340" s="94">
        <v>0</v>
      </c>
      <c r="G340" s="86">
        <f t="shared" si="447"/>
        <v>239332</v>
      </c>
      <c r="H340" s="57">
        <f t="shared" si="449"/>
        <v>11967</v>
      </c>
      <c r="I340" s="58">
        <v>0</v>
      </c>
      <c r="J340" s="100">
        <f>+C340+3651</f>
        <v>47224</v>
      </c>
      <c r="K340" s="60">
        <f>+J340-C340-I340+1</f>
        <v>3652</v>
      </c>
      <c r="L340" s="86"/>
      <c r="M340" s="86"/>
      <c r="N340" s="57">
        <v>0</v>
      </c>
      <c r="O340" s="57">
        <v>0</v>
      </c>
      <c r="P340" s="57">
        <v>0</v>
      </c>
      <c r="Q340" s="57">
        <v>0</v>
      </c>
      <c r="R340" s="57">
        <v>0</v>
      </c>
      <c r="S340" s="57">
        <v>0</v>
      </c>
      <c r="T340" s="57">
        <v>0</v>
      </c>
      <c r="U340" s="352">
        <f>+ROUND((G340-H340)*365/K340,0)</f>
        <v>22724</v>
      </c>
      <c r="V340" s="57">
        <f>+ROUND(($G340-$H340)*365/$K340,0)</f>
        <v>22724</v>
      </c>
      <c r="W340" s="57"/>
      <c r="X340" s="57">
        <f t="shared" ref="X340:AB349" si="480">+ROUND(($G$340-$H$340)*365/$K$340,0)</f>
        <v>22724</v>
      </c>
      <c r="Y340" s="57">
        <f t="shared" si="480"/>
        <v>22724</v>
      </c>
      <c r="Z340" s="57">
        <f t="shared" si="480"/>
        <v>22724</v>
      </c>
      <c r="AA340" s="57">
        <f t="shared" si="480"/>
        <v>22724</v>
      </c>
      <c r="AB340" s="57">
        <f t="shared" si="480"/>
        <v>22724</v>
      </c>
      <c r="AC340" s="80"/>
      <c r="AD340" s="80"/>
      <c r="AE340" s="80"/>
      <c r="AF340" s="59">
        <f t="shared" si="465"/>
        <v>216608</v>
      </c>
      <c r="AG340" s="32">
        <f>SUM(AF311:AF340)</f>
        <v>285126.58126410964</v>
      </c>
      <c r="AH340" s="101">
        <f t="shared" si="446"/>
        <v>227365</v>
      </c>
      <c r="AP340" s="101"/>
      <c r="AQ340" s="101"/>
    </row>
    <row r="341" spans="1:43" ht="15.9" customHeight="1" x14ac:dyDescent="0.3">
      <c r="A341" s="468"/>
      <c r="B341" s="92" t="s">
        <v>498</v>
      </c>
      <c r="C341" s="107">
        <v>44294</v>
      </c>
      <c r="D341" s="95">
        <v>11600</v>
      </c>
      <c r="E341" s="108">
        <v>10</v>
      </c>
      <c r="F341" s="94"/>
      <c r="G341" s="86">
        <f t="shared" ref="G341:G347" si="481">D341-F341</f>
        <v>11600</v>
      </c>
      <c r="H341" s="57">
        <f t="shared" ref="H341:H347" si="482">ROUND(D341*5%,0)</f>
        <v>580</v>
      </c>
      <c r="I341" s="58">
        <v>0</v>
      </c>
      <c r="J341" s="100">
        <f>+C341+E341*365</f>
        <v>47944</v>
      </c>
      <c r="K341" s="60">
        <f t="shared" ref="K341:K347" si="483">+J341-C341-I341+1</f>
        <v>3651</v>
      </c>
      <c r="L341" s="86"/>
      <c r="M341" s="86">
        <f>($U$3-C341)+1</f>
        <v>358</v>
      </c>
      <c r="N341" s="57">
        <v>0</v>
      </c>
      <c r="O341" s="57">
        <v>0</v>
      </c>
      <c r="P341" s="57">
        <v>0</v>
      </c>
      <c r="Q341" s="57">
        <v>0</v>
      </c>
      <c r="R341" s="57">
        <v>0</v>
      </c>
      <c r="S341" s="57">
        <v>0</v>
      </c>
      <c r="T341" s="57">
        <v>0</v>
      </c>
      <c r="U341" s="352">
        <f t="shared" ref="U341:U347" si="484">+ROUND((G341-H341)*365/K341,0)</f>
        <v>1102</v>
      </c>
      <c r="V341" s="57">
        <f t="shared" ref="V341:V347" si="485">+ROUND(($G341-$H341)*365/$K341,0)</f>
        <v>1102</v>
      </c>
      <c r="W341" s="57"/>
      <c r="X341" s="57">
        <f t="shared" si="480"/>
        <v>22724</v>
      </c>
      <c r="Y341" s="57">
        <f t="shared" si="480"/>
        <v>22724</v>
      </c>
      <c r="Z341" s="57">
        <f t="shared" si="480"/>
        <v>22724</v>
      </c>
      <c r="AA341" s="57">
        <f t="shared" si="480"/>
        <v>22724</v>
      </c>
      <c r="AB341" s="57">
        <f t="shared" si="480"/>
        <v>22724</v>
      </c>
      <c r="AC341" s="80"/>
      <c r="AD341" s="80"/>
      <c r="AE341" s="80"/>
      <c r="AF341" s="59">
        <f t="shared" si="465"/>
        <v>10498</v>
      </c>
      <c r="AH341" s="101"/>
      <c r="AP341" s="101"/>
      <c r="AQ341" s="101"/>
    </row>
    <row r="342" spans="1:43" ht="15.9" customHeight="1" x14ac:dyDescent="0.3">
      <c r="A342" s="468"/>
      <c r="B342" s="92" t="s">
        <v>498</v>
      </c>
      <c r="C342" s="107">
        <v>44357</v>
      </c>
      <c r="D342" s="95">
        <v>11600</v>
      </c>
      <c r="E342" s="108">
        <v>10</v>
      </c>
      <c r="F342" s="94"/>
      <c r="G342" s="86">
        <f t="shared" si="481"/>
        <v>11600</v>
      </c>
      <c r="H342" s="57">
        <f t="shared" si="482"/>
        <v>580</v>
      </c>
      <c r="I342" s="58">
        <v>0</v>
      </c>
      <c r="J342" s="100">
        <f t="shared" ref="J342:J347" si="486">+C342+E342*365</f>
        <v>48007</v>
      </c>
      <c r="K342" s="60">
        <f t="shared" si="483"/>
        <v>3651</v>
      </c>
      <c r="L342" s="86"/>
      <c r="M342" s="86">
        <f t="shared" ref="M342:M347" si="487">($U$3-C342)+1</f>
        <v>295</v>
      </c>
      <c r="N342" s="57">
        <v>0</v>
      </c>
      <c r="O342" s="57">
        <v>0</v>
      </c>
      <c r="P342" s="57">
        <v>0</v>
      </c>
      <c r="Q342" s="57">
        <v>0</v>
      </c>
      <c r="R342" s="57">
        <v>0</v>
      </c>
      <c r="S342" s="57">
        <v>0</v>
      </c>
      <c r="T342" s="57">
        <v>0</v>
      </c>
      <c r="U342" s="352">
        <f t="shared" si="484"/>
        <v>1102</v>
      </c>
      <c r="V342" s="57">
        <f t="shared" si="485"/>
        <v>1102</v>
      </c>
      <c r="W342" s="57"/>
      <c r="X342" s="57">
        <f t="shared" si="480"/>
        <v>22724</v>
      </c>
      <c r="Y342" s="57">
        <f t="shared" si="480"/>
        <v>22724</v>
      </c>
      <c r="Z342" s="57">
        <f t="shared" si="480"/>
        <v>22724</v>
      </c>
      <c r="AA342" s="57">
        <f t="shared" si="480"/>
        <v>22724</v>
      </c>
      <c r="AB342" s="57">
        <f t="shared" si="480"/>
        <v>22724</v>
      </c>
      <c r="AC342" s="80"/>
      <c r="AD342" s="80"/>
      <c r="AE342" s="80"/>
      <c r="AF342" s="59">
        <f t="shared" si="465"/>
        <v>10498</v>
      </c>
      <c r="AH342" s="101"/>
      <c r="AP342" s="101"/>
      <c r="AQ342" s="101"/>
    </row>
    <row r="343" spans="1:43" ht="15.9" customHeight="1" x14ac:dyDescent="0.3">
      <c r="A343" s="468"/>
      <c r="B343" s="92" t="s">
        <v>498</v>
      </c>
      <c r="C343" s="107">
        <v>44358</v>
      </c>
      <c r="D343" s="95">
        <v>3200</v>
      </c>
      <c r="E343" s="108">
        <v>10</v>
      </c>
      <c r="F343" s="94"/>
      <c r="G343" s="86">
        <f t="shared" si="481"/>
        <v>3200</v>
      </c>
      <c r="H343" s="57">
        <f t="shared" si="482"/>
        <v>160</v>
      </c>
      <c r="I343" s="58">
        <v>0</v>
      </c>
      <c r="J343" s="100">
        <f t="shared" si="486"/>
        <v>48008</v>
      </c>
      <c r="K343" s="60">
        <f t="shared" si="483"/>
        <v>3651</v>
      </c>
      <c r="L343" s="86"/>
      <c r="M343" s="86">
        <f t="shared" si="487"/>
        <v>294</v>
      </c>
      <c r="N343" s="57">
        <v>0</v>
      </c>
      <c r="O343" s="57">
        <v>0</v>
      </c>
      <c r="P343" s="57">
        <v>0</v>
      </c>
      <c r="Q343" s="57">
        <v>0</v>
      </c>
      <c r="R343" s="57">
        <v>0</v>
      </c>
      <c r="S343" s="57">
        <v>0</v>
      </c>
      <c r="T343" s="57">
        <v>0</v>
      </c>
      <c r="U343" s="352">
        <f t="shared" si="484"/>
        <v>304</v>
      </c>
      <c r="V343" s="57">
        <f t="shared" si="485"/>
        <v>304</v>
      </c>
      <c r="W343" s="57"/>
      <c r="X343" s="57">
        <f t="shared" si="480"/>
        <v>22724</v>
      </c>
      <c r="Y343" s="57">
        <f t="shared" si="480"/>
        <v>22724</v>
      </c>
      <c r="Z343" s="57">
        <f t="shared" si="480"/>
        <v>22724</v>
      </c>
      <c r="AA343" s="57">
        <f t="shared" si="480"/>
        <v>22724</v>
      </c>
      <c r="AB343" s="57">
        <f t="shared" si="480"/>
        <v>22724</v>
      </c>
      <c r="AC343" s="80"/>
      <c r="AD343" s="80"/>
      <c r="AE343" s="80"/>
      <c r="AF343" s="59">
        <f t="shared" si="465"/>
        <v>2896</v>
      </c>
      <c r="AH343" s="101"/>
      <c r="AP343" s="101"/>
      <c r="AQ343" s="101"/>
    </row>
    <row r="344" spans="1:43" ht="15.9" customHeight="1" x14ac:dyDescent="0.3">
      <c r="A344" s="468"/>
      <c r="B344" s="92" t="s">
        <v>498</v>
      </c>
      <c r="C344" s="107">
        <v>44400</v>
      </c>
      <c r="D344" s="95">
        <v>3500</v>
      </c>
      <c r="E344" s="108">
        <v>10</v>
      </c>
      <c r="F344" s="94"/>
      <c r="G344" s="86">
        <f t="shared" si="481"/>
        <v>3500</v>
      </c>
      <c r="H344" s="57">
        <f t="shared" si="482"/>
        <v>175</v>
      </c>
      <c r="I344" s="58">
        <v>0</v>
      </c>
      <c r="J344" s="100">
        <f t="shared" si="486"/>
        <v>48050</v>
      </c>
      <c r="K344" s="60">
        <f t="shared" si="483"/>
        <v>3651</v>
      </c>
      <c r="L344" s="86"/>
      <c r="M344" s="86">
        <f t="shared" si="487"/>
        <v>252</v>
      </c>
      <c r="N344" s="57">
        <v>0</v>
      </c>
      <c r="O344" s="57">
        <v>0</v>
      </c>
      <c r="P344" s="57">
        <v>0</v>
      </c>
      <c r="Q344" s="57">
        <v>0</v>
      </c>
      <c r="R344" s="57">
        <v>0</v>
      </c>
      <c r="S344" s="57">
        <v>0</v>
      </c>
      <c r="T344" s="57">
        <v>0</v>
      </c>
      <c r="U344" s="352">
        <f t="shared" si="484"/>
        <v>332</v>
      </c>
      <c r="V344" s="57">
        <f t="shared" si="485"/>
        <v>332</v>
      </c>
      <c r="W344" s="57"/>
      <c r="X344" s="57">
        <f t="shared" si="480"/>
        <v>22724</v>
      </c>
      <c r="Y344" s="57">
        <f t="shared" si="480"/>
        <v>22724</v>
      </c>
      <c r="Z344" s="57">
        <f t="shared" si="480"/>
        <v>22724</v>
      </c>
      <c r="AA344" s="57">
        <f t="shared" si="480"/>
        <v>22724</v>
      </c>
      <c r="AB344" s="57">
        <f t="shared" si="480"/>
        <v>22724</v>
      </c>
      <c r="AC344" s="80"/>
      <c r="AD344" s="80"/>
      <c r="AE344" s="80"/>
      <c r="AF344" s="59">
        <f t="shared" si="465"/>
        <v>3168</v>
      </c>
      <c r="AH344" s="101"/>
      <c r="AP344" s="101"/>
      <c r="AQ344" s="101"/>
    </row>
    <row r="345" spans="1:43" ht="15.9" customHeight="1" x14ac:dyDescent="0.3">
      <c r="A345" s="468"/>
      <c r="B345" s="92" t="s">
        <v>499</v>
      </c>
      <c r="C345" s="107">
        <v>44578</v>
      </c>
      <c r="D345" s="95">
        <v>18700</v>
      </c>
      <c r="E345" s="108">
        <v>10</v>
      </c>
      <c r="F345" s="94"/>
      <c r="G345" s="86">
        <f t="shared" si="481"/>
        <v>18700</v>
      </c>
      <c r="H345" s="57">
        <f t="shared" si="482"/>
        <v>935</v>
      </c>
      <c r="I345" s="58">
        <v>0</v>
      </c>
      <c r="J345" s="100">
        <f t="shared" si="486"/>
        <v>48228</v>
      </c>
      <c r="K345" s="60">
        <f t="shared" si="483"/>
        <v>3651</v>
      </c>
      <c r="L345" s="86"/>
      <c r="M345" s="86">
        <f t="shared" si="487"/>
        <v>74</v>
      </c>
      <c r="N345" s="57">
        <v>0</v>
      </c>
      <c r="O345" s="57">
        <v>0</v>
      </c>
      <c r="P345" s="57">
        <v>0</v>
      </c>
      <c r="Q345" s="57">
        <v>0</v>
      </c>
      <c r="R345" s="57">
        <v>0</v>
      </c>
      <c r="S345" s="57">
        <v>0</v>
      </c>
      <c r="T345" s="57">
        <v>0</v>
      </c>
      <c r="U345" s="352">
        <f t="shared" si="484"/>
        <v>1776</v>
      </c>
      <c r="V345" s="57">
        <f t="shared" si="485"/>
        <v>1776</v>
      </c>
      <c r="W345" s="57"/>
      <c r="X345" s="57">
        <f t="shared" si="480"/>
        <v>22724</v>
      </c>
      <c r="Y345" s="57">
        <f t="shared" si="480"/>
        <v>22724</v>
      </c>
      <c r="Z345" s="57">
        <f t="shared" si="480"/>
        <v>22724</v>
      </c>
      <c r="AA345" s="57">
        <f t="shared" si="480"/>
        <v>22724</v>
      </c>
      <c r="AB345" s="57">
        <f t="shared" si="480"/>
        <v>22724</v>
      </c>
      <c r="AC345" s="80"/>
      <c r="AD345" s="80"/>
      <c r="AE345" s="80"/>
      <c r="AF345" s="59">
        <f t="shared" si="465"/>
        <v>16924</v>
      </c>
      <c r="AH345" s="101"/>
      <c r="AP345" s="101"/>
      <c r="AQ345" s="101"/>
    </row>
    <row r="346" spans="1:43" ht="15.9" customHeight="1" x14ac:dyDescent="0.3">
      <c r="A346" s="468"/>
      <c r="B346" s="92" t="s">
        <v>500</v>
      </c>
      <c r="C346" s="107">
        <v>44592</v>
      </c>
      <c r="D346" s="95">
        <v>12000</v>
      </c>
      <c r="E346" s="108">
        <v>10</v>
      </c>
      <c r="F346" s="94"/>
      <c r="G346" s="86">
        <f t="shared" si="481"/>
        <v>12000</v>
      </c>
      <c r="H346" s="57">
        <f t="shared" si="482"/>
        <v>600</v>
      </c>
      <c r="I346" s="58">
        <v>0</v>
      </c>
      <c r="J346" s="100">
        <f t="shared" si="486"/>
        <v>48242</v>
      </c>
      <c r="K346" s="60">
        <f t="shared" si="483"/>
        <v>3651</v>
      </c>
      <c r="L346" s="86"/>
      <c r="M346" s="86">
        <f t="shared" si="487"/>
        <v>60</v>
      </c>
      <c r="N346" s="57">
        <v>0</v>
      </c>
      <c r="O346" s="57">
        <v>0</v>
      </c>
      <c r="P346" s="57">
        <v>0</v>
      </c>
      <c r="Q346" s="57">
        <v>0</v>
      </c>
      <c r="R346" s="57">
        <v>0</v>
      </c>
      <c r="S346" s="57">
        <v>0</v>
      </c>
      <c r="T346" s="57">
        <v>0</v>
      </c>
      <c r="U346" s="352">
        <f t="shared" si="484"/>
        <v>1140</v>
      </c>
      <c r="V346" s="57">
        <f t="shared" si="485"/>
        <v>1140</v>
      </c>
      <c r="W346" s="57"/>
      <c r="X346" s="57">
        <f t="shared" si="480"/>
        <v>22724</v>
      </c>
      <c r="Y346" s="57">
        <f t="shared" si="480"/>
        <v>22724</v>
      </c>
      <c r="Z346" s="57">
        <f t="shared" si="480"/>
        <v>22724</v>
      </c>
      <c r="AA346" s="57">
        <f t="shared" si="480"/>
        <v>22724</v>
      </c>
      <c r="AB346" s="57">
        <f t="shared" si="480"/>
        <v>22724</v>
      </c>
      <c r="AC346" s="80"/>
      <c r="AD346" s="80"/>
      <c r="AE346" s="80"/>
      <c r="AF346" s="59">
        <f t="shared" si="465"/>
        <v>10860</v>
      </c>
      <c r="AH346" s="101"/>
      <c r="AP346" s="101"/>
      <c r="AQ346" s="101"/>
    </row>
    <row r="347" spans="1:43" ht="15.9" customHeight="1" x14ac:dyDescent="0.3">
      <c r="A347" s="468"/>
      <c r="B347" s="92" t="s">
        <v>501</v>
      </c>
      <c r="C347" s="107">
        <v>44616</v>
      </c>
      <c r="D347" s="95">
        <v>13800</v>
      </c>
      <c r="E347" s="108">
        <v>10</v>
      </c>
      <c r="F347" s="94"/>
      <c r="G347" s="86">
        <f t="shared" si="481"/>
        <v>13800</v>
      </c>
      <c r="H347" s="57">
        <f t="shared" si="482"/>
        <v>690</v>
      </c>
      <c r="I347" s="58">
        <v>0</v>
      </c>
      <c r="J347" s="100">
        <f t="shared" si="486"/>
        <v>48266</v>
      </c>
      <c r="K347" s="60">
        <f t="shared" si="483"/>
        <v>3651</v>
      </c>
      <c r="L347" s="86"/>
      <c r="M347" s="86">
        <f t="shared" si="487"/>
        <v>36</v>
      </c>
      <c r="N347" s="57">
        <v>0</v>
      </c>
      <c r="O347" s="57">
        <v>0</v>
      </c>
      <c r="P347" s="57">
        <v>0</v>
      </c>
      <c r="Q347" s="57">
        <v>0</v>
      </c>
      <c r="R347" s="57">
        <v>0</v>
      </c>
      <c r="S347" s="57">
        <v>0</v>
      </c>
      <c r="T347" s="57">
        <v>0</v>
      </c>
      <c r="U347" s="352">
        <f t="shared" si="484"/>
        <v>1311</v>
      </c>
      <c r="V347" s="57">
        <f t="shared" si="485"/>
        <v>1311</v>
      </c>
      <c r="W347" s="57"/>
      <c r="X347" s="57">
        <f t="shared" si="480"/>
        <v>22724</v>
      </c>
      <c r="Y347" s="57">
        <f t="shared" si="480"/>
        <v>22724</v>
      </c>
      <c r="Z347" s="57">
        <f t="shared" si="480"/>
        <v>22724</v>
      </c>
      <c r="AA347" s="57">
        <f t="shared" si="480"/>
        <v>22724</v>
      </c>
      <c r="AB347" s="57">
        <f t="shared" si="480"/>
        <v>22724</v>
      </c>
      <c r="AC347" s="80"/>
      <c r="AD347" s="80"/>
      <c r="AE347" s="80"/>
      <c r="AF347" s="59">
        <f t="shared" si="465"/>
        <v>12489</v>
      </c>
      <c r="AH347" s="101"/>
      <c r="AP347" s="101"/>
      <c r="AQ347" s="101"/>
    </row>
    <row r="348" spans="1:43" s="333" customFormat="1" ht="15.9" customHeight="1" x14ac:dyDescent="0.3">
      <c r="A348" s="468"/>
      <c r="B348" s="361" t="s">
        <v>517</v>
      </c>
      <c r="C348" s="403">
        <v>44653</v>
      </c>
      <c r="D348" s="404">
        <v>18400</v>
      </c>
      <c r="E348" s="405">
        <v>10</v>
      </c>
      <c r="F348" s="338"/>
      <c r="G348" s="406">
        <f t="shared" ref="G348:G369" si="488">D348-F348</f>
        <v>18400</v>
      </c>
      <c r="H348" s="327">
        <f t="shared" ref="H348:H369" si="489">ROUND(D348*5%,0)</f>
        <v>920</v>
      </c>
      <c r="I348" s="328">
        <v>0</v>
      </c>
      <c r="J348" s="366">
        <f t="shared" ref="J348:J360" si="490">+C348+E348*365</f>
        <v>48303</v>
      </c>
      <c r="K348" s="329">
        <f t="shared" ref="K348:K360" si="491">+J348-C348-I348+1</f>
        <v>3651</v>
      </c>
      <c r="L348" s="406"/>
      <c r="M348" s="406">
        <f>($V$3-C348)+1</f>
        <v>364</v>
      </c>
      <c r="N348" s="327">
        <v>0</v>
      </c>
      <c r="O348" s="327">
        <v>0</v>
      </c>
      <c r="P348" s="327">
        <v>0</v>
      </c>
      <c r="Q348" s="327">
        <v>0</v>
      </c>
      <c r="R348" s="327">
        <v>0</v>
      </c>
      <c r="S348" s="327">
        <v>0</v>
      </c>
      <c r="T348" s="327">
        <v>0</v>
      </c>
      <c r="U348" s="327"/>
      <c r="V348" s="327">
        <f>+ROUND(($G348-$H348)*$M348/$K348,0)</f>
        <v>1743</v>
      </c>
      <c r="W348" s="327"/>
      <c r="X348" s="327">
        <f t="shared" si="480"/>
        <v>22724</v>
      </c>
      <c r="Y348" s="327">
        <f t="shared" si="480"/>
        <v>22724</v>
      </c>
      <c r="Z348" s="327">
        <f t="shared" si="480"/>
        <v>22724</v>
      </c>
      <c r="AA348" s="327">
        <f t="shared" si="480"/>
        <v>22724</v>
      </c>
      <c r="AB348" s="327">
        <f t="shared" si="480"/>
        <v>22724</v>
      </c>
      <c r="AC348" s="330"/>
      <c r="AD348" s="330"/>
      <c r="AE348" s="330"/>
      <c r="AF348" s="331">
        <f t="shared" ref="AF348:AF360" si="492">+D348-F348-SUM(N348:U348)-L348</f>
        <v>18400</v>
      </c>
      <c r="AG348" s="332"/>
      <c r="AH348" s="334"/>
      <c r="AI348" s="332"/>
      <c r="AP348" s="334"/>
      <c r="AQ348" s="334"/>
    </row>
    <row r="349" spans="1:43" s="333" customFormat="1" ht="15.9" customHeight="1" x14ac:dyDescent="0.3">
      <c r="A349" s="468"/>
      <c r="B349" s="361" t="s">
        <v>518</v>
      </c>
      <c r="C349" s="403">
        <v>44657</v>
      </c>
      <c r="D349" s="407">
        <v>22600</v>
      </c>
      <c r="E349" s="405">
        <v>10</v>
      </c>
      <c r="F349" s="338"/>
      <c r="G349" s="406">
        <f t="shared" si="488"/>
        <v>22600</v>
      </c>
      <c r="H349" s="327">
        <f t="shared" si="489"/>
        <v>1130</v>
      </c>
      <c r="I349" s="328">
        <v>0</v>
      </c>
      <c r="J349" s="366">
        <f t="shared" si="490"/>
        <v>48307</v>
      </c>
      <c r="K349" s="329">
        <f t="shared" si="491"/>
        <v>3651</v>
      </c>
      <c r="L349" s="406"/>
      <c r="M349" s="406">
        <f t="shared" ref="M349:M369" si="493">($V$3-C349)+1</f>
        <v>360</v>
      </c>
      <c r="N349" s="327">
        <v>0</v>
      </c>
      <c r="O349" s="327">
        <v>0</v>
      </c>
      <c r="P349" s="327">
        <v>0</v>
      </c>
      <c r="Q349" s="327">
        <v>0</v>
      </c>
      <c r="R349" s="327">
        <v>0</v>
      </c>
      <c r="S349" s="327">
        <v>0</v>
      </c>
      <c r="T349" s="327">
        <v>0</v>
      </c>
      <c r="U349" s="327"/>
      <c r="V349" s="327">
        <f t="shared" ref="V349:V369" si="494">+ROUND(($G349-$H349)*$M349/$K349,0)</f>
        <v>2117</v>
      </c>
      <c r="W349" s="327"/>
      <c r="X349" s="327">
        <f t="shared" si="480"/>
        <v>22724</v>
      </c>
      <c r="Y349" s="327">
        <f t="shared" si="480"/>
        <v>22724</v>
      </c>
      <c r="Z349" s="327">
        <f t="shared" si="480"/>
        <v>22724</v>
      </c>
      <c r="AA349" s="327">
        <f t="shared" si="480"/>
        <v>22724</v>
      </c>
      <c r="AB349" s="327">
        <f t="shared" si="480"/>
        <v>22724</v>
      </c>
      <c r="AC349" s="330"/>
      <c r="AD349" s="330"/>
      <c r="AE349" s="330"/>
      <c r="AF349" s="331">
        <f t="shared" si="492"/>
        <v>22600</v>
      </c>
      <c r="AG349" s="332"/>
      <c r="AH349" s="334"/>
      <c r="AI349" s="332"/>
      <c r="AP349" s="334"/>
      <c r="AQ349" s="334"/>
    </row>
    <row r="350" spans="1:43" s="333" customFormat="1" ht="15.9" customHeight="1" x14ac:dyDescent="0.3">
      <c r="A350" s="468"/>
      <c r="B350" s="361" t="s">
        <v>519</v>
      </c>
      <c r="C350" s="403">
        <v>44660</v>
      </c>
      <c r="D350" s="407">
        <v>18800</v>
      </c>
      <c r="E350" s="405">
        <v>10</v>
      </c>
      <c r="F350" s="338"/>
      <c r="G350" s="406">
        <f t="shared" si="488"/>
        <v>18800</v>
      </c>
      <c r="H350" s="327">
        <f t="shared" si="489"/>
        <v>940</v>
      </c>
      <c r="I350" s="328">
        <v>0</v>
      </c>
      <c r="J350" s="366">
        <f t="shared" si="490"/>
        <v>48310</v>
      </c>
      <c r="K350" s="329">
        <f t="shared" si="491"/>
        <v>3651</v>
      </c>
      <c r="L350" s="406"/>
      <c r="M350" s="406">
        <f t="shared" si="493"/>
        <v>357</v>
      </c>
      <c r="N350" s="327">
        <v>0</v>
      </c>
      <c r="O350" s="327">
        <v>0</v>
      </c>
      <c r="P350" s="327">
        <v>0</v>
      </c>
      <c r="Q350" s="327">
        <v>0</v>
      </c>
      <c r="R350" s="327">
        <v>0</v>
      </c>
      <c r="S350" s="327">
        <v>0</v>
      </c>
      <c r="T350" s="327">
        <v>0</v>
      </c>
      <c r="U350" s="327"/>
      <c r="V350" s="327">
        <f t="shared" si="494"/>
        <v>1746</v>
      </c>
      <c r="W350" s="327"/>
      <c r="X350" s="327">
        <f t="shared" ref="X350:AB365" si="495">+ROUND(($G$340-$H$340)*365/$K$340,0)</f>
        <v>22724</v>
      </c>
      <c r="Y350" s="327">
        <f t="shared" si="495"/>
        <v>22724</v>
      </c>
      <c r="Z350" s="327">
        <f t="shared" si="495"/>
        <v>22724</v>
      </c>
      <c r="AA350" s="327">
        <f t="shared" si="495"/>
        <v>22724</v>
      </c>
      <c r="AB350" s="327">
        <f t="shared" si="495"/>
        <v>22724</v>
      </c>
      <c r="AC350" s="330"/>
      <c r="AD350" s="330"/>
      <c r="AE350" s="330"/>
      <c r="AF350" s="331">
        <f t="shared" si="492"/>
        <v>18800</v>
      </c>
      <c r="AG350" s="332"/>
      <c r="AH350" s="334"/>
      <c r="AI350" s="332"/>
      <c r="AP350" s="334"/>
      <c r="AQ350" s="334"/>
    </row>
    <row r="351" spans="1:43" s="333" customFormat="1" ht="15.9" customHeight="1" x14ac:dyDescent="0.3">
      <c r="A351" s="468"/>
      <c r="B351" s="361" t="s">
        <v>518</v>
      </c>
      <c r="C351" s="403">
        <v>44665</v>
      </c>
      <c r="D351" s="407">
        <v>22600</v>
      </c>
      <c r="E351" s="405">
        <v>10</v>
      </c>
      <c r="F351" s="338"/>
      <c r="G351" s="406">
        <f t="shared" si="488"/>
        <v>22600</v>
      </c>
      <c r="H351" s="327">
        <f t="shared" si="489"/>
        <v>1130</v>
      </c>
      <c r="I351" s="328">
        <v>0</v>
      </c>
      <c r="J351" s="366">
        <f t="shared" si="490"/>
        <v>48315</v>
      </c>
      <c r="K351" s="329">
        <f t="shared" si="491"/>
        <v>3651</v>
      </c>
      <c r="L351" s="406"/>
      <c r="M351" s="406">
        <f t="shared" si="493"/>
        <v>352</v>
      </c>
      <c r="N351" s="327">
        <v>0</v>
      </c>
      <c r="O351" s="327">
        <v>0</v>
      </c>
      <c r="P351" s="327">
        <v>0</v>
      </c>
      <c r="Q351" s="327">
        <v>0</v>
      </c>
      <c r="R351" s="327">
        <v>0</v>
      </c>
      <c r="S351" s="327">
        <v>0</v>
      </c>
      <c r="T351" s="327">
        <v>0</v>
      </c>
      <c r="U351" s="327"/>
      <c r="V351" s="327">
        <f t="shared" si="494"/>
        <v>2070</v>
      </c>
      <c r="W351" s="327"/>
      <c r="X351" s="327">
        <f t="shared" si="495"/>
        <v>22724</v>
      </c>
      <c r="Y351" s="327">
        <f t="shared" si="495"/>
        <v>22724</v>
      </c>
      <c r="Z351" s="327">
        <f t="shared" si="495"/>
        <v>22724</v>
      </c>
      <c r="AA351" s="327">
        <f t="shared" si="495"/>
        <v>22724</v>
      </c>
      <c r="AB351" s="327">
        <f t="shared" si="495"/>
        <v>22724</v>
      </c>
      <c r="AC351" s="330"/>
      <c r="AD351" s="330"/>
      <c r="AE351" s="330"/>
      <c r="AF351" s="331">
        <f t="shared" si="492"/>
        <v>22600</v>
      </c>
      <c r="AG351" s="332"/>
      <c r="AH351" s="334"/>
      <c r="AI351" s="332"/>
      <c r="AP351" s="334"/>
      <c r="AQ351" s="334"/>
    </row>
    <row r="352" spans="1:43" s="333" customFormat="1" ht="15.9" customHeight="1" x14ac:dyDescent="0.3">
      <c r="A352" s="468"/>
      <c r="B352" s="361" t="s">
        <v>520</v>
      </c>
      <c r="C352" s="403">
        <v>44690</v>
      </c>
      <c r="D352" s="407">
        <v>21694.93</v>
      </c>
      <c r="E352" s="405">
        <v>10</v>
      </c>
      <c r="F352" s="338"/>
      <c r="G352" s="406">
        <f t="shared" si="488"/>
        <v>21694.93</v>
      </c>
      <c r="H352" s="327">
        <f t="shared" si="489"/>
        <v>1085</v>
      </c>
      <c r="I352" s="328">
        <v>0</v>
      </c>
      <c r="J352" s="366">
        <f t="shared" si="490"/>
        <v>48340</v>
      </c>
      <c r="K352" s="329">
        <f t="shared" si="491"/>
        <v>3651</v>
      </c>
      <c r="L352" s="406"/>
      <c r="M352" s="406">
        <f t="shared" si="493"/>
        <v>327</v>
      </c>
      <c r="N352" s="327">
        <v>0</v>
      </c>
      <c r="O352" s="327">
        <v>0</v>
      </c>
      <c r="P352" s="327">
        <v>0</v>
      </c>
      <c r="Q352" s="327">
        <v>0</v>
      </c>
      <c r="R352" s="327">
        <v>0</v>
      </c>
      <c r="S352" s="327">
        <v>0</v>
      </c>
      <c r="T352" s="327">
        <v>0</v>
      </c>
      <c r="U352" s="327"/>
      <c r="V352" s="327">
        <f t="shared" si="494"/>
        <v>1846</v>
      </c>
      <c r="W352" s="327"/>
      <c r="X352" s="327">
        <f t="shared" si="495"/>
        <v>22724</v>
      </c>
      <c r="Y352" s="327">
        <f t="shared" si="495"/>
        <v>22724</v>
      </c>
      <c r="Z352" s="327">
        <f t="shared" si="495"/>
        <v>22724</v>
      </c>
      <c r="AA352" s="327">
        <f t="shared" si="495"/>
        <v>22724</v>
      </c>
      <c r="AB352" s="327">
        <f t="shared" si="495"/>
        <v>22724</v>
      </c>
      <c r="AC352" s="330"/>
      <c r="AD352" s="330"/>
      <c r="AE352" s="330"/>
      <c r="AF352" s="331">
        <f t="shared" si="492"/>
        <v>21694.93</v>
      </c>
      <c r="AG352" s="332"/>
      <c r="AH352" s="334"/>
      <c r="AI352" s="332"/>
      <c r="AP352" s="334"/>
      <c r="AQ352" s="334"/>
    </row>
    <row r="353" spans="1:43" s="333" customFormat="1" ht="15.9" customHeight="1" x14ac:dyDescent="0.3">
      <c r="A353" s="468"/>
      <c r="B353" s="361" t="s">
        <v>521</v>
      </c>
      <c r="C353" s="403">
        <v>44711</v>
      </c>
      <c r="D353" s="407">
        <v>62881.35</v>
      </c>
      <c r="E353" s="405">
        <v>10</v>
      </c>
      <c r="F353" s="338"/>
      <c r="G353" s="406">
        <f t="shared" si="488"/>
        <v>62881.35</v>
      </c>
      <c r="H353" s="327">
        <f t="shared" si="489"/>
        <v>3144</v>
      </c>
      <c r="I353" s="328">
        <v>0</v>
      </c>
      <c r="J353" s="366">
        <f t="shared" si="490"/>
        <v>48361</v>
      </c>
      <c r="K353" s="329">
        <f t="shared" si="491"/>
        <v>3651</v>
      </c>
      <c r="L353" s="406"/>
      <c r="M353" s="406">
        <f t="shared" si="493"/>
        <v>306</v>
      </c>
      <c r="N353" s="327">
        <v>0</v>
      </c>
      <c r="O353" s="327">
        <v>0</v>
      </c>
      <c r="P353" s="327">
        <v>0</v>
      </c>
      <c r="Q353" s="327">
        <v>0</v>
      </c>
      <c r="R353" s="327">
        <v>0</v>
      </c>
      <c r="S353" s="327">
        <v>0</v>
      </c>
      <c r="T353" s="327">
        <v>0</v>
      </c>
      <c r="U353" s="327"/>
      <c r="V353" s="327">
        <f t="shared" si="494"/>
        <v>5007</v>
      </c>
      <c r="W353" s="327"/>
      <c r="X353" s="327">
        <f t="shared" si="495"/>
        <v>22724</v>
      </c>
      <c r="Y353" s="327">
        <f t="shared" si="495"/>
        <v>22724</v>
      </c>
      <c r="Z353" s="327">
        <f t="shared" si="495"/>
        <v>22724</v>
      </c>
      <c r="AA353" s="327">
        <f t="shared" si="495"/>
        <v>22724</v>
      </c>
      <c r="AB353" s="327">
        <f t="shared" si="495"/>
        <v>22724</v>
      </c>
      <c r="AC353" s="330"/>
      <c r="AD353" s="330"/>
      <c r="AE353" s="330"/>
      <c r="AF353" s="331">
        <f t="shared" si="492"/>
        <v>62881.35</v>
      </c>
      <c r="AG353" s="332"/>
      <c r="AH353" s="334"/>
      <c r="AI353" s="332"/>
      <c r="AP353" s="334"/>
      <c r="AQ353" s="334"/>
    </row>
    <row r="354" spans="1:43" s="333" customFormat="1" ht="15.9" customHeight="1" x14ac:dyDescent="0.3">
      <c r="A354" s="468"/>
      <c r="B354" s="361" t="s">
        <v>522</v>
      </c>
      <c r="C354" s="403">
        <v>44725</v>
      </c>
      <c r="D354" s="407">
        <v>42900</v>
      </c>
      <c r="E354" s="405">
        <v>10</v>
      </c>
      <c r="F354" s="338"/>
      <c r="G354" s="406">
        <f t="shared" si="488"/>
        <v>42900</v>
      </c>
      <c r="H354" s="327">
        <f t="shared" si="489"/>
        <v>2145</v>
      </c>
      <c r="I354" s="328">
        <v>0</v>
      </c>
      <c r="J354" s="366">
        <f t="shared" si="490"/>
        <v>48375</v>
      </c>
      <c r="K354" s="329">
        <f t="shared" si="491"/>
        <v>3651</v>
      </c>
      <c r="L354" s="406"/>
      <c r="M354" s="406">
        <f t="shared" si="493"/>
        <v>292</v>
      </c>
      <c r="N354" s="327">
        <v>0</v>
      </c>
      <c r="O354" s="327">
        <v>0</v>
      </c>
      <c r="P354" s="327">
        <v>0</v>
      </c>
      <c r="Q354" s="327">
        <v>0</v>
      </c>
      <c r="R354" s="327">
        <v>0</v>
      </c>
      <c r="S354" s="327">
        <v>0</v>
      </c>
      <c r="T354" s="327">
        <v>0</v>
      </c>
      <c r="U354" s="327"/>
      <c r="V354" s="327">
        <f t="shared" si="494"/>
        <v>3260</v>
      </c>
      <c r="W354" s="327"/>
      <c r="X354" s="327">
        <f t="shared" si="495"/>
        <v>22724</v>
      </c>
      <c r="Y354" s="327">
        <f t="shared" si="495"/>
        <v>22724</v>
      </c>
      <c r="Z354" s="327">
        <f t="shared" si="495"/>
        <v>22724</v>
      </c>
      <c r="AA354" s="327">
        <f t="shared" si="495"/>
        <v>22724</v>
      </c>
      <c r="AB354" s="327">
        <f t="shared" si="495"/>
        <v>22724</v>
      </c>
      <c r="AC354" s="330"/>
      <c r="AD354" s="330"/>
      <c r="AE354" s="330"/>
      <c r="AF354" s="331">
        <f t="shared" si="492"/>
        <v>42900</v>
      </c>
      <c r="AG354" s="332"/>
      <c r="AH354" s="334"/>
      <c r="AI354" s="332"/>
      <c r="AP354" s="334"/>
      <c r="AQ354" s="334"/>
    </row>
    <row r="355" spans="1:43" s="333" customFormat="1" ht="15.9" customHeight="1" x14ac:dyDescent="0.3">
      <c r="A355" s="468"/>
      <c r="B355" s="361" t="s">
        <v>523</v>
      </c>
      <c r="C355" s="403">
        <v>44745</v>
      </c>
      <c r="D355" s="407">
        <v>19000</v>
      </c>
      <c r="E355" s="405">
        <v>10</v>
      </c>
      <c r="F355" s="338"/>
      <c r="G355" s="406">
        <f t="shared" si="488"/>
        <v>19000</v>
      </c>
      <c r="H355" s="327">
        <f t="shared" si="489"/>
        <v>950</v>
      </c>
      <c r="I355" s="328">
        <v>0</v>
      </c>
      <c r="J355" s="366">
        <f t="shared" si="490"/>
        <v>48395</v>
      </c>
      <c r="K355" s="329">
        <f t="shared" si="491"/>
        <v>3651</v>
      </c>
      <c r="L355" s="406"/>
      <c r="M355" s="406">
        <f t="shared" si="493"/>
        <v>272</v>
      </c>
      <c r="N355" s="327">
        <v>0</v>
      </c>
      <c r="O355" s="327">
        <v>0</v>
      </c>
      <c r="P355" s="327">
        <v>0</v>
      </c>
      <c r="Q355" s="327">
        <v>0</v>
      </c>
      <c r="R355" s="327">
        <v>0</v>
      </c>
      <c r="S355" s="327">
        <v>0</v>
      </c>
      <c r="T355" s="327">
        <v>0</v>
      </c>
      <c r="U355" s="327"/>
      <c r="V355" s="327">
        <f t="shared" si="494"/>
        <v>1345</v>
      </c>
      <c r="W355" s="327"/>
      <c r="X355" s="327">
        <f t="shared" si="495"/>
        <v>22724</v>
      </c>
      <c r="Y355" s="327">
        <f t="shared" si="495"/>
        <v>22724</v>
      </c>
      <c r="Z355" s="327">
        <f t="shared" si="495"/>
        <v>22724</v>
      </c>
      <c r="AA355" s="327">
        <f t="shared" si="495"/>
        <v>22724</v>
      </c>
      <c r="AB355" s="327">
        <f t="shared" si="495"/>
        <v>22724</v>
      </c>
      <c r="AC355" s="330"/>
      <c r="AD355" s="330"/>
      <c r="AE355" s="330"/>
      <c r="AF355" s="331">
        <f t="shared" si="492"/>
        <v>19000</v>
      </c>
      <c r="AG355" s="332"/>
      <c r="AH355" s="334"/>
      <c r="AI355" s="332"/>
      <c r="AP355" s="334"/>
      <c r="AQ355" s="334"/>
    </row>
    <row r="356" spans="1:43" s="333" customFormat="1" ht="15.9" customHeight="1" x14ac:dyDescent="0.3">
      <c r="A356" s="468"/>
      <c r="B356" s="361" t="s">
        <v>524</v>
      </c>
      <c r="C356" s="403">
        <v>44756</v>
      </c>
      <c r="D356" s="407">
        <v>32700</v>
      </c>
      <c r="E356" s="405">
        <v>10</v>
      </c>
      <c r="F356" s="338"/>
      <c r="G356" s="406">
        <f t="shared" si="488"/>
        <v>32700</v>
      </c>
      <c r="H356" s="327">
        <f t="shared" si="489"/>
        <v>1635</v>
      </c>
      <c r="I356" s="328">
        <v>0</v>
      </c>
      <c r="J356" s="366">
        <f t="shared" si="490"/>
        <v>48406</v>
      </c>
      <c r="K356" s="329">
        <f t="shared" si="491"/>
        <v>3651</v>
      </c>
      <c r="L356" s="406"/>
      <c r="M356" s="406">
        <f t="shared" si="493"/>
        <v>261</v>
      </c>
      <c r="N356" s="327">
        <v>0</v>
      </c>
      <c r="O356" s="327">
        <v>0</v>
      </c>
      <c r="P356" s="327">
        <v>0</v>
      </c>
      <c r="Q356" s="327">
        <v>0</v>
      </c>
      <c r="R356" s="327">
        <v>0</v>
      </c>
      <c r="S356" s="327">
        <v>0</v>
      </c>
      <c r="T356" s="327">
        <v>0</v>
      </c>
      <c r="U356" s="327"/>
      <c r="V356" s="327">
        <f t="shared" si="494"/>
        <v>2221</v>
      </c>
      <c r="W356" s="327"/>
      <c r="X356" s="327">
        <f t="shared" si="495"/>
        <v>22724</v>
      </c>
      <c r="Y356" s="327">
        <f t="shared" si="495"/>
        <v>22724</v>
      </c>
      <c r="Z356" s="327">
        <f t="shared" si="495"/>
        <v>22724</v>
      </c>
      <c r="AA356" s="327">
        <f t="shared" si="495"/>
        <v>22724</v>
      </c>
      <c r="AB356" s="327">
        <f t="shared" si="495"/>
        <v>22724</v>
      </c>
      <c r="AC356" s="330"/>
      <c r="AD356" s="330"/>
      <c r="AE356" s="330"/>
      <c r="AF356" s="331">
        <f t="shared" si="492"/>
        <v>32700</v>
      </c>
      <c r="AG356" s="332"/>
      <c r="AH356" s="334"/>
      <c r="AI356" s="332"/>
      <c r="AP356" s="334"/>
      <c r="AQ356" s="334"/>
    </row>
    <row r="357" spans="1:43" s="333" customFormat="1" ht="15.9" customHeight="1" x14ac:dyDescent="0.3">
      <c r="A357" s="468"/>
      <c r="B357" s="361" t="s">
        <v>525</v>
      </c>
      <c r="C357" s="403">
        <v>44763</v>
      </c>
      <c r="D357" s="407">
        <v>11170</v>
      </c>
      <c r="E357" s="405">
        <v>10</v>
      </c>
      <c r="F357" s="338"/>
      <c r="G357" s="406">
        <f t="shared" si="488"/>
        <v>11170</v>
      </c>
      <c r="H357" s="327">
        <f t="shared" si="489"/>
        <v>559</v>
      </c>
      <c r="I357" s="328">
        <v>0</v>
      </c>
      <c r="J357" s="366">
        <f t="shared" si="490"/>
        <v>48413</v>
      </c>
      <c r="K357" s="329">
        <f t="shared" si="491"/>
        <v>3651</v>
      </c>
      <c r="L357" s="406"/>
      <c r="M357" s="406">
        <f t="shared" si="493"/>
        <v>254</v>
      </c>
      <c r="N357" s="327">
        <v>0</v>
      </c>
      <c r="O357" s="327">
        <v>0</v>
      </c>
      <c r="P357" s="327">
        <v>0</v>
      </c>
      <c r="Q357" s="327">
        <v>0</v>
      </c>
      <c r="R357" s="327">
        <v>0</v>
      </c>
      <c r="S357" s="327">
        <v>0</v>
      </c>
      <c r="T357" s="327">
        <v>0</v>
      </c>
      <c r="U357" s="327"/>
      <c r="V357" s="327">
        <f t="shared" si="494"/>
        <v>738</v>
      </c>
      <c r="W357" s="327"/>
      <c r="X357" s="327">
        <f t="shared" si="495"/>
        <v>22724</v>
      </c>
      <c r="Y357" s="327">
        <f t="shared" si="495"/>
        <v>22724</v>
      </c>
      <c r="Z357" s="327">
        <f t="shared" si="495"/>
        <v>22724</v>
      </c>
      <c r="AA357" s="327">
        <f t="shared" si="495"/>
        <v>22724</v>
      </c>
      <c r="AB357" s="327">
        <f t="shared" si="495"/>
        <v>22724</v>
      </c>
      <c r="AC357" s="330"/>
      <c r="AD357" s="330"/>
      <c r="AE357" s="330"/>
      <c r="AF357" s="331">
        <f t="shared" si="492"/>
        <v>11170</v>
      </c>
      <c r="AG357" s="332"/>
      <c r="AH357" s="334"/>
      <c r="AI357" s="332"/>
      <c r="AP357" s="334"/>
      <c r="AQ357" s="334"/>
    </row>
    <row r="358" spans="1:43" s="333" customFormat="1" ht="15.9" customHeight="1" x14ac:dyDescent="0.3">
      <c r="A358" s="468"/>
      <c r="B358" s="361" t="s">
        <v>526</v>
      </c>
      <c r="C358" s="403">
        <v>44772</v>
      </c>
      <c r="D358" s="407">
        <v>62900</v>
      </c>
      <c r="E358" s="405">
        <v>10</v>
      </c>
      <c r="F358" s="338"/>
      <c r="G358" s="406">
        <f t="shared" si="488"/>
        <v>62900</v>
      </c>
      <c r="H358" s="327">
        <f t="shared" si="489"/>
        <v>3145</v>
      </c>
      <c r="I358" s="328">
        <v>0</v>
      </c>
      <c r="J358" s="366">
        <f t="shared" si="490"/>
        <v>48422</v>
      </c>
      <c r="K358" s="329">
        <f t="shared" si="491"/>
        <v>3651</v>
      </c>
      <c r="L358" s="406"/>
      <c r="M358" s="406">
        <f t="shared" si="493"/>
        <v>245</v>
      </c>
      <c r="N358" s="327">
        <v>0</v>
      </c>
      <c r="O358" s="327">
        <v>0</v>
      </c>
      <c r="P358" s="327">
        <v>0</v>
      </c>
      <c r="Q358" s="327">
        <v>0</v>
      </c>
      <c r="R358" s="327">
        <v>0</v>
      </c>
      <c r="S358" s="327">
        <v>0</v>
      </c>
      <c r="T358" s="327">
        <v>0</v>
      </c>
      <c r="U358" s="327"/>
      <c r="V358" s="327">
        <f t="shared" si="494"/>
        <v>4010</v>
      </c>
      <c r="W358" s="327"/>
      <c r="X358" s="327">
        <f t="shared" si="495"/>
        <v>22724</v>
      </c>
      <c r="Y358" s="327">
        <f t="shared" si="495"/>
        <v>22724</v>
      </c>
      <c r="Z358" s="327">
        <f t="shared" si="495"/>
        <v>22724</v>
      </c>
      <c r="AA358" s="327">
        <f t="shared" si="495"/>
        <v>22724</v>
      </c>
      <c r="AB358" s="327">
        <f t="shared" si="495"/>
        <v>22724</v>
      </c>
      <c r="AC358" s="330"/>
      <c r="AD358" s="330"/>
      <c r="AE358" s="330"/>
      <c r="AF358" s="331">
        <f t="shared" si="492"/>
        <v>62900</v>
      </c>
      <c r="AG358" s="332"/>
      <c r="AH358" s="334"/>
      <c r="AI358" s="332"/>
      <c r="AP358" s="334"/>
      <c r="AQ358" s="334"/>
    </row>
    <row r="359" spans="1:43" s="333" customFormat="1" ht="15.9" customHeight="1" x14ac:dyDescent="0.3">
      <c r="A359" s="468"/>
      <c r="B359" s="361" t="s">
        <v>527</v>
      </c>
      <c r="C359" s="403">
        <v>44802</v>
      </c>
      <c r="D359" s="407">
        <v>15400</v>
      </c>
      <c r="E359" s="405">
        <v>10</v>
      </c>
      <c r="F359" s="338"/>
      <c r="G359" s="406">
        <f t="shared" si="488"/>
        <v>15400</v>
      </c>
      <c r="H359" s="327">
        <f t="shared" si="489"/>
        <v>770</v>
      </c>
      <c r="I359" s="328">
        <v>0</v>
      </c>
      <c r="J359" s="366">
        <f t="shared" si="490"/>
        <v>48452</v>
      </c>
      <c r="K359" s="329">
        <f t="shared" si="491"/>
        <v>3651</v>
      </c>
      <c r="L359" s="406"/>
      <c r="M359" s="406">
        <f t="shared" si="493"/>
        <v>215</v>
      </c>
      <c r="N359" s="327">
        <v>0</v>
      </c>
      <c r="O359" s="327">
        <v>0</v>
      </c>
      <c r="P359" s="327">
        <v>0</v>
      </c>
      <c r="Q359" s="327">
        <v>0</v>
      </c>
      <c r="R359" s="327">
        <v>0</v>
      </c>
      <c r="S359" s="327">
        <v>0</v>
      </c>
      <c r="T359" s="327">
        <v>0</v>
      </c>
      <c r="U359" s="327"/>
      <c r="V359" s="327">
        <f t="shared" si="494"/>
        <v>862</v>
      </c>
      <c r="W359" s="327"/>
      <c r="X359" s="327">
        <f t="shared" si="495"/>
        <v>22724</v>
      </c>
      <c r="Y359" s="327">
        <f t="shared" si="495"/>
        <v>22724</v>
      </c>
      <c r="Z359" s="327">
        <f t="shared" si="495"/>
        <v>22724</v>
      </c>
      <c r="AA359" s="327">
        <f t="shared" si="495"/>
        <v>22724</v>
      </c>
      <c r="AB359" s="327">
        <f t="shared" si="495"/>
        <v>22724</v>
      </c>
      <c r="AC359" s="330"/>
      <c r="AD359" s="330"/>
      <c r="AE359" s="330"/>
      <c r="AF359" s="331">
        <f t="shared" si="492"/>
        <v>15400</v>
      </c>
      <c r="AG359" s="332"/>
      <c r="AH359" s="334"/>
      <c r="AI359" s="332"/>
      <c r="AP359" s="334"/>
      <c r="AQ359" s="334"/>
    </row>
    <row r="360" spans="1:43" s="333" customFormat="1" ht="15.9" customHeight="1" x14ac:dyDescent="0.3">
      <c r="A360" s="468"/>
      <c r="B360" s="361" t="s">
        <v>528</v>
      </c>
      <c r="C360" s="403">
        <v>44828</v>
      </c>
      <c r="D360" s="407">
        <v>13100</v>
      </c>
      <c r="E360" s="405">
        <v>10</v>
      </c>
      <c r="F360" s="338"/>
      <c r="G360" s="406">
        <f t="shared" si="488"/>
        <v>13100</v>
      </c>
      <c r="H360" s="327">
        <f t="shared" si="489"/>
        <v>655</v>
      </c>
      <c r="I360" s="328">
        <v>0</v>
      </c>
      <c r="J360" s="366">
        <f t="shared" si="490"/>
        <v>48478</v>
      </c>
      <c r="K360" s="329">
        <f t="shared" si="491"/>
        <v>3651</v>
      </c>
      <c r="L360" s="406"/>
      <c r="M360" s="406">
        <f t="shared" si="493"/>
        <v>189</v>
      </c>
      <c r="N360" s="327">
        <v>0</v>
      </c>
      <c r="O360" s="327">
        <v>0</v>
      </c>
      <c r="P360" s="327">
        <v>0</v>
      </c>
      <c r="Q360" s="327">
        <v>0</v>
      </c>
      <c r="R360" s="327">
        <v>0</v>
      </c>
      <c r="S360" s="327">
        <v>0</v>
      </c>
      <c r="T360" s="327">
        <v>0</v>
      </c>
      <c r="U360" s="327"/>
      <c r="V360" s="327">
        <f t="shared" si="494"/>
        <v>644</v>
      </c>
      <c r="W360" s="327"/>
      <c r="X360" s="327">
        <f t="shared" si="495"/>
        <v>22724</v>
      </c>
      <c r="Y360" s="327">
        <f t="shared" si="495"/>
        <v>22724</v>
      </c>
      <c r="Z360" s="327">
        <f t="shared" si="495"/>
        <v>22724</v>
      </c>
      <c r="AA360" s="327">
        <f t="shared" si="495"/>
        <v>22724</v>
      </c>
      <c r="AB360" s="327">
        <f t="shared" si="495"/>
        <v>22724</v>
      </c>
      <c r="AC360" s="330"/>
      <c r="AD360" s="330"/>
      <c r="AE360" s="330"/>
      <c r="AF360" s="331">
        <f t="shared" si="492"/>
        <v>13100</v>
      </c>
      <c r="AG360" s="332"/>
      <c r="AH360" s="334"/>
      <c r="AI360" s="332"/>
      <c r="AP360" s="334"/>
      <c r="AQ360" s="334"/>
    </row>
    <row r="361" spans="1:43" s="333" customFormat="1" ht="15.9" customHeight="1" x14ac:dyDescent="0.3">
      <c r="A361" s="468"/>
      <c r="B361" s="361" t="s">
        <v>535</v>
      </c>
      <c r="C361" s="403">
        <v>44847</v>
      </c>
      <c r="D361" s="407">
        <v>77800</v>
      </c>
      <c r="E361" s="405">
        <v>10</v>
      </c>
      <c r="F361" s="338"/>
      <c r="G361" s="406">
        <f t="shared" si="488"/>
        <v>77800</v>
      </c>
      <c r="H361" s="327">
        <f t="shared" si="489"/>
        <v>3890</v>
      </c>
      <c r="I361" s="328">
        <v>0</v>
      </c>
      <c r="J361" s="366">
        <f t="shared" ref="J361" si="496">+C361+E361*365</f>
        <v>48497</v>
      </c>
      <c r="K361" s="329">
        <f t="shared" ref="K361" si="497">+J361-C361-I361+1</f>
        <v>3651</v>
      </c>
      <c r="L361" s="406"/>
      <c r="M361" s="406">
        <f t="shared" si="493"/>
        <v>170</v>
      </c>
      <c r="N361" s="327">
        <v>0</v>
      </c>
      <c r="O361" s="327">
        <v>0</v>
      </c>
      <c r="P361" s="327">
        <v>0</v>
      </c>
      <c r="Q361" s="327">
        <v>0</v>
      </c>
      <c r="R361" s="327">
        <v>0</v>
      </c>
      <c r="S361" s="327">
        <v>0</v>
      </c>
      <c r="T361" s="327">
        <v>0</v>
      </c>
      <c r="U361" s="327"/>
      <c r="V361" s="327">
        <f t="shared" si="494"/>
        <v>3441</v>
      </c>
      <c r="W361" s="327"/>
      <c r="X361" s="327">
        <f t="shared" si="495"/>
        <v>22724</v>
      </c>
      <c r="Y361" s="327">
        <f t="shared" si="495"/>
        <v>22724</v>
      </c>
      <c r="Z361" s="327">
        <f t="shared" si="495"/>
        <v>22724</v>
      </c>
      <c r="AA361" s="327">
        <f t="shared" si="495"/>
        <v>22724</v>
      </c>
      <c r="AB361" s="327">
        <f t="shared" si="495"/>
        <v>22724</v>
      </c>
      <c r="AC361" s="330"/>
      <c r="AD361" s="330"/>
      <c r="AE361" s="330"/>
      <c r="AF361" s="331">
        <f t="shared" ref="AF361" si="498">+D361-F361-SUM(N361:U361)-L361</f>
        <v>77800</v>
      </c>
      <c r="AG361" s="332"/>
      <c r="AH361" s="334"/>
      <c r="AI361" s="332"/>
      <c r="AP361" s="334"/>
      <c r="AQ361" s="334"/>
    </row>
    <row r="362" spans="1:43" s="333" customFormat="1" ht="15.9" customHeight="1" x14ac:dyDescent="0.3">
      <c r="A362" s="468"/>
      <c r="B362" s="361" t="s">
        <v>536</v>
      </c>
      <c r="C362" s="403">
        <v>44851</v>
      </c>
      <c r="D362" s="407">
        <v>9000</v>
      </c>
      <c r="E362" s="405">
        <v>10</v>
      </c>
      <c r="F362" s="338"/>
      <c r="G362" s="406">
        <f t="shared" si="488"/>
        <v>9000</v>
      </c>
      <c r="H362" s="327">
        <f t="shared" si="489"/>
        <v>450</v>
      </c>
      <c r="I362" s="328">
        <v>0</v>
      </c>
      <c r="J362" s="366">
        <f t="shared" ref="J362:J369" si="499">+C362+E362*365</f>
        <v>48501</v>
      </c>
      <c r="K362" s="329">
        <f t="shared" ref="K362:K369" si="500">+J362-C362-I362+1</f>
        <v>3651</v>
      </c>
      <c r="L362" s="406"/>
      <c r="M362" s="406">
        <f t="shared" si="493"/>
        <v>166</v>
      </c>
      <c r="N362" s="327">
        <v>0</v>
      </c>
      <c r="O362" s="327">
        <v>0</v>
      </c>
      <c r="P362" s="327">
        <v>0</v>
      </c>
      <c r="Q362" s="327">
        <v>0</v>
      </c>
      <c r="R362" s="327">
        <v>0</v>
      </c>
      <c r="S362" s="327">
        <v>0</v>
      </c>
      <c r="T362" s="327">
        <v>0</v>
      </c>
      <c r="U362" s="327"/>
      <c r="V362" s="327">
        <f t="shared" si="494"/>
        <v>389</v>
      </c>
      <c r="W362" s="327"/>
      <c r="X362" s="327">
        <f t="shared" si="495"/>
        <v>22724</v>
      </c>
      <c r="Y362" s="327">
        <f t="shared" si="495"/>
        <v>22724</v>
      </c>
      <c r="Z362" s="327">
        <f t="shared" si="495"/>
        <v>22724</v>
      </c>
      <c r="AA362" s="327">
        <f t="shared" si="495"/>
        <v>22724</v>
      </c>
      <c r="AB362" s="327">
        <f t="shared" si="495"/>
        <v>22724</v>
      </c>
      <c r="AC362" s="330"/>
      <c r="AD362" s="330"/>
      <c r="AE362" s="330"/>
      <c r="AF362" s="331">
        <f t="shared" ref="AF362:AF369" si="501">+D362-F362-SUM(N362:U362)-L362</f>
        <v>9000</v>
      </c>
      <c r="AG362" s="332"/>
      <c r="AH362" s="334"/>
      <c r="AI362" s="332"/>
      <c r="AP362" s="334"/>
      <c r="AQ362" s="334"/>
    </row>
    <row r="363" spans="1:43" s="333" customFormat="1" ht="15.9" customHeight="1" x14ac:dyDescent="0.3">
      <c r="A363" s="468"/>
      <c r="B363" s="361" t="s">
        <v>537</v>
      </c>
      <c r="C363" s="403">
        <v>44876</v>
      </c>
      <c r="D363" s="407">
        <v>6000</v>
      </c>
      <c r="E363" s="405">
        <v>10</v>
      </c>
      <c r="F363" s="338"/>
      <c r="G363" s="406">
        <f t="shared" si="488"/>
        <v>6000</v>
      </c>
      <c r="H363" s="327">
        <f t="shared" si="489"/>
        <v>300</v>
      </c>
      <c r="I363" s="328">
        <v>0</v>
      </c>
      <c r="J363" s="366">
        <f t="shared" si="499"/>
        <v>48526</v>
      </c>
      <c r="K363" s="329">
        <f t="shared" si="500"/>
        <v>3651</v>
      </c>
      <c r="L363" s="406"/>
      <c r="M363" s="406">
        <f t="shared" si="493"/>
        <v>141</v>
      </c>
      <c r="N363" s="327">
        <v>0</v>
      </c>
      <c r="O363" s="327">
        <v>0</v>
      </c>
      <c r="P363" s="327">
        <v>0</v>
      </c>
      <c r="Q363" s="327">
        <v>0</v>
      </c>
      <c r="R363" s="327">
        <v>0</v>
      </c>
      <c r="S363" s="327">
        <v>0</v>
      </c>
      <c r="T363" s="327">
        <v>0</v>
      </c>
      <c r="U363" s="327"/>
      <c r="V363" s="327">
        <f t="shared" si="494"/>
        <v>220</v>
      </c>
      <c r="W363" s="327"/>
      <c r="X363" s="327">
        <f t="shared" si="495"/>
        <v>22724</v>
      </c>
      <c r="Y363" s="327">
        <f t="shared" si="495"/>
        <v>22724</v>
      </c>
      <c r="Z363" s="327">
        <f t="shared" si="495"/>
        <v>22724</v>
      </c>
      <c r="AA363" s="327">
        <f t="shared" si="495"/>
        <v>22724</v>
      </c>
      <c r="AB363" s="327">
        <f t="shared" si="495"/>
        <v>22724</v>
      </c>
      <c r="AC363" s="330"/>
      <c r="AD363" s="330"/>
      <c r="AE363" s="330"/>
      <c r="AF363" s="331">
        <f t="shared" si="501"/>
        <v>6000</v>
      </c>
      <c r="AG363" s="332"/>
      <c r="AH363" s="334"/>
      <c r="AI363" s="332"/>
      <c r="AP363" s="334"/>
      <c r="AQ363" s="334"/>
    </row>
    <row r="364" spans="1:43" s="333" customFormat="1" ht="15.9" customHeight="1" x14ac:dyDescent="0.3">
      <c r="A364" s="468"/>
      <c r="B364" s="361" t="s">
        <v>543</v>
      </c>
      <c r="C364" s="403">
        <v>44890</v>
      </c>
      <c r="D364" s="407">
        <v>35881.199999999997</v>
      </c>
      <c r="E364" s="405">
        <v>10</v>
      </c>
      <c r="F364" s="338"/>
      <c r="G364" s="406">
        <f t="shared" si="488"/>
        <v>35881.199999999997</v>
      </c>
      <c r="H364" s="327">
        <f t="shared" si="489"/>
        <v>1794</v>
      </c>
      <c r="I364" s="328">
        <v>0</v>
      </c>
      <c r="J364" s="366">
        <f t="shared" si="499"/>
        <v>48540</v>
      </c>
      <c r="K364" s="329">
        <f t="shared" si="500"/>
        <v>3651</v>
      </c>
      <c r="L364" s="406"/>
      <c r="M364" s="406">
        <f t="shared" si="493"/>
        <v>127</v>
      </c>
      <c r="N364" s="327">
        <v>0</v>
      </c>
      <c r="O364" s="327">
        <v>0</v>
      </c>
      <c r="P364" s="327">
        <v>0</v>
      </c>
      <c r="Q364" s="327">
        <v>0</v>
      </c>
      <c r="R364" s="327">
        <v>0</v>
      </c>
      <c r="S364" s="327">
        <v>0</v>
      </c>
      <c r="T364" s="327">
        <v>0</v>
      </c>
      <c r="U364" s="327"/>
      <c r="V364" s="327">
        <f t="shared" si="494"/>
        <v>1186</v>
      </c>
      <c r="W364" s="327"/>
      <c r="X364" s="327">
        <f t="shared" si="495"/>
        <v>22724</v>
      </c>
      <c r="Y364" s="327">
        <f t="shared" si="495"/>
        <v>22724</v>
      </c>
      <c r="Z364" s="327">
        <f t="shared" si="495"/>
        <v>22724</v>
      </c>
      <c r="AA364" s="327">
        <f t="shared" si="495"/>
        <v>22724</v>
      </c>
      <c r="AB364" s="327">
        <f t="shared" si="495"/>
        <v>22724</v>
      </c>
      <c r="AC364" s="330"/>
      <c r="AD364" s="330"/>
      <c r="AE364" s="330"/>
      <c r="AF364" s="331">
        <f t="shared" si="501"/>
        <v>35881.199999999997</v>
      </c>
      <c r="AG364" s="332"/>
      <c r="AH364" s="334"/>
      <c r="AI364" s="332"/>
      <c r="AP364" s="334"/>
      <c r="AQ364" s="334"/>
    </row>
    <row r="365" spans="1:43" s="333" customFormat="1" ht="15.9" customHeight="1" x14ac:dyDescent="0.3">
      <c r="A365" s="468"/>
      <c r="B365" s="361" t="s">
        <v>538</v>
      </c>
      <c r="C365" s="403">
        <v>44900</v>
      </c>
      <c r="D365" s="407">
        <v>44000</v>
      </c>
      <c r="E365" s="405">
        <v>10</v>
      </c>
      <c r="F365" s="338"/>
      <c r="G365" s="406">
        <f t="shared" si="488"/>
        <v>44000</v>
      </c>
      <c r="H365" s="327">
        <f t="shared" si="489"/>
        <v>2200</v>
      </c>
      <c r="I365" s="328">
        <v>0</v>
      </c>
      <c r="J365" s="366">
        <f t="shared" si="499"/>
        <v>48550</v>
      </c>
      <c r="K365" s="329">
        <f t="shared" si="500"/>
        <v>3651</v>
      </c>
      <c r="L365" s="406"/>
      <c r="M365" s="406">
        <f t="shared" si="493"/>
        <v>117</v>
      </c>
      <c r="N365" s="327">
        <v>0</v>
      </c>
      <c r="O365" s="327">
        <v>0</v>
      </c>
      <c r="P365" s="327">
        <v>0</v>
      </c>
      <c r="Q365" s="327">
        <v>0</v>
      </c>
      <c r="R365" s="327">
        <v>0</v>
      </c>
      <c r="S365" s="327">
        <v>0</v>
      </c>
      <c r="T365" s="327">
        <v>0</v>
      </c>
      <c r="U365" s="327"/>
      <c r="V365" s="327">
        <f t="shared" si="494"/>
        <v>1340</v>
      </c>
      <c r="W365" s="327"/>
      <c r="X365" s="327">
        <f t="shared" si="495"/>
        <v>22724</v>
      </c>
      <c r="Y365" s="327">
        <f t="shared" si="495"/>
        <v>22724</v>
      </c>
      <c r="Z365" s="327">
        <f t="shared" si="495"/>
        <v>22724</v>
      </c>
      <c r="AA365" s="327">
        <f t="shared" si="495"/>
        <v>22724</v>
      </c>
      <c r="AB365" s="327">
        <f t="shared" si="495"/>
        <v>22724</v>
      </c>
      <c r="AC365" s="330"/>
      <c r="AD365" s="330"/>
      <c r="AE365" s="330"/>
      <c r="AF365" s="331">
        <f t="shared" si="501"/>
        <v>44000</v>
      </c>
      <c r="AG365" s="332"/>
      <c r="AH365" s="334"/>
      <c r="AI365" s="332"/>
      <c r="AP365" s="334"/>
      <c r="AQ365" s="334"/>
    </row>
    <row r="366" spans="1:43" s="333" customFormat="1" ht="15.9" customHeight="1" x14ac:dyDescent="0.3">
      <c r="A366" s="468"/>
      <c r="B366" s="361" t="s">
        <v>539</v>
      </c>
      <c r="C366" s="403">
        <v>44925</v>
      </c>
      <c r="D366" s="407">
        <v>18700</v>
      </c>
      <c r="E366" s="405">
        <v>10</v>
      </c>
      <c r="F366" s="338"/>
      <c r="G366" s="406">
        <f t="shared" si="488"/>
        <v>18700</v>
      </c>
      <c r="H366" s="327">
        <f t="shared" si="489"/>
        <v>935</v>
      </c>
      <c r="I366" s="328">
        <v>0</v>
      </c>
      <c r="J366" s="366">
        <f t="shared" si="499"/>
        <v>48575</v>
      </c>
      <c r="K366" s="329">
        <f t="shared" si="500"/>
        <v>3651</v>
      </c>
      <c r="L366" s="406"/>
      <c r="M366" s="406">
        <f t="shared" si="493"/>
        <v>92</v>
      </c>
      <c r="N366" s="327">
        <v>0</v>
      </c>
      <c r="O366" s="327">
        <v>0</v>
      </c>
      <c r="P366" s="327">
        <v>0</v>
      </c>
      <c r="Q366" s="327">
        <v>0</v>
      </c>
      <c r="R366" s="327">
        <v>0</v>
      </c>
      <c r="S366" s="327">
        <v>0</v>
      </c>
      <c r="T366" s="327">
        <v>0</v>
      </c>
      <c r="U366" s="327"/>
      <c r="V366" s="327">
        <f t="shared" si="494"/>
        <v>448</v>
      </c>
      <c r="W366" s="327"/>
      <c r="X366" s="327">
        <f t="shared" ref="X366:AB369" si="502">+ROUND(($G$340-$H$340)*365/$K$340,0)</f>
        <v>22724</v>
      </c>
      <c r="Y366" s="327">
        <f t="shared" si="502"/>
        <v>22724</v>
      </c>
      <c r="Z366" s="327">
        <f t="shared" si="502"/>
        <v>22724</v>
      </c>
      <c r="AA366" s="327">
        <f t="shared" si="502"/>
        <v>22724</v>
      </c>
      <c r="AB366" s="327">
        <f t="shared" si="502"/>
        <v>22724</v>
      </c>
      <c r="AC366" s="330"/>
      <c r="AD366" s="330"/>
      <c r="AE366" s="330"/>
      <c r="AF366" s="331">
        <f t="shared" si="501"/>
        <v>18700</v>
      </c>
      <c r="AG366" s="332"/>
      <c r="AH366" s="334"/>
      <c r="AI366" s="332"/>
      <c r="AP366" s="334"/>
      <c r="AQ366" s="334"/>
    </row>
    <row r="367" spans="1:43" s="333" customFormat="1" ht="15.9" customHeight="1" x14ac:dyDescent="0.3">
      <c r="A367" s="468"/>
      <c r="B367" s="361" t="s">
        <v>540</v>
      </c>
      <c r="C367" s="403">
        <v>44933</v>
      </c>
      <c r="D367" s="407">
        <v>8200</v>
      </c>
      <c r="E367" s="405">
        <v>10</v>
      </c>
      <c r="F367" s="338"/>
      <c r="G367" s="406">
        <f t="shared" si="488"/>
        <v>8200</v>
      </c>
      <c r="H367" s="327">
        <f t="shared" si="489"/>
        <v>410</v>
      </c>
      <c r="I367" s="328">
        <v>0</v>
      </c>
      <c r="J367" s="366">
        <f t="shared" si="499"/>
        <v>48583</v>
      </c>
      <c r="K367" s="329">
        <f t="shared" si="500"/>
        <v>3651</v>
      </c>
      <c r="L367" s="406"/>
      <c r="M367" s="406">
        <f t="shared" si="493"/>
        <v>84</v>
      </c>
      <c r="N367" s="327">
        <v>0</v>
      </c>
      <c r="O367" s="327">
        <v>0</v>
      </c>
      <c r="P367" s="327">
        <v>0</v>
      </c>
      <c r="Q367" s="327">
        <v>0</v>
      </c>
      <c r="R367" s="327">
        <v>0</v>
      </c>
      <c r="S367" s="327">
        <v>0</v>
      </c>
      <c r="T367" s="327">
        <v>0</v>
      </c>
      <c r="U367" s="327"/>
      <c r="V367" s="327">
        <f t="shared" si="494"/>
        <v>179</v>
      </c>
      <c r="W367" s="327"/>
      <c r="X367" s="327">
        <f t="shared" si="502"/>
        <v>22724</v>
      </c>
      <c r="Y367" s="327">
        <f t="shared" si="502"/>
        <v>22724</v>
      </c>
      <c r="Z367" s="327">
        <f t="shared" si="502"/>
        <v>22724</v>
      </c>
      <c r="AA367" s="327">
        <f t="shared" si="502"/>
        <v>22724</v>
      </c>
      <c r="AB367" s="327">
        <f t="shared" si="502"/>
        <v>22724</v>
      </c>
      <c r="AC367" s="330"/>
      <c r="AD367" s="330"/>
      <c r="AE367" s="330"/>
      <c r="AF367" s="331">
        <f t="shared" si="501"/>
        <v>8200</v>
      </c>
      <c r="AG367" s="332"/>
      <c r="AH367" s="334"/>
      <c r="AI367" s="332"/>
      <c r="AP367" s="334"/>
      <c r="AQ367" s="334"/>
    </row>
    <row r="368" spans="1:43" s="333" customFormat="1" ht="15.9" customHeight="1" x14ac:dyDescent="0.3">
      <c r="A368" s="468"/>
      <c r="B368" s="361" t="s">
        <v>541</v>
      </c>
      <c r="C368" s="403">
        <v>44976</v>
      </c>
      <c r="D368" s="407">
        <v>10600</v>
      </c>
      <c r="E368" s="405">
        <v>10</v>
      </c>
      <c r="F368" s="338"/>
      <c r="G368" s="406">
        <f t="shared" si="488"/>
        <v>10600</v>
      </c>
      <c r="H368" s="327">
        <f t="shared" si="489"/>
        <v>530</v>
      </c>
      <c r="I368" s="328">
        <v>0</v>
      </c>
      <c r="J368" s="366">
        <f t="shared" si="499"/>
        <v>48626</v>
      </c>
      <c r="K368" s="329">
        <f t="shared" si="500"/>
        <v>3651</v>
      </c>
      <c r="L368" s="406"/>
      <c r="M368" s="406">
        <f t="shared" si="493"/>
        <v>41</v>
      </c>
      <c r="N368" s="327">
        <v>0</v>
      </c>
      <c r="O368" s="327">
        <v>0</v>
      </c>
      <c r="P368" s="327">
        <v>0</v>
      </c>
      <c r="Q368" s="327">
        <v>0</v>
      </c>
      <c r="R368" s="327">
        <v>0</v>
      </c>
      <c r="S368" s="327">
        <v>0</v>
      </c>
      <c r="T368" s="327">
        <v>0</v>
      </c>
      <c r="U368" s="327"/>
      <c r="V368" s="327">
        <f t="shared" si="494"/>
        <v>113</v>
      </c>
      <c r="W368" s="327"/>
      <c r="X368" s="327">
        <f t="shared" si="502"/>
        <v>22724</v>
      </c>
      <c r="Y368" s="327">
        <f t="shared" si="502"/>
        <v>22724</v>
      </c>
      <c r="Z368" s="327">
        <f t="shared" si="502"/>
        <v>22724</v>
      </c>
      <c r="AA368" s="327">
        <f t="shared" si="502"/>
        <v>22724</v>
      </c>
      <c r="AB368" s="327">
        <f t="shared" si="502"/>
        <v>22724</v>
      </c>
      <c r="AC368" s="330"/>
      <c r="AD368" s="330"/>
      <c r="AE368" s="330"/>
      <c r="AF368" s="331">
        <f t="shared" si="501"/>
        <v>10600</v>
      </c>
      <c r="AG368" s="332"/>
      <c r="AH368" s="334"/>
      <c r="AI368" s="332"/>
      <c r="AP368" s="334"/>
      <c r="AQ368" s="334"/>
    </row>
    <row r="369" spans="1:43" s="333" customFormat="1" ht="15.9" customHeight="1" x14ac:dyDescent="0.3">
      <c r="A369" s="468"/>
      <c r="B369" s="361" t="s">
        <v>542</v>
      </c>
      <c r="C369" s="403">
        <v>44991</v>
      </c>
      <c r="D369" s="407">
        <v>91355.86</v>
      </c>
      <c r="E369" s="405">
        <v>10</v>
      </c>
      <c r="F369" s="338"/>
      <c r="G369" s="406">
        <f t="shared" si="488"/>
        <v>91355.86</v>
      </c>
      <c r="H369" s="327">
        <f t="shared" si="489"/>
        <v>4568</v>
      </c>
      <c r="I369" s="328">
        <v>0</v>
      </c>
      <c r="J369" s="366">
        <f t="shared" si="499"/>
        <v>48641</v>
      </c>
      <c r="K369" s="329">
        <f t="shared" si="500"/>
        <v>3651</v>
      </c>
      <c r="L369" s="406"/>
      <c r="M369" s="406">
        <f t="shared" si="493"/>
        <v>26</v>
      </c>
      <c r="N369" s="327">
        <v>0</v>
      </c>
      <c r="O369" s="327">
        <v>0</v>
      </c>
      <c r="P369" s="327">
        <v>0</v>
      </c>
      <c r="Q369" s="327">
        <v>0</v>
      </c>
      <c r="R369" s="327">
        <v>0</v>
      </c>
      <c r="S369" s="327">
        <v>0</v>
      </c>
      <c r="T369" s="327">
        <v>0</v>
      </c>
      <c r="U369" s="327"/>
      <c r="V369" s="327">
        <f t="shared" si="494"/>
        <v>618</v>
      </c>
      <c r="W369" s="327"/>
      <c r="X369" s="327">
        <f t="shared" si="502"/>
        <v>22724</v>
      </c>
      <c r="Y369" s="327">
        <f t="shared" si="502"/>
        <v>22724</v>
      </c>
      <c r="Z369" s="327">
        <f t="shared" si="502"/>
        <v>22724</v>
      </c>
      <c r="AA369" s="327">
        <f t="shared" si="502"/>
        <v>22724</v>
      </c>
      <c r="AB369" s="327">
        <f t="shared" si="502"/>
        <v>22724</v>
      </c>
      <c r="AC369" s="330"/>
      <c r="AD369" s="330"/>
      <c r="AE369" s="330"/>
      <c r="AF369" s="331">
        <f t="shared" si="501"/>
        <v>91355.86</v>
      </c>
      <c r="AG369" s="332"/>
      <c r="AH369" s="334"/>
      <c r="AI369" s="332"/>
      <c r="AP369" s="334"/>
      <c r="AQ369" s="334"/>
    </row>
    <row r="370" spans="1:43" s="333" customFormat="1" ht="15.9" customHeight="1" x14ac:dyDescent="0.3">
      <c r="A370" s="468"/>
      <c r="B370" s="361"/>
      <c r="C370" s="403"/>
      <c r="D370" s="407"/>
      <c r="E370" s="405"/>
      <c r="F370" s="338"/>
      <c r="G370" s="406"/>
      <c r="H370" s="327"/>
      <c r="I370" s="328"/>
      <c r="J370" s="366"/>
      <c r="K370" s="329"/>
      <c r="L370" s="406"/>
      <c r="M370" s="406"/>
      <c r="N370" s="327"/>
      <c r="O370" s="327"/>
      <c r="P370" s="327"/>
      <c r="Q370" s="327"/>
      <c r="R370" s="327"/>
      <c r="S370" s="327"/>
      <c r="T370" s="327"/>
      <c r="U370" s="327"/>
      <c r="V370" s="327"/>
      <c r="W370" s="327"/>
      <c r="X370" s="327"/>
      <c r="Y370" s="327"/>
      <c r="Z370" s="327"/>
      <c r="AA370" s="327"/>
      <c r="AB370" s="327"/>
      <c r="AC370" s="330"/>
      <c r="AD370" s="330"/>
      <c r="AE370" s="330"/>
      <c r="AF370" s="331"/>
      <c r="AG370" s="332"/>
      <c r="AH370" s="334"/>
      <c r="AI370" s="332"/>
      <c r="AP370" s="334"/>
      <c r="AQ370" s="334"/>
    </row>
    <row r="371" spans="1:43" s="333" customFormat="1" ht="15.9" customHeight="1" x14ac:dyDescent="0.3">
      <c r="A371" s="468"/>
      <c r="B371" s="361"/>
      <c r="C371" s="403"/>
      <c r="D371" s="407"/>
      <c r="E371" s="405"/>
      <c r="F371" s="338"/>
      <c r="G371" s="406"/>
      <c r="H371" s="327"/>
      <c r="I371" s="328"/>
      <c r="J371" s="366"/>
      <c r="K371" s="329"/>
      <c r="L371" s="406"/>
      <c r="M371" s="406"/>
      <c r="N371" s="327"/>
      <c r="O371" s="327"/>
      <c r="P371" s="327"/>
      <c r="Q371" s="327"/>
      <c r="R371" s="327"/>
      <c r="S371" s="327"/>
      <c r="T371" s="327"/>
      <c r="U371" s="327"/>
      <c r="V371" s="327"/>
      <c r="W371" s="327"/>
      <c r="X371" s="327"/>
      <c r="Y371" s="327"/>
      <c r="Z371" s="327"/>
      <c r="AA371" s="327"/>
      <c r="AB371" s="327"/>
      <c r="AC371" s="330"/>
      <c r="AD371" s="330"/>
      <c r="AE371" s="330"/>
      <c r="AF371" s="331"/>
      <c r="AG371" s="332"/>
      <c r="AH371" s="334"/>
      <c r="AI371" s="332"/>
      <c r="AP371" s="334"/>
      <c r="AQ371" s="334"/>
    </row>
    <row r="372" spans="1:43" ht="15.9" customHeight="1" x14ac:dyDescent="0.3">
      <c r="A372" s="468"/>
      <c r="B372" s="92"/>
      <c r="C372" s="107"/>
      <c r="D372" s="95"/>
      <c r="E372" s="117"/>
      <c r="F372" s="94"/>
      <c r="G372" s="86"/>
      <c r="H372" s="57"/>
      <c r="I372" s="58"/>
      <c r="J372" s="100"/>
      <c r="K372" s="60"/>
      <c r="L372" s="86"/>
      <c r="M372" s="86"/>
      <c r="N372" s="57"/>
      <c r="O372" s="57"/>
      <c r="P372" s="57"/>
      <c r="Q372" s="57"/>
      <c r="R372" s="57"/>
      <c r="S372" s="57"/>
      <c r="T372" s="57"/>
      <c r="U372" s="352"/>
      <c r="V372" s="57"/>
      <c r="W372" s="57"/>
      <c r="X372" s="57"/>
      <c r="Y372" s="57"/>
      <c r="Z372" s="57"/>
      <c r="AA372" s="57"/>
      <c r="AB372" s="57"/>
      <c r="AC372" s="80"/>
      <c r="AD372" s="80"/>
      <c r="AE372" s="80"/>
      <c r="AF372" s="59"/>
      <c r="AH372" s="101"/>
      <c r="AP372" s="101"/>
      <c r="AQ372" s="101"/>
    </row>
    <row r="373" spans="1:43" s="35" customFormat="1" ht="15.9" customHeight="1" x14ac:dyDescent="0.3">
      <c r="A373" s="468"/>
      <c r="B373" s="61" t="s">
        <v>2</v>
      </c>
      <c r="C373" s="62"/>
      <c r="D373" s="63">
        <f>SUM(D309:D369)</f>
        <v>3078304.0800000005</v>
      </c>
      <c r="E373" s="110"/>
      <c r="F373" s="63">
        <f>SUM(F309:F360)</f>
        <v>1408522.1587358906</v>
      </c>
      <c r="G373" s="63">
        <f>SUM(G309:G369)</f>
        <v>1669781.9212641097</v>
      </c>
      <c r="H373" s="63">
        <f>SUM(H309:H369)</f>
        <v>115689</v>
      </c>
      <c r="I373" s="63"/>
      <c r="J373" s="63"/>
      <c r="K373" s="63"/>
      <c r="L373" s="63">
        <f>SUM(L309:L339)</f>
        <v>0</v>
      </c>
      <c r="M373" s="63"/>
      <c r="N373" s="63">
        <f t="shared" ref="N373:AC373" si="503">SUM(N309:N360)</f>
        <v>281355</v>
      </c>
      <c r="O373" s="63">
        <f t="shared" si="503"/>
        <v>212000</v>
      </c>
      <c r="P373" s="63">
        <f t="shared" si="503"/>
        <v>29922</v>
      </c>
      <c r="Q373" s="63">
        <f t="shared" si="503"/>
        <v>22584</v>
      </c>
      <c r="R373" s="63">
        <f t="shared" si="503"/>
        <v>21361</v>
      </c>
      <c r="S373" s="63">
        <f t="shared" si="503"/>
        <v>20155</v>
      </c>
      <c r="T373" s="63">
        <f t="shared" si="503"/>
        <v>17738</v>
      </c>
      <c r="U373" s="63">
        <f t="shared" si="503"/>
        <v>46524</v>
      </c>
      <c r="V373" s="63">
        <f>SUM(V309:V369)</f>
        <v>67136</v>
      </c>
      <c r="W373" s="63">
        <f t="shared" si="503"/>
        <v>0</v>
      </c>
      <c r="X373" s="63">
        <f t="shared" si="503"/>
        <v>477204</v>
      </c>
      <c r="Y373" s="63">
        <f t="shared" si="503"/>
        <v>477204</v>
      </c>
      <c r="Z373" s="63">
        <f t="shared" si="503"/>
        <v>477204</v>
      </c>
      <c r="AA373" s="63">
        <f t="shared" si="503"/>
        <v>477204</v>
      </c>
      <c r="AB373" s="63">
        <f t="shared" si="503"/>
        <v>477204</v>
      </c>
      <c r="AC373" s="63">
        <f t="shared" si="503"/>
        <v>0</v>
      </c>
      <c r="AD373" s="63"/>
      <c r="AE373" s="63">
        <f>SUM(AE309:AE339)</f>
        <v>0</v>
      </c>
      <c r="AF373" s="59">
        <f>+D373-F373-SUM(N373:V373)-L373</f>
        <v>951006.9212641099</v>
      </c>
      <c r="AG373" s="68">
        <f>AF373-AG340</f>
        <v>665880.34000000032</v>
      </c>
      <c r="AI373" s="32"/>
      <c r="AP373" s="101"/>
    </row>
    <row r="374" spans="1:43" ht="15.9" customHeight="1" x14ac:dyDescent="0.3">
      <c r="B374" s="69"/>
      <c r="C374" s="111"/>
      <c r="D374" s="82"/>
      <c r="E374" s="112"/>
      <c r="F374" s="82"/>
      <c r="G374" s="113"/>
      <c r="H374" s="114"/>
      <c r="I374" s="106"/>
      <c r="J374" s="74"/>
      <c r="K374" s="75"/>
      <c r="L374" s="114"/>
      <c r="M374" s="114"/>
      <c r="N374" s="71"/>
      <c r="O374" s="71"/>
      <c r="P374" s="71"/>
      <c r="Q374" s="71"/>
      <c r="R374" s="71"/>
      <c r="S374" s="71"/>
      <c r="T374" s="71"/>
      <c r="U374" s="351"/>
      <c r="V374" s="71"/>
      <c r="W374" s="71"/>
      <c r="X374" s="71"/>
      <c r="Y374" s="71"/>
      <c r="Z374" s="71"/>
      <c r="AA374" s="71"/>
      <c r="AB374" s="71"/>
      <c r="AC374" s="71"/>
      <c r="AD374" s="71"/>
      <c r="AE374" s="71"/>
      <c r="AF374" s="59"/>
      <c r="AP374" s="101"/>
    </row>
    <row r="375" spans="1:43" ht="15.9" customHeight="1" x14ac:dyDescent="0.3">
      <c r="A375" s="468" t="s">
        <v>356</v>
      </c>
      <c r="B375" s="115" t="s">
        <v>314</v>
      </c>
      <c r="C375" s="53"/>
      <c r="D375" s="116">
        <f>9248175.37-433797.37-765739-50000-399932</f>
        <v>7598707</v>
      </c>
      <c r="E375" s="117">
        <v>8</v>
      </c>
      <c r="F375" s="118">
        <v>7560206.9900000002</v>
      </c>
      <c r="G375" s="119">
        <f>D375-F375</f>
        <v>38500.009999999776</v>
      </c>
      <c r="H375" s="57">
        <f>399932-399932</f>
        <v>0</v>
      </c>
      <c r="I375" s="56">
        <v>0</v>
      </c>
      <c r="J375" s="56">
        <v>0</v>
      </c>
      <c r="K375" s="56">
        <v>0</v>
      </c>
      <c r="L375" s="58">
        <f>+G375-H375</f>
        <v>38500.009999999776</v>
      </c>
      <c r="M375" s="58"/>
      <c r="N375" s="80">
        <v>0</v>
      </c>
      <c r="O375" s="80">
        <v>0</v>
      </c>
      <c r="P375" s="80">
        <v>0</v>
      </c>
      <c r="Q375" s="80">
        <v>0</v>
      </c>
      <c r="R375" s="80">
        <v>0</v>
      </c>
      <c r="S375" s="80">
        <v>0</v>
      </c>
      <c r="T375" s="80">
        <v>0</v>
      </c>
      <c r="U375" s="353">
        <v>0</v>
      </c>
      <c r="V375" s="80">
        <v>0</v>
      </c>
      <c r="W375" s="80">
        <v>0</v>
      </c>
      <c r="X375" s="80">
        <v>0</v>
      </c>
      <c r="Y375" s="80">
        <v>0</v>
      </c>
      <c r="Z375" s="80">
        <v>0</v>
      </c>
      <c r="AA375" s="80">
        <v>0</v>
      </c>
      <c r="AB375" s="80">
        <v>0</v>
      </c>
      <c r="AC375" s="80">
        <v>0</v>
      </c>
      <c r="AD375" s="80"/>
      <c r="AE375" s="80">
        <v>0</v>
      </c>
      <c r="AF375" s="59">
        <f t="shared" si="465"/>
        <v>0</v>
      </c>
      <c r="AP375" s="101"/>
      <c r="AQ375" s="101"/>
    </row>
    <row r="376" spans="1:43" ht="15.9" customHeight="1" x14ac:dyDescent="0.3">
      <c r="A376" s="468"/>
      <c r="B376" s="115" t="s">
        <v>463</v>
      </c>
      <c r="C376" s="53"/>
      <c r="D376" s="116">
        <v>-7598707</v>
      </c>
      <c r="E376" s="117"/>
      <c r="F376" s="118">
        <v>-7560207</v>
      </c>
      <c r="G376" s="119"/>
      <c r="H376" s="57"/>
      <c r="I376" s="56"/>
      <c r="J376" s="56"/>
      <c r="K376" s="56"/>
      <c r="L376" s="58"/>
      <c r="M376" s="58"/>
      <c r="N376" s="80"/>
      <c r="O376" s="80"/>
      <c r="P376" s="80"/>
      <c r="Q376" s="80"/>
      <c r="R376" s="80"/>
      <c r="S376" s="80"/>
      <c r="T376" s="80"/>
      <c r="U376" s="353"/>
      <c r="V376" s="80"/>
      <c r="W376" s="80"/>
      <c r="X376" s="80"/>
      <c r="Y376" s="80"/>
      <c r="Z376" s="80"/>
      <c r="AA376" s="80"/>
      <c r="AB376" s="80"/>
      <c r="AC376" s="80"/>
      <c r="AD376" s="80"/>
      <c r="AE376" s="80"/>
      <c r="AF376" s="59">
        <f t="shared" si="465"/>
        <v>-38500</v>
      </c>
      <c r="AP376" s="101"/>
      <c r="AQ376" s="101"/>
    </row>
    <row r="377" spans="1:43" s="257" customFormat="1" ht="15.9" customHeight="1" x14ac:dyDescent="0.3">
      <c r="A377" s="468"/>
      <c r="B377" s="247" t="s">
        <v>166</v>
      </c>
      <c r="C377" s="248">
        <v>39701</v>
      </c>
      <c r="D377" s="249">
        <v>986459</v>
      </c>
      <c r="E377" s="250">
        <v>8</v>
      </c>
      <c r="F377" s="249">
        <v>520689.37935616437</v>
      </c>
      <c r="G377" s="251">
        <f t="shared" ref="G377:G384" si="504">D377-F377</f>
        <v>465769.62064383563</v>
      </c>
      <c r="H377" s="252">
        <f t="shared" ref="H377:H404" si="505">ROUND(D377*5%,0)</f>
        <v>49323</v>
      </c>
      <c r="I377" s="253">
        <f t="shared" ref="I377:I380" si="506">$I$3-C377+1</f>
        <v>2029</v>
      </c>
      <c r="J377" s="248">
        <f>+C377+2921</f>
        <v>42622</v>
      </c>
      <c r="K377" s="254">
        <f>+J377-C377-I377+1</f>
        <v>893</v>
      </c>
      <c r="L377" s="252">
        <v>0</v>
      </c>
      <c r="M377" s="252"/>
      <c r="N377" s="252">
        <f>+ROUND((G377-H377)*365/K377,0)</f>
        <v>170216</v>
      </c>
      <c r="O377" s="252">
        <f>+ROUND((G377-H377)*365/K377,0)</f>
        <v>170216</v>
      </c>
      <c r="P377" s="252">
        <f>+ROUND((G377-H377)*(K377-730)/K377,0)+1</f>
        <v>76015</v>
      </c>
      <c r="Q377" s="253">
        <v>0</v>
      </c>
      <c r="R377" s="252">
        <v>0</v>
      </c>
      <c r="S377" s="252">
        <v>0</v>
      </c>
      <c r="T377" s="252">
        <v>0</v>
      </c>
      <c r="U377" s="356">
        <v>0</v>
      </c>
      <c r="V377" s="252">
        <v>0</v>
      </c>
      <c r="W377" s="252">
        <v>0</v>
      </c>
      <c r="X377" s="252">
        <v>0</v>
      </c>
      <c r="Y377" s="252">
        <v>0</v>
      </c>
      <c r="Z377" s="252">
        <v>0</v>
      </c>
      <c r="AA377" s="252">
        <v>0</v>
      </c>
      <c r="AB377" s="252">
        <v>0</v>
      </c>
      <c r="AC377" s="252">
        <v>0</v>
      </c>
      <c r="AD377" s="252"/>
      <c r="AE377" s="252">
        <v>0</v>
      </c>
      <c r="AF377" s="255">
        <f t="shared" si="465"/>
        <v>49322.620643835631</v>
      </c>
      <c r="AG377" s="256"/>
      <c r="AI377" s="256"/>
      <c r="AP377" s="258"/>
      <c r="AQ377" s="258"/>
    </row>
    <row r="378" spans="1:43" ht="15.9" customHeight="1" x14ac:dyDescent="0.3">
      <c r="A378" s="468"/>
      <c r="B378" s="52" t="s">
        <v>461</v>
      </c>
      <c r="C378" s="53"/>
      <c r="D378" s="54">
        <v>-986459</v>
      </c>
      <c r="E378" s="117"/>
      <c r="F378" s="54">
        <v>-520689</v>
      </c>
      <c r="G378" s="119"/>
      <c r="H378" s="57"/>
      <c r="I378" s="58"/>
      <c r="J378" s="53"/>
      <c r="K378" s="60"/>
      <c r="L378" s="57"/>
      <c r="M378" s="57"/>
      <c r="N378" s="57">
        <v>-170216</v>
      </c>
      <c r="O378" s="57">
        <v>-170216</v>
      </c>
      <c r="P378" s="57">
        <v>-76015</v>
      </c>
      <c r="Q378" s="58"/>
      <c r="R378" s="57"/>
      <c r="S378" s="57"/>
      <c r="T378" s="57"/>
      <c r="U378" s="352"/>
      <c r="V378" s="57"/>
      <c r="W378" s="57"/>
      <c r="X378" s="57"/>
      <c r="Y378" s="57"/>
      <c r="Z378" s="57"/>
      <c r="AA378" s="57"/>
      <c r="AB378" s="57"/>
      <c r="AC378" s="57"/>
      <c r="AD378" s="57"/>
      <c r="AE378" s="57"/>
      <c r="AF378" s="59">
        <f t="shared" si="465"/>
        <v>-49323</v>
      </c>
      <c r="AP378" s="101"/>
      <c r="AQ378" s="101"/>
    </row>
    <row r="379" spans="1:43" ht="15.9" customHeight="1" x14ac:dyDescent="0.3">
      <c r="A379" s="468"/>
      <c r="B379" s="52" t="s">
        <v>167</v>
      </c>
      <c r="C379" s="53">
        <v>40267</v>
      </c>
      <c r="D379" s="54">
        <v>46577</v>
      </c>
      <c r="E379" s="117">
        <v>10</v>
      </c>
      <c r="F379" s="54">
        <v>17724.060561643833</v>
      </c>
      <c r="G379" s="119">
        <f t="shared" si="504"/>
        <v>28852.939438356167</v>
      </c>
      <c r="H379" s="57">
        <f t="shared" si="505"/>
        <v>2329</v>
      </c>
      <c r="I379" s="58">
        <f t="shared" si="506"/>
        <v>1463</v>
      </c>
      <c r="J379" s="53">
        <f>+C379+3652</f>
        <v>43919</v>
      </c>
      <c r="K379" s="60">
        <f>+J379-C379-I379+1</f>
        <v>2190</v>
      </c>
      <c r="L379" s="57">
        <v>0</v>
      </c>
      <c r="M379" s="57"/>
      <c r="N379" s="57">
        <f>+ROUND(($G$379-$H$379)*365/$K$379,0)</f>
        <v>4421</v>
      </c>
      <c r="O379" s="57">
        <f>+ROUND(($G$379-$H$379)*365/$K$379,0)</f>
        <v>4421</v>
      </c>
      <c r="P379" s="57">
        <f>+ROUND(($G$379-$H$379)*365/$K$379,0)</f>
        <v>4421</v>
      </c>
      <c r="Q379" s="57">
        <f>+ROUND(($G$379-$H$379)*365/$K$379,0)</f>
        <v>4421</v>
      </c>
      <c r="R379" s="57">
        <f>+ROUND(($G$379-$H$379)*365/$K$379,0)</f>
        <v>4421</v>
      </c>
      <c r="S379" s="57">
        <f>ROUND((G379-H379)*(K379-1825)/K379,0)-2</f>
        <v>4419</v>
      </c>
      <c r="T379" s="57">
        <v>0</v>
      </c>
      <c r="U379" s="352">
        <v>0</v>
      </c>
      <c r="V379" s="57">
        <v>0</v>
      </c>
      <c r="W379" s="57">
        <v>0</v>
      </c>
      <c r="X379" s="57">
        <v>0</v>
      </c>
      <c r="Y379" s="57">
        <v>0</v>
      </c>
      <c r="Z379" s="57">
        <v>0</v>
      </c>
      <c r="AA379" s="57">
        <v>0</v>
      </c>
      <c r="AB379" s="57">
        <v>0</v>
      </c>
      <c r="AC379" s="57">
        <v>0</v>
      </c>
      <c r="AD379" s="57"/>
      <c r="AE379" s="57">
        <v>0</v>
      </c>
      <c r="AF379" s="59">
        <f t="shared" si="465"/>
        <v>2328.9394383561666</v>
      </c>
      <c r="AG379" s="32">
        <f>SUM(N379:AE379)</f>
        <v>26524</v>
      </c>
      <c r="AH379" s="101">
        <f>G379-H379</f>
        <v>26523.939438356167</v>
      </c>
      <c r="AP379" s="101"/>
      <c r="AQ379" s="101"/>
    </row>
    <row r="380" spans="1:43" ht="15.9" customHeight="1" x14ac:dyDescent="0.3">
      <c r="A380" s="468"/>
      <c r="B380" s="52" t="s">
        <v>168</v>
      </c>
      <c r="C380" s="53">
        <v>41025</v>
      </c>
      <c r="D380" s="54">
        <v>1702216</v>
      </c>
      <c r="E380" s="117">
        <v>8</v>
      </c>
      <c r="F380" s="54">
        <v>312345</v>
      </c>
      <c r="G380" s="119">
        <f t="shared" si="504"/>
        <v>1389871</v>
      </c>
      <c r="H380" s="57">
        <f t="shared" si="505"/>
        <v>85111</v>
      </c>
      <c r="I380" s="58">
        <f t="shared" si="506"/>
        <v>705</v>
      </c>
      <c r="J380" s="53">
        <f t="shared" ref="J380" si="507">+C380+2921</f>
        <v>43946</v>
      </c>
      <c r="K380" s="60">
        <f>+J380-C380-I380+1</f>
        <v>2217</v>
      </c>
      <c r="L380" s="57">
        <v>0</v>
      </c>
      <c r="M380" s="57"/>
      <c r="N380" s="57">
        <f>+ROUND((G380-H380)*365/K380,0)</f>
        <v>214812</v>
      </c>
      <c r="O380" s="80">
        <f>+N380</f>
        <v>214812</v>
      </c>
      <c r="P380" s="80">
        <f>+O380</f>
        <v>214812</v>
      </c>
      <c r="Q380" s="80">
        <f t="shared" ref="Q380" si="508">+P380</f>
        <v>214812</v>
      </c>
      <c r="R380" s="80">
        <v>184797</v>
      </c>
      <c r="S380" s="80">
        <f>G380-(H380+N380+O380+P380+Q380+R380)</f>
        <v>260715</v>
      </c>
      <c r="T380" s="57">
        <v>0</v>
      </c>
      <c r="U380" s="353">
        <v>0</v>
      </c>
      <c r="V380" s="80">
        <v>0</v>
      </c>
      <c r="W380" s="80">
        <v>0</v>
      </c>
      <c r="X380" s="80">
        <v>0</v>
      </c>
      <c r="Y380" s="80">
        <v>0</v>
      </c>
      <c r="Z380" s="80">
        <v>0</v>
      </c>
      <c r="AA380" s="80">
        <v>0</v>
      </c>
      <c r="AB380" s="80">
        <v>0</v>
      </c>
      <c r="AC380" s="80">
        <v>0</v>
      </c>
      <c r="AD380" s="80"/>
      <c r="AE380" s="80">
        <v>0</v>
      </c>
      <c r="AF380" s="59">
        <f t="shared" si="465"/>
        <v>85111</v>
      </c>
      <c r="AG380" s="32">
        <f>SUM(N380:AE380)</f>
        <v>1304760</v>
      </c>
      <c r="AH380" s="101">
        <f>G380-H380</f>
        <v>1304760</v>
      </c>
      <c r="AP380" s="101"/>
      <c r="AQ380" s="101"/>
    </row>
    <row r="381" spans="1:43" ht="15.9" customHeight="1" x14ac:dyDescent="0.3">
      <c r="A381" s="468"/>
      <c r="B381" s="52"/>
      <c r="C381" s="53"/>
      <c r="D381" s="54">
        <v>-1702216</v>
      </c>
      <c r="E381" s="117"/>
      <c r="F381" s="54">
        <v>-312345</v>
      </c>
      <c r="G381" s="119"/>
      <c r="H381" s="57"/>
      <c r="I381" s="58"/>
      <c r="J381" s="53"/>
      <c r="K381" s="60"/>
      <c r="L381" s="57"/>
      <c r="M381" s="57"/>
      <c r="N381" s="57">
        <v>-214812</v>
      </c>
      <c r="O381" s="57">
        <v>-214812</v>
      </c>
      <c r="P381" s="57">
        <v>-214812</v>
      </c>
      <c r="Q381" s="57">
        <v>-214812</v>
      </c>
      <c r="R381" s="80">
        <v>-184797</v>
      </c>
      <c r="S381" s="80"/>
      <c r="T381" s="57"/>
      <c r="U381" s="353"/>
      <c r="V381" s="80"/>
      <c r="W381" s="80"/>
      <c r="X381" s="80"/>
      <c r="Y381" s="80"/>
      <c r="Z381" s="80"/>
      <c r="AA381" s="80"/>
      <c r="AB381" s="80"/>
      <c r="AC381" s="80"/>
      <c r="AD381" s="80"/>
      <c r="AE381" s="80"/>
      <c r="AF381" s="59">
        <f t="shared" si="465"/>
        <v>-345826</v>
      </c>
      <c r="AH381" s="101"/>
      <c r="AP381" s="101"/>
      <c r="AQ381" s="101"/>
    </row>
    <row r="382" spans="1:43" ht="15.9" customHeight="1" x14ac:dyDescent="0.3">
      <c r="A382" s="468"/>
      <c r="B382" s="52" t="s">
        <v>363</v>
      </c>
      <c r="C382" s="53">
        <v>42590</v>
      </c>
      <c r="D382" s="54">
        <v>6700000</v>
      </c>
      <c r="E382" s="117">
        <v>10</v>
      </c>
      <c r="F382" s="54">
        <v>0</v>
      </c>
      <c r="G382" s="119">
        <f t="shared" si="504"/>
        <v>6700000</v>
      </c>
      <c r="H382" s="57">
        <f t="shared" si="505"/>
        <v>335000</v>
      </c>
      <c r="I382" s="58">
        <v>0</v>
      </c>
      <c r="J382" s="53">
        <v>46241</v>
      </c>
      <c r="K382" s="60">
        <f>+J382-C382-I382+1</f>
        <v>3652</v>
      </c>
      <c r="L382" s="57">
        <v>0</v>
      </c>
      <c r="M382" s="57"/>
      <c r="N382" s="57">
        <v>0</v>
      </c>
      <c r="O382" s="80">
        <v>0</v>
      </c>
      <c r="P382" s="80">
        <f>+ROUND((G382-H382)*235/K382,0)</f>
        <v>409577</v>
      </c>
      <c r="Q382" s="80">
        <f>+ROUND((G382-H382)*365/K382,0)</f>
        <v>636151</v>
      </c>
      <c r="R382" s="80">
        <f>Q382</f>
        <v>636151</v>
      </c>
      <c r="S382" s="80">
        <f t="shared" ref="S382:Y383" si="509">R382</f>
        <v>636151</v>
      </c>
      <c r="T382" s="80">
        <f t="shared" si="509"/>
        <v>636151</v>
      </c>
      <c r="U382" s="353">
        <f t="shared" si="509"/>
        <v>636151</v>
      </c>
      <c r="V382" s="80">
        <f t="shared" si="509"/>
        <v>636151</v>
      </c>
      <c r="W382" s="80">
        <f t="shared" si="509"/>
        <v>636151</v>
      </c>
      <c r="X382" s="80">
        <f t="shared" si="509"/>
        <v>636151</v>
      </c>
      <c r="Y382" s="80">
        <f t="shared" si="509"/>
        <v>636151</v>
      </c>
      <c r="Z382" s="80">
        <f>226512+5230</f>
        <v>231742</v>
      </c>
      <c r="AA382" s="80"/>
      <c r="AB382" s="80"/>
      <c r="AC382" s="80"/>
      <c r="AD382" s="80"/>
      <c r="AE382" s="80"/>
      <c r="AF382" s="59">
        <f t="shared" si="465"/>
        <v>3109668</v>
      </c>
      <c r="AH382" s="101"/>
      <c r="AP382" s="101"/>
      <c r="AQ382" s="101"/>
    </row>
    <row r="383" spans="1:43" ht="15.9" customHeight="1" x14ac:dyDescent="0.3">
      <c r="A383" s="468"/>
      <c r="B383" s="52" t="s">
        <v>362</v>
      </c>
      <c r="C383" s="53">
        <v>42675</v>
      </c>
      <c r="D383" s="54">
        <v>2063254</v>
      </c>
      <c r="E383" s="117">
        <v>10</v>
      </c>
      <c r="F383" s="54">
        <v>0</v>
      </c>
      <c r="G383" s="119">
        <f t="shared" si="504"/>
        <v>2063254</v>
      </c>
      <c r="H383" s="57">
        <f t="shared" si="505"/>
        <v>103163</v>
      </c>
      <c r="I383" s="58">
        <v>0</v>
      </c>
      <c r="J383" s="53">
        <v>46326</v>
      </c>
      <c r="K383" s="60">
        <f>+J383-C383-I383+1</f>
        <v>3652</v>
      </c>
      <c r="L383" s="57">
        <v>0</v>
      </c>
      <c r="M383" s="57"/>
      <c r="N383" s="57">
        <v>0</v>
      </c>
      <c r="O383" s="80">
        <v>0</v>
      </c>
      <c r="P383" s="80">
        <f>+ROUND((G383-H383)*150/K383,0)</f>
        <v>80508</v>
      </c>
      <c r="Q383" s="80">
        <f>+ROUND((G383-H383)*365/K383,0)</f>
        <v>195902</v>
      </c>
      <c r="R383" s="80">
        <f>Q383</f>
        <v>195902</v>
      </c>
      <c r="S383" s="80">
        <f t="shared" si="509"/>
        <v>195902</v>
      </c>
      <c r="T383" s="80">
        <f t="shared" si="509"/>
        <v>195902</v>
      </c>
      <c r="U383" s="353">
        <f t="shared" si="509"/>
        <v>195902</v>
      </c>
      <c r="V383" s="80">
        <f t="shared" si="509"/>
        <v>195902</v>
      </c>
      <c r="W383" s="80">
        <f t="shared" si="509"/>
        <v>195902</v>
      </c>
      <c r="X383" s="80">
        <f t="shared" si="509"/>
        <v>195902</v>
      </c>
      <c r="Y383" s="80">
        <f t="shared" si="509"/>
        <v>195902</v>
      </c>
      <c r="Z383" s="80"/>
      <c r="AA383" s="80"/>
      <c r="AB383" s="80"/>
      <c r="AC383" s="80"/>
      <c r="AD383" s="80"/>
      <c r="AE383" s="80"/>
      <c r="AF383" s="59">
        <f t="shared" si="465"/>
        <v>1003236</v>
      </c>
      <c r="AH383" s="101"/>
      <c r="AP383" s="101"/>
      <c r="AQ383" s="101"/>
    </row>
    <row r="384" spans="1:43" ht="15.9" customHeight="1" x14ac:dyDescent="0.3">
      <c r="A384" s="468"/>
      <c r="B384" s="52" t="s">
        <v>400</v>
      </c>
      <c r="C384" s="53">
        <v>43724</v>
      </c>
      <c r="D384" s="54">
        <v>132610</v>
      </c>
      <c r="E384" s="117">
        <f>10-($S$3-C384)/365</f>
        <v>8.4602739726027405</v>
      </c>
      <c r="F384" s="54">
        <v>0</v>
      </c>
      <c r="G384" s="119">
        <f t="shared" si="504"/>
        <v>132610</v>
      </c>
      <c r="H384" s="57">
        <f t="shared" si="505"/>
        <v>6631</v>
      </c>
      <c r="I384" s="58">
        <v>0</v>
      </c>
      <c r="J384" s="100">
        <f>+C384+3651</f>
        <v>47375</v>
      </c>
      <c r="K384" s="60">
        <f>+J384-C384-I384+1</f>
        <v>3652</v>
      </c>
      <c r="L384" s="57"/>
      <c r="M384" s="57"/>
      <c r="N384" s="57"/>
      <c r="O384" s="80"/>
      <c r="P384" s="80"/>
      <c r="Q384" s="80"/>
      <c r="R384" s="80">
        <v>0</v>
      </c>
      <c r="S384" s="57">
        <f>+ROUND(($G$384-$H$384)*198/$K$384,0)-6830</f>
        <v>0</v>
      </c>
      <c r="T384" s="57">
        <f>+ROUND(($G$384-$H$384)*365/$K$384,0)-12591</f>
        <v>0</v>
      </c>
      <c r="U384" s="352">
        <f t="shared" ref="U384:AA384" si="510">+ROUND(($G$384-$H$384)*365/$K$384,0)</f>
        <v>12591</v>
      </c>
      <c r="V384" s="57">
        <f>+ROUND((G384-H384)*365/K384,0)</f>
        <v>12591</v>
      </c>
      <c r="W384" s="57">
        <f>+ROUND((G384-H384)*365/K384,0)</f>
        <v>12591</v>
      </c>
      <c r="X384" s="57">
        <f t="shared" si="510"/>
        <v>12591</v>
      </c>
      <c r="Y384" s="57">
        <f t="shared" si="510"/>
        <v>12591</v>
      </c>
      <c r="Z384" s="57">
        <f t="shared" si="510"/>
        <v>12591</v>
      </c>
      <c r="AA384" s="57">
        <f t="shared" si="510"/>
        <v>12591</v>
      </c>
      <c r="AB384" s="80"/>
      <c r="AC384" s="80"/>
      <c r="AD384" s="80"/>
      <c r="AE384" s="80"/>
      <c r="AF384" s="59">
        <f t="shared" si="465"/>
        <v>120019</v>
      </c>
      <c r="AH384" s="101"/>
      <c r="AP384" s="101"/>
      <c r="AQ384" s="101"/>
    </row>
    <row r="385" spans="1:43" s="333" customFormat="1" ht="15.9" customHeight="1" x14ac:dyDescent="0.3">
      <c r="A385" s="468"/>
      <c r="B385" s="341" t="s">
        <v>468</v>
      </c>
      <c r="C385" s="263">
        <v>44530</v>
      </c>
      <c r="D385" s="325">
        <v>1700000</v>
      </c>
      <c r="E385" s="367">
        <v>10</v>
      </c>
      <c r="F385" s="325"/>
      <c r="G385" s="368">
        <v>1700000</v>
      </c>
      <c r="H385" s="327">
        <f t="shared" si="505"/>
        <v>85000</v>
      </c>
      <c r="I385" s="328"/>
      <c r="J385" s="366">
        <f t="shared" ref="J385:J390" si="511">+C385+3651</f>
        <v>48181</v>
      </c>
      <c r="K385" s="329">
        <f>+J385-C385-I385+1</f>
        <v>3652</v>
      </c>
      <c r="L385" s="327"/>
      <c r="M385" s="327">
        <f>$U$3-C385</f>
        <v>121</v>
      </c>
      <c r="N385" s="327"/>
      <c r="O385" s="330"/>
      <c r="P385" s="330"/>
      <c r="Q385" s="330"/>
      <c r="R385" s="330"/>
      <c r="S385" s="327"/>
      <c r="T385" s="57"/>
      <c r="U385" s="327">
        <f>(D385-H385)*M385/K385</f>
        <v>53509.036144578313</v>
      </c>
      <c r="V385" s="327">
        <f t="shared" ref="V385:V390" si="512">+ROUND((G385-H385)*365/K385,0)</f>
        <v>161412</v>
      </c>
      <c r="W385" s="327">
        <f t="shared" ref="W385:W404" si="513">+ROUND((G385-H385)*365/K385,0)</f>
        <v>161412</v>
      </c>
      <c r="X385" s="327"/>
      <c r="Y385" s="327"/>
      <c r="Z385" s="327"/>
      <c r="AA385" s="327"/>
      <c r="AB385" s="330"/>
      <c r="AC385" s="330"/>
      <c r="AD385" s="330"/>
      <c r="AE385" s="330"/>
      <c r="AF385" s="331">
        <f t="shared" si="465"/>
        <v>1646490.9638554216</v>
      </c>
      <c r="AG385" s="332"/>
      <c r="AH385" s="334"/>
      <c r="AI385" s="332"/>
      <c r="AP385" s="334"/>
      <c r="AQ385" s="334"/>
    </row>
    <row r="386" spans="1:43" s="333" customFormat="1" ht="15.9" customHeight="1" x14ac:dyDescent="0.3">
      <c r="A386" s="468"/>
      <c r="B386" s="341" t="s">
        <v>468</v>
      </c>
      <c r="C386" s="263">
        <v>44530</v>
      </c>
      <c r="D386" s="325">
        <v>3100000</v>
      </c>
      <c r="E386" s="367">
        <v>10</v>
      </c>
      <c r="F386" s="325"/>
      <c r="G386" s="368">
        <v>3100000</v>
      </c>
      <c r="H386" s="327">
        <f t="shared" si="505"/>
        <v>155000</v>
      </c>
      <c r="I386" s="328"/>
      <c r="J386" s="366">
        <f t="shared" si="511"/>
        <v>48181</v>
      </c>
      <c r="K386" s="329">
        <f t="shared" ref="K386:K404" si="514">+J386-C386-I386+1</f>
        <v>3652</v>
      </c>
      <c r="L386" s="327"/>
      <c r="M386" s="327">
        <f t="shared" ref="M386:M390" si="515">$U$3-C386</f>
        <v>121</v>
      </c>
      <c r="N386" s="327"/>
      <c r="O386" s="330"/>
      <c r="P386" s="330"/>
      <c r="Q386" s="330"/>
      <c r="R386" s="330"/>
      <c r="S386" s="327"/>
      <c r="T386" s="57"/>
      <c r="U386" s="327">
        <f t="shared" ref="U386:U390" si="516">(D386-H386)*M386/K386</f>
        <v>97575.301204819276</v>
      </c>
      <c r="V386" s="327">
        <f t="shared" si="512"/>
        <v>294339</v>
      </c>
      <c r="W386" s="327">
        <f t="shared" si="513"/>
        <v>294339</v>
      </c>
      <c r="X386" s="327"/>
      <c r="Y386" s="327"/>
      <c r="Z386" s="327"/>
      <c r="AA386" s="327"/>
      <c r="AB386" s="330"/>
      <c r="AC386" s="330"/>
      <c r="AD386" s="330"/>
      <c r="AE386" s="330"/>
      <c r="AF386" s="331">
        <f t="shared" si="465"/>
        <v>3002424.6987951808</v>
      </c>
      <c r="AG386" s="332"/>
      <c r="AH386" s="334"/>
      <c r="AI386" s="332"/>
      <c r="AP386" s="334"/>
      <c r="AQ386" s="334"/>
    </row>
    <row r="387" spans="1:43" s="333" customFormat="1" ht="15.9" customHeight="1" x14ac:dyDescent="0.3">
      <c r="A387" s="468"/>
      <c r="B387" s="341" t="s">
        <v>469</v>
      </c>
      <c r="C387" s="263">
        <v>44560</v>
      </c>
      <c r="D387" s="325">
        <v>5444915.25</v>
      </c>
      <c r="E387" s="422">
        <v>15</v>
      </c>
      <c r="F387" s="325"/>
      <c r="G387" s="368">
        <v>5444915.25</v>
      </c>
      <c r="H387" s="327">
        <f t="shared" si="505"/>
        <v>272246</v>
      </c>
      <c r="I387" s="328"/>
      <c r="J387" s="366">
        <f t="shared" si="511"/>
        <v>48211</v>
      </c>
      <c r="K387" s="329">
        <f t="shared" si="514"/>
        <v>3652</v>
      </c>
      <c r="L387" s="327"/>
      <c r="M387" s="327">
        <f t="shared" si="515"/>
        <v>91</v>
      </c>
      <c r="N387" s="327"/>
      <c r="O387" s="330"/>
      <c r="P387" s="330"/>
      <c r="Q387" s="330"/>
      <c r="R387" s="330"/>
      <c r="S387" s="327"/>
      <c r="T387" s="57"/>
      <c r="U387" s="327">
        <f t="shared" si="516"/>
        <v>128891.81318455641</v>
      </c>
      <c r="V387" s="327">
        <f t="shared" si="512"/>
        <v>516984</v>
      </c>
      <c r="W387" s="327">
        <f t="shared" si="513"/>
        <v>516984</v>
      </c>
      <c r="X387" s="327"/>
      <c r="Y387" s="327"/>
      <c r="Z387" s="327"/>
      <c r="AA387" s="327"/>
      <c r="AB387" s="330"/>
      <c r="AC387" s="330"/>
      <c r="AD387" s="330"/>
      <c r="AE387" s="330"/>
      <c r="AF387" s="331">
        <f t="shared" si="465"/>
        <v>5316023.4368154434</v>
      </c>
      <c r="AG387" s="332"/>
      <c r="AH387" s="334"/>
      <c r="AI387" s="332"/>
      <c r="AP387" s="334"/>
      <c r="AQ387" s="334"/>
    </row>
    <row r="388" spans="1:43" s="333" customFormat="1" ht="15.9" customHeight="1" x14ac:dyDescent="0.3">
      <c r="A388" s="468"/>
      <c r="B388" s="341" t="s">
        <v>470</v>
      </c>
      <c r="C388" s="263">
        <v>44641</v>
      </c>
      <c r="D388" s="325">
        <v>1875292.64</v>
      </c>
      <c r="E388" s="367">
        <v>8</v>
      </c>
      <c r="F388" s="325"/>
      <c r="G388" s="368">
        <v>1875292.64</v>
      </c>
      <c r="H388" s="327">
        <f t="shared" si="505"/>
        <v>93765</v>
      </c>
      <c r="I388" s="328"/>
      <c r="J388" s="366">
        <f t="shared" si="511"/>
        <v>48292</v>
      </c>
      <c r="K388" s="329">
        <f t="shared" si="514"/>
        <v>3652</v>
      </c>
      <c r="L388" s="327"/>
      <c r="M388" s="327">
        <f t="shared" si="515"/>
        <v>10</v>
      </c>
      <c r="N388" s="327"/>
      <c r="O388" s="330"/>
      <c r="P388" s="330"/>
      <c r="Q388" s="330"/>
      <c r="R388" s="330"/>
      <c r="S388" s="327"/>
      <c r="T388" s="57"/>
      <c r="U388" s="327">
        <f t="shared" si="516"/>
        <v>4878.2246440306681</v>
      </c>
      <c r="V388" s="327">
        <f t="shared" si="512"/>
        <v>178055</v>
      </c>
      <c r="W388" s="327">
        <f t="shared" si="513"/>
        <v>178055</v>
      </c>
      <c r="X388" s="327"/>
      <c r="Y388" s="327"/>
      <c r="Z388" s="327"/>
      <c r="AA388" s="327"/>
      <c r="AB388" s="330"/>
      <c r="AC388" s="330"/>
      <c r="AD388" s="330"/>
      <c r="AE388" s="330"/>
      <c r="AF388" s="331">
        <f t="shared" si="465"/>
        <v>1870414.4153559692</v>
      </c>
      <c r="AG388" s="332"/>
      <c r="AH388" s="334"/>
      <c r="AI388" s="332"/>
      <c r="AP388" s="334"/>
      <c r="AQ388" s="334"/>
    </row>
    <row r="389" spans="1:43" s="333" customFormat="1" ht="15.9" customHeight="1" x14ac:dyDescent="0.3">
      <c r="A389" s="468"/>
      <c r="B389" s="341" t="s">
        <v>471</v>
      </c>
      <c r="C389" s="263">
        <v>44636</v>
      </c>
      <c r="D389" s="325">
        <v>1875292.64</v>
      </c>
      <c r="E389" s="367">
        <v>8</v>
      </c>
      <c r="F389" s="325"/>
      <c r="G389" s="368">
        <v>1875292.64</v>
      </c>
      <c r="H389" s="327">
        <f t="shared" si="505"/>
        <v>93765</v>
      </c>
      <c r="I389" s="328"/>
      <c r="J389" s="366">
        <f t="shared" si="511"/>
        <v>48287</v>
      </c>
      <c r="K389" s="329">
        <f t="shared" si="514"/>
        <v>3652</v>
      </c>
      <c r="L389" s="327"/>
      <c r="M389" s="327">
        <f t="shared" si="515"/>
        <v>15</v>
      </c>
      <c r="N389" s="327"/>
      <c r="O389" s="330"/>
      <c r="P389" s="330"/>
      <c r="Q389" s="330"/>
      <c r="R389" s="330"/>
      <c r="S389" s="327"/>
      <c r="T389" s="57"/>
      <c r="U389" s="327">
        <f t="shared" si="516"/>
        <v>7317.3369660460012</v>
      </c>
      <c r="V389" s="327">
        <f t="shared" si="512"/>
        <v>178055</v>
      </c>
      <c r="W389" s="327">
        <f t="shared" si="513"/>
        <v>178055</v>
      </c>
      <c r="X389" s="327"/>
      <c r="Y389" s="327"/>
      <c r="Z389" s="327"/>
      <c r="AA389" s="327"/>
      <c r="AB389" s="330"/>
      <c r="AC389" s="330"/>
      <c r="AD389" s="330"/>
      <c r="AE389" s="330"/>
      <c r="AF389" s="331">
        <f t="shared" si="465"/>
        <v>1867975.303033954</v>
      </c>
      <c r="AG389" s="332"/>
      <c r="AH389" s="334"/>
      <c r="AI389" s="332"/>
      <c r="AP389" s="334"/>
      <c r="AQ389" s="334"/>
    </row>
    <row r="390" spans="1:43" s="333" customFormat="1" ht="15.9" customHeight="1" x14ac:dyDescent="0.3">
      <c r="A390" s="468"/>
      <c r="B390" s="341" t="s">
        <v>472</v>
      </c>
      <c r="C390" s="263">
        <v>44602</v>
      </c>
      <c r="D390" s="325">
        <f>1906665-18072</f>
        <v>1888593</v>
      </c>
      <c r="E390" s="367">
        <v>8</v>
      </c>
      <c r="F390" s="325"/>
      <c r="G390" s="325">
        <f>1906665-18072</f>
        <v>1888593</v>
      </c>
      <c r="H390" s="327">
        <f t="shared" si="505"/>
        <v>94430</v>
      </c>
      <c r="I390" s="328"/>
      <c r="J390" s="366">
        <f t="shared" si="511"/>
        <v>48253</v>
      </c>
      <c r="K390" s="329">
        <f t="shared" si="514"/>
        <v>3652</v>
      </c>
      <c r="L390" s="327"/>
      <c r="M390" s="327">
        <f t="shared" si="515"/>
        <v>49</v>
      </c>
      <c r="N390" s="327"/>
      <c r="O390" s="330"/>
      <c r="P390" s="330"/>
      <c r="Q390" s="330"/>
      <c r="R390" s="330"/>
      <c r="S390" s="327"/>
      <c r="T390" s="57"/>
      <c r="U390" s="327">
        <f t="shared" si="516"/>
        <v>24072.833242059147</v>
      </c>
      <c r="V390" s="327">
        <f t="shared" si="512"/>
        <v>179318</v>
      </c>
      <c r="W390" s="327">
        <f t="shared" si="513"/>
        <v>179318</v>
      </c>
      <c r="X390" s="327"/>
      <c r="Y390" s="327"/>
      <c r="Z390" s="327"/>
      <c r="AA390" s="327"/>
      <c r="AB390" s="330"/>
      <c r="AC390" s="330"/>
      <c r="AD390" s="330"/>
      <c r="AE390" s="330"/>
      <c r="AF390" s="331">
        <f t="shared" si="465"/>
        <v>1864520.1667579408</v>
      </c>
      <c r="AG390" s="332">
        <f>SUM(AF375:AF390)</f>
        <v>19503885.544696104</v>
      </c>
      <c r="AH390" s="334"/>
      <c r="AI390" s="332"/>
      <c r="AP390" s="334"/>
      <c r="AQ390" s="334"/>
    </row>
    <row r="391" spans="1:43" s="333" customFormat="1" ht="15.9" customHeight="1" x14ac:dyDescent="0.3">
      <c r="A391" s="468"/>
      <c r="B391" s="341" t="s">
        <v>504</v>
      </c>
      <c r="C391" s="263">
        <v>44789</v>
      </c>
      <c r="D391" s="419">
        <v>1727299.45</v>
      </c>
      <c r="E391" s="367">
        <v>8</v>
      </c>
      <c r="F391" s="325"/>
      <c r="G391" s="368">
        <f>D391</f>
        <v>1727299.45</v>
      </c>
      <c r="H391" s="327">
        <f t="shared" si="505"/>
        <v>86365</v>
      </c>
      <c r="I391" s="328"/>
      <c r="J391" s="366">
        <f>+C391+(E391*365)</f>
        <v>47709</v>
      </c>
      <c r="K391" s="329">
        <f t="shared" si="514"/>
        <v>2921</v>
      </c>
      <c r="L391" s="327"/>
      <c r="M391" s="327">
        <f>$V$3-C391</f>
        <v>227</v>
      </c>
      <c r="N391" s="327"/>
      <c r="O391" s="330"/>
      <c r="P391" s="330"/>
      <c r="Q391" s="330"/>
      <c r="R391" s="330"/>
      <c r="S391" s="327"/>
      <c r="T391" s="57"/>
      <c r="U391" s="327"/>
      <c r="V391" s="327">
        <f>+ROUND((G391-H391)*M391/K391,0)</f>
        <v>127522</v>
      </c>
      <c r="W391" s="327">
        <f t="shared" si="513"/>
        <v>205047</v>
      </c>
      <c r="X391" s="327"/>
      <c r="Y391" s="327"/>
      <c r="Z391" s="327"/>
      <c r="AA391" s="327"/>
      <c r="AB391" s="330"/>
      <c r="AC391" s="330"/>
      <c r="AD391" s="330"/>
      <c r="AE391" s="330"/>
      <c r="AF391" s="331"/>
      <c r="AG391" s="332"/>
      <c r="AH391" s="334"/>
      <c r="AI391" s="332"/>
      <c r="AP391" s="334"/>
      <c r="AQ391" s="334"/>
    </row>
    <row r="392" spans="1:43" s="333" customFormat="1" ht="15.9" customHeight="1" x14ac:dyDescent="0.3">
      <c r="A392" s="468"/>
      <c r="B392" s="341" t="s">
        <v>505</v>
      </c>
      <c r="C392" s="263">
        <v>44773</v>
      </c>
      <c r="D392" s="419">
        <v>965000</v>
      </c>
      <c r="E392" s="367">
        <v>8</v>
      </c>
      <c r="F392" s="325"/>
      <c r="G392" s="368">
        <f t="shared" ref="G392:G404" si="517">D392</f>
        <v>965000</v>
      </c>
      <c r="H392" s="327">
        <f t="shared" si="505"/>
        <v>48250</v>
      </c>
      <c r="I392" s="328"/>
      <c r="J392" s="366">
        <f t="shared" ref="J392:J404" si="518">+C392+(E392*365)</f>
        <v>47693</v>
      </c>
      <c r="K392" s="329">
        <f t="shared" si="514"/>
        <v>2921</v>
      </c>
      <c r="L392" s="327"/>
      <c r="M392" s="327">
        <f t="shared" ref="M392:M404" si="519">$V$3-C392</f>
        <v>243</v>
      </c>
      <c r="N392" s="327"/>
      <c r="O392" s="330"/>
      <c r="P392" s="330"/>
      <c r="Q392" s="330"/>
      <c r="R392" s="330"/>
      <c r="S392" s="327"/>
      <c r="T392" s="57"/>
      <c r="U392" s="327"/>
      <c r="V392" s="327">
        <f t="shared" ref="V392:V404" si="520">+ROUND((G392-H392)*M392/K392,0)</f>
        <v>76265</v>
      </c>
      <c r="W392" s="327">
        <f t="shared" si="513"/>
        <v>114555</v>
      </c>
      <c r="X392" s="327"/>
      <c r="Y392" s="327"/>
      <c r="Z392" s="327"/>
      <c r="AA392" s="327"/>
      <c r="AB392" s="330"/>
      <c r="AC392" s="330"/>
      <c r="AD392" s="330"/>
      <c r="AE392" s="330"/>
      <c r="AF392" s="331"/>
      <c r="AG392" s="332"/>
      <c r="AH392" s="334"/>
      <c r="AI392" s="332"/>
      <c r="AP392" s="334"/>
      <c r="AQ392" s="334"/>
    </row>
    <row r="393" spans="1:43" s="333" customFormat="1" ht="15.9" customHeight="1" x14ac:dyDescent="0.3">
      <c r="A393" s="468"/>
      <c r="B393" s="341" t="s">
        <v>506</v>
      </c>
      <c r="C393" s="263">
        <v>44768</v>
      </c>
      <c r="D393" s="419">
        <v>2783898.31</v>
      </c>
      <c r="E393" s="367">
        <v>10</v>
      </c>
      <c r="F393" s="325"/>
      <c r="G393" s="368">
        <f t="shared" si="517"/>
        <v>2783898.31</v>
      </c>
      <c r="H393" s="327">
        <f t="shared" si="505"/>
        <v>139195</v>
      </c>
      <c r="I393" s="328"/>
      <c r="J393" s="366">
        <f t="shared" si="518"/>
        <v>48418</v>
      </c>
      <c r="K393" s="329">
        <f t="shared" si="514"/>
        <v>3651</v>
      </c>
      <c r="L393" s="327"/>
      <c r="M393" s="327">
        <f t="shared" si="519"/>
        <v>248</v>
      </c>
      <c r="N393" s="327"/>
      <c r="O393" s="330"/>
      <c r="P393" s="330"/>
      <c r="Q393" s="330"/>
      <c r="R393" s="330"/>
      <c r="S393" s="327"/>
      <c r="T393" s="57"/>
      <c r="U393" s="327"/>
      <c r="V393" s="327">
        <f t="shared" si="520"/>
        <v>179646</v>
      </c>
      <c r="W393" s="327">
        <f t="shared" si="513"/>
        <v>264398</v>
      </c>
      <c r="X393" s="327"/>
      <c r="Y393" s="327"/>
      <c r="Z393" s="327"/>
      <c r="AA393" s="327"/>
      <c r="AB393" s="330"/>
      <c r="AC393" s="330"/>
      <c r="AD393" s="330"/>
      <c r="AE393" s="330"/>
      <c r="AF393" s="331"/>
      <c r="AG393" s="332"/>
      <c r="AH393" s="334"/>
      <c r="AI393" s="332"/>
      <c r="AP393" s="334"/>
      <c r="AQ393" s="334"/>
    </row>
    <row r="394" spans="1:43" s="333" customFormat="1" ht="15.9" customHeight="1" x14ac:dyDescent="0.3">
      <c r="A394" s="468"/>
      <c r="B394" s="341" t="s">
        <v>507</v>
      </c>
      <c r="C394" s="263">
        <v>44764</v>
      </c>
      <c r="D394" s="325">
        <v>6733050.8399999999</v>
      </c>
      <c r="E394" s="367">
        <v>10</v>
      </c>
      <c r="F394" s="325"/>
      <c r="G394" s="368">
        <f t="shared" si="517"/>
        <v>6733050.8399999999</v>
      </c>
      <c r="H394" s="327">
        <f t="shared" si="505"/>
        <v>336653</v>
      </c>
      <c r="I394" s="328"/>
      <c r="J394" s="366">
        <f t="shared" si="518"/>
        <v>48414</v>
      </c>
      <c r="K394" s="329">
        <f t="shared" si="514"/>
        <v>3651</v>
      </c>
      <c r="L394" s="327"/>
      <c r="M394" s="327">
        <f t="shared" si="519"/>
        <v>252</v>
      </c>
      <c r="N394" s="327"/>
      <c r="O394" s="330"/>
      <c r="P394" s="330"/>
      <c r="Q394" s="330"/>
      <c r="R394" s="330"/>
      <c r="S394" s="327"/>
      <c r="T394" s="57"/>
      <c r="U394" s="327"/>
      <c r="V394" s="327">
        <f t="shared" si="520"/>
        <v>441493</v>
      </c>
      <c r="W394" s="327">
        <f t="shared" si="513"/>
        <v>639465</v>
      </c>
      <c r="X394" s="327"/>
      <c r="Y394" s="327"/>
      <c r="Z394" s="327"/>
      <c r="AA394" s="327"/>
      <c r="AB394" s="330"/>
      <c r="AC394" s="330"/>
      <c r="AD394" s="330"/>
      <c r="AE394" s="330"/>
      <c r="AF394" s="331"/>
      <c r="AG394" s="332"/>
      <c r="AH394" s="334"/>
      <c r="AI394" s="332"/>
      <c r="AP394" s="334"/>
      <c r="AQ394" s="334"/>
    </row>
    <row r="395" spans="1:43" s="333" customFormat="1" ht="15.9" customHeight="1" x14ac:dyDescent="0.3">
      <c r="A395" s="468"/>
      <c r="B395" s="341" t="s">
        <v>508</v>
      </c>
      <c r="C395" s="263">
        <v>44770</v>
      </c>
      <c r="D395" s="325">
        <v>3111702.34</v>
      </c>
      <c r="E395" s="367">
        <v>10</v>
      </c>
      <c r="F395" s="325"/>
      <c r="G395" s="368">
        <f t="shared" si="517"/>
        <v>3111702.34</v>
      </c>
      <c r="H395" s="327">
        <f t="shared" si="505"/>
        <v>155585</v>
      </c>
      <c r="I395" s="328"/>
      <c r="J395" s="366">
        <f t="shared" si="518"/>
        <v>48420</v>
      </c>
      <c r="K395" s="329">
        <f t="shared" si="514"/>
        <v>3651</v>
      </c>
      <c r="L395" s="327"/>
      <c r="M395" s="327">
        <f t="shared" si="519"/>
        <v>246</v>
      </c>
      <c r="N395" s="327"/>
      <c r="O395" s="330"/>
      <c r="P395" s="330"/>
      <c r="Q395" s="330"/>
      <c r="R395" s="330"/>
      <c r="S395" s="327"/>
      <c r="T395" s="57"/>
      <c r="U395" s="327"/>
      <c r="V395" s="327">
        <f t="shared" si="520"/>
        <v>199180</v>
      </c>
      <c r="W395" s="327">
        <f t="shared" si="513"/>
        <v>295531</v>
      </c>
      <c r="X395" s="327"/>
      <c r="Y395" s="327"/>
      <c r="Z395" s="327"/>
      <c r="AA395" s="327"/>
      <c r="AB395" s="330"/>
      <c r="AC395" s="330"/>
      <c r="AD395" s="330"/>
      <c r="AE395" s="330"/>
      <c r="AF395" s="331"/>
      <c r="AG395" s="332"/>
      <c r="AH395" s="334"/>
      <c r="AI395" s="332"/>
      <c r="AP395" s="334"/>
      <c r="AQ395" s="334"/>
    </row>
    <row r="396" spans="1:43" s="333" customFormat="1" ht="15.9" customHeight="1" x14ac:dyDescent="0.3">
      <c r="A396" s="468"/>
      <c r="B396" s="341" t="s">
        <v>509</v>
      </c>
      <c r="C396" s="263">
        <v>44770</v>
      </c>
      <c r="D396" s="325">
        <v>3067274.22</v>
      </c>
      <c r="E396" s="367">
        <v>10</v>
      </c>
      <c r="F396" s="325"/>
      <c r="G396" s="368">
        <f t="shared" si="517"/>
        <v>3067274.22</v>
      </c>
      <c r="H396" s="327">
        <f t="shared" si="505"/>
        <v>153364</v>
      </c>
      <c r="I396" s="328"/>
      <c r="J396" s="366">
        <f t="shared" si="518"/>
        <v>48420</v>
      </c>
      <c r="K396" s="329">
        <f t="shared" si="514"/>
        <v>3651</v>
      </c>
      <c r="L396" s="327"/>
      <c r="M396" s="327">
        <f t="shared" si="519"/>
        <v>246</v>
      </c>
      <c r="N396" s="327"/>
      <c r="O396" s="330"/>
      <c r="P396" s="330"/>
      <c r="Q396" s="330"/>
      <c r="R396" s="330"/>
      <c r="S396" s="327"/>
      <c r="T396" s="57"/>
      <c r="U396" s="327"/>
      <c r="V396" s="327">
        <f t="shared" si="520"/>
        <v>196336</v>
      </c>
      <c r="W396" s="327">
        <f t="shared" si="513"/>
        <v>291311</v>
      </c>
      <c r="X396" s="327"/>
      <c r="Y396" s="327"/>
      <c r="Z396" s="327"/>
      <c r="AA396" s="327"/>
      <c r="AB396" s="330"/>
      <c r="AC396" s="330"/>
      <c r="AD396" s="330"/>
      <c r="AE396" s="330"/>
      <c r="AF396" s="331"/>
      <c r="AG396" s="332"/>
      <c r="AH396" s="334"/>
      <c r="AI396" s="332"/>
      <c r="AP396" s="334"/>
      <c r="AQ396" s="334"/>
    </row>
    <row r="397" spans="1:43" s="333" customFormat="1" ht="15.9" customHeight="1" x14ac:dyDescent="0.3">
      <c r="A397" s="468"/>
      <c r="B397" s="341" t="s">
        <v>510</v>
      </c>
      <c r="C397" s="263">
        <v>44770</v>
      </c>
      <c r="D397" s="325">
        <v>3067274</v>
      </c>
      <c r="E397" s="367">
        <v>10</v>
      </c>
      <c r="F397" s="325"/>
      <c r="G397" s="368">
        <f t="shared" si="517"/>
        <v>3067274</v>
      </c>
      <c r="H397" s="327">
        <f t="shared" si="505"/>
        <v>153364</v>
      </c>
      <c r="I397" s="328"/>
      <c r="J397" s="366">
        <f t="shared" si="518"/>
        <v>48420</v>
      </c>
      <c r="K397" s="329">
        <f t="shared" si="514"/>
        <v>3651</v>
      </c>
      <c r="L397" s="327"/>
      <c r="M397" s="327">
        <f t="shared" si="519"/>
        <v>246</v>
      </c>
      <c r="N397" s="327"/>
      <c r="O397" s="330"/>
      <c r="P397" s="330"/>
      <c r="Q397" s="330"/>
      <c r="R397" s="330"/>
      <c r="S397" s="327"/>
      <c r="T397" s="57"/>
      <c r="U397" s="327"/>
      <c r="V397" s="327">
        <f t="shared" si="520"/>
        <v>196336</v>
      </c>
      <c r="W397" s="327">
        <f t="shared" si="513"/>
        <v>291311</v>
      </c>
      <c r="X397" s="327"/>
      <c r="Y397" s="327"/>
      <c r="Z397" s="327"/>
      <c r="AA397" s="327"/>
      <c r="AB397" s="330"/>
      <c r="AC397" s="330"/>
      <c r="AD397" s="330"/>
      <c r="AE397" s="330"/>
      <c r="AF397" s="331"/>
      <c r="AG397" s="332"/>
      <c r="AH397" s="334"/>
      <c r="AI397" s="332"/>
      <c r="AP397" s="334"/>
      <c r="AQ397" s="334"/>
    </row>
    <row r="398" spans="1:43" s="333" customFormat="1" ht="15.9" customHeight="1" x14ac:dyDescent="0.3">
      <c r="A398" s="468"/>
      <c r="B398" s="341" t="s">
        <v>511</v>
      </c>
      <c r="C398" s="263">
        <v>44770</v>
      </c>
      <c r="D398" s="325">
        <v>3067274</v>
      </c>
      <c r="E398" s="367">
        <v>10</v>
      </c>
      <c r="F398" s="325"/>
      <c r="G398" s="368">
        <f t="shared" si="517"/>
        <v>3067274</v>
      </c>
      <c r="H398" s="327">
        <f t="shared" si="505"/>
        <v>153364</v>
      </c>
      <c r="I398" s="328"/>
      <c r="J398" s="366">
        <f t="shared" si="518"/>
        <v>48420</v>
      </c>
      <c r="K398" s="329">
        <f t="shared" si="514"/>
        <v>3651</v>
      </c>
      <c r="L398" s="327"/>
      <c r="M398" s="327">
        <f t="shared" si="519"/>
        <v>246</v>
      </c>
      <c r="N398" s="327"/>
      <c r="O398" s="330"/>
      <c r="P398" s="330"/>
      <c r="Q398" s="330"/>
      <c r="R398" s="330"/>
      <c r="S398" s="327"/>
      <c r="T398" s="57"/>
      <c r="U398" s="327"/>
      <c r="V398" s="327">
        <f t="shared" si="520"/>
        <v>196336</v>
      </c>
      <c r="W398" s="327">
        <f t="shared" si="513"/>
        <v>291311</v>
      </c>
      <c r="X398" s="327"/>
      <c r="Y398" s="327"/>
      <c r="Z398" s="327"/>
      <c r="AA398" s="327"/>
      <c r="AB398" s="330"/>
      <c r="AC398" s="330"/>
      <c r="AD398" s="330"/>
      <c r="AE398" s="330"/>
      <c r="AF398" s="331"/>
      <c r="AG398" s="332"/>
      <c r="AH398" s="334"/>
      <c r="AI398" s="332"/>
      <c r="AP398" s="334"/>
      <c r="AQ398" s="334"/>
    </row>
    <row r="399" spans="1:43" s="333" customFormat="1" ht="15.9" customHeight="1" x14ac:dyDescent="0.3">
      <c r="A399" s="468"/>
      <c r="B399" s="341" t="s">
        <v>512</v>
      </c>
      <c r="C399" s="263">
        <v>44834</v>
      </c>
      <c r="D399" s="325">
        <v>4635844.9400000004</v>
      </c>
      <c r="E399" s="367">
        <v>10</v>
      </c>
      <c r="F399" s="325"/>
      <c r="G399" s="368">
        <f t="shared" si="517"/>
        <v>4635844.9400000004</v>
      </c>
      <c r="H399" s="327">
        <f t="shared" si="505"/>
        <v>231792</v>
      </c>
      <c r="I399" s="328"/>
      <c r="J399" s="366">
        <f t="shared" si="518"/>
        <v>48484</v>
      </c>
      <c r="K399" s="329">
        <f t="shared" si="514"/>
        <v>3651</v>
      </c>
      <c r="L399" s="327"/>
      <c r="M399" s="327">
        <f t="shared" si="519"/>
        <v>182</v>
      </c>
      <c r="N399" s="327"/>
      <c r="O399" s="330"/>
      <c r="P399" s="330"/>
      <c r="Q399" s="330"/>
      <c r="R399" s="330"/>
      <c r="S399" s="327"/>
      <c r="T399" s="57"/>
      <c r="U399" s="327"/>
      <c r="V399" s="327">
        <f t="shared" si="520"/>
        <v>219539</v>
      </c>
      <c r="W399" s="327">
        <f t="shared" si="513"/>
        <v>440285</v>
      </c>
      <c r="X399" s="327"/>
      <c r="Y399" s="327"/>
      <c r="Z399" s="327"/>
      <c r="AA399" s="327"/>
      <c r="AB399" s="330"/>
      <c r="AC399" s="330"/>
      <c r="AD399" s="330"/>
      <c r="AE399" s="330"/>
      <c r="AF399" s="331"/>
      <c r="AG399" s="332"/>
      <c r="AH399" s="334"/>
      <c r="AI399" s="332"/>
      <c r="AP399" s="334"/>
      <c r="AQ399" s="334"/>
    </row>
    <row r="400" spans="1:43" s="333" customFormat="1" ht="15.9" customHeight="1" x14ac:dyDescent="0.3">
      <c r="A400" s="468"/>
      <c r="B400" s="341" t="s">
        <v>513</v>
      </c>
      <c r="C400" s="263">
        <v>44834</v>
      </c>
      <c r="D400" s="325">
        <v>4635844.9400000004</v>
      </c>
      <c r="E400" s="367">
        <v>10</v>
      </c>
      <c r="F400" s="325"/>
      <c r="G400" s="368">
        <f t="shared" si="517"/>
        <v>4635844.9400000004</v>
      </c>
      <c r="H400" s="327">
        <f t="shared" si="505"/>
        <v>231792</v>
      </c>
      <c r="I400" s="328"/>
      <c r="J400" s="366">
        <f t="shared" si="518"/>
        <v>48484</v>
      </c>
      <c r="K400" s="329">
        <f t="shared" si="514"/>
        <v>3651</v>
      </c>
      <c r="L400" s="327"/>
      <c r="M400" s="327">
        <f t="shared" si="519"/>
        <v>182</v>
      </c>
      <c r="N400" s="327"/>
      <c r="O400" s="330"/>
      <c r="P400" s="330"/>
      <c r="Q400" s="330"/>
      <c r="R400" s="330"/>
      <c r="S400" s="327"/>
      <c r="T400" s="57"/>
      <c r="U400" s="327"/>
      <c r="V400" s="327">
        <f t="shared" si="520"/>
        <v>219539</v>
      </c>
      <c r="W400" s="327">
        <f t="shared" si="513"/>
        <v>440285</v>
      </c>
      <c r="X400" s="327"/>
      <c r="Y400" s="327"/>
      <c r="Z400" s="327"/>
      <c r="AA400" s="327"/>
      <c r="AB400" s="330"/>
      <c r="AC400" s="330"/>
      <c r="AD400" s="330"/>
      <c r="AE400" s="330"/>
      <c r="AF400" s="331"/>
      <c r="AG400" s="332"/>
      <c r="AH400" s="334"/>
      <c r="AI400" s="332"/>
      <c r="AP400" s="334"/>
      <c r="AQ400" s="334"/>
    </row>
    <row r="401" spans="1:43" s="333" customFormat="1" ht="15.9" customHeight="1" x14ac:dyDescent="0.3">
      <c r="A401" s="468"/>
      <c r="B401" s="341" t="s">
        <v>571</v>
      </c>
      <c r="C401" s="263">
        <v>44960</v>
      </c>
      <c r="D401" s="325">
        <v>1117351.8899999999</v>
      </c>
      <c r="E401" s="422">
        <v>8</v>
      </c>
      <c r="F401" s="325"/>
      <c r="G401" s="368">
        <f t="shared" si="517"/>
        <v>1117351.8899999999</v>
      </c>
      <c r="H401" s="327">
        <f t="shared" si="505"/>
        <v>55868</v>
      </c>
      <c r="I401" s="328"/>
      <c r="J401" s="366">
        <f t="shared" si="518"/>
        <v>47880</v>
      </c>
      <c r="K401" s="327">
        <f t="shared" si="514"/>
        <v>2921</v>
      </c>
      <c r="L401" s="327"/>
      <c r="M401" s="327">
        <f t="shared" si="519"/>
        <v>56</v>
      </c>
      <c r="N401" s="327"/>
      <c r="O401" s="330"/>
      <c r="P401" s="330"/>
      <c r="Q401" s="330"/>
      <c r="R401" s="330"/>
      <c r="S401" s="327"/>
      <c r="T401" s="57"/>
      <c r="U401" s="327"/>
      <c r="V401" s="327">
        <f t="shared" si="520"/>
        <v>20350</v>
      </c>
      <c r="W401" s="327">
        <f t="shared" si="513"/>
        <v>132640</v>
      </c>
      <c r="X401" s="327"/>
      <c r="Y401" s="327"/>
      <c r="Z401" s="327"/>
      <c r="AA401" s="327"/>
      <c r="AB401" s="330"/>
      <c r="AC401" s="330"/>
      <c r="AD401" s="330"/>
      <c r="AE401" s="330"/>
      <c r="AF401" s="331"/>
      <c r="AG401" s="332"/>
      <c r="AH401" s="334"/>
      <c r="AI401" s="332"/>
      <c r="AP401" s="334"/>
      <c r="AQ401" s="334"/>
    </row>
    <row r="402" spans="1:43" s="333" customFormat="1" ht="15.9" customHeight="1" x14ac:dyDescent="0.3">
      <c r="A402" s="468"/>
      <c r="B402" s="341" t="s">
        <v>572</v>
      </c>
      <c r="C402" s="263">
        <v>44986</v>
      </c>
      <c r="D402" s="325">
        <v>1636393</v>
      </c>
      <c r="E402" s="422">
        <v>8</v>
      </c>
      <c r="F402" s="325"/>
      <c r="G402" s="368">
        <f t="shared" si="517"/>
        <v>1636393</v>
      </c>
      <c r="H402" s="327">
        <f t="shared" si="505"/>
        <v>81820</v>
      </c>
      <c r="I402" s="328"/>
      <c r="J402" s="366">
        <f t="shared" si="518"/>
        <v>47906</v>
      </c>
      <c r="K402" s="327">
        <f t="shared" si="514"/>
        <v>2921</v>
      </c>
      <c r="L402" s="327"/>
      <c r="M402" s="327">
        <f t="shared" si="519"/>
        <v>30</v>
      </c>
      <c r="N402" s="327"/>
      <c r="O402" s="330"/>
      <c r="P402" s="330"/>
      <c r="Q402" s="330"/>
      <c r="R402" s="330"/>
      <c r="S402" s="327"/>
      <c r="T402" s="57"/>
      <c r="U402" s="327"/>
      <c r="V402" s="327">
        <f t="shared" si="520"/>
        <v>15966</v>
      </c>
      <c r="W402" s="327">
        <f t="shared" si="513"/>
        <v>194255</v>
      </c>
      <c r="X402" s="327"/>
      <c r="Y402" s="327"/>
      <c r="Z402" s="327"/>
      <c r="AA402" s="327"/>
      <c r="AB402" s="330"/>
      <c r="AC402" s="330"/>
      <c r="AD402" s="330"/>
      <c r="AE402" s="330"/>
      <c r="AF402" s="331"/>
      <c r="AG402" s="332"/>
      <c r="AH402" s="334"/>
      <c r="AI402" s="332"/>
      <c r="AP402" s="334"/>
      <c r="AQ402" s="334"/>
    </row>
    <row r="403" spans="1:43" s="333" customFormat="1" ht="15.9" customHeight="1" x14ac:dyDescent="0.3">
      <c r="A403" s="468"/>
      <c r="B403" s="341" t="s">
        <v>573</v>
      </c>
      <c r="C403" s="263">
        <v>44981</v>
      </c>
      <c r="D403" s="325">
        <v>13482938</v>
      </c>
      <c r="E403" s="367">
        <v>10</v>
      </c>
      <c r="F403" s="325"/>
      <c r="G403" s="368">
        <f t="shared" si="517"/>
        <v>13482938</v>
      </c>
      <c r="H403" s="327">
        <f t="shared" si="505"/>
        <v>674147</v>
      </c>
      <c r="I403" s="328"/>
      <c r="J403" s="366">
        <f t="shared" si="518"/>
        <v>48631</v>
      </c>
      <c r="K403" s="327">
        <f t="shared" si="514"/>
        <v>3651</v>
      </c>
      <c r="L403" s="327"/>
      <c r="M403" s="327">
        <f t="shared" si="519"/>
        <v>35</v>
      </c>
      <c r="N403" s="327"/>
      <c r="O403" s="330"/>
      <c r="P403" s="330"/>
      <c r="Q403" s="330"/>
      <c r="R403" s="330"/>
      <c r="S403" s="327"/>
      <c r="T403" s="57"/>
      <c r="U403" s="327"/>
      <c r="V403" s="327">
        <f t="shared" si="520"/>
        <v>122790</v>
      </c>
      <c r="W403" s="327">
        <f t="shared" si="513"/>
        <v>1280528</v>
      </c>
      <c r="X403" s="327"/>
      <c r="Y403" s="327"/>
      <c r="Z403" s="327"/>
      <c r="AA403" s="327"/>
      <c r="AB403" s="330"/>
      <c r="AC403" s="330"/>
      <c r="AD403" s="330"/>
      <c r="AE403" s="330"/>
      <c r="AF403" s="331"/>
      <c r="AG403" s="332"/>
      <c r="AH403" s="334"/>
      <c r="AI403" s="332"/>
      <c r="AP403" s="334"/>
      <c r="AQ403" s="334"/>
    </row>
    <row r="404" spans="1:43" s="333" customFormat="1" ht="15.9" customHeight="1" x14ac:dyDescent="0.3">
      <c r="A404" s="468"/>
      <c r="B404" s="341" t="s">
        <v>574</v>
      </c>
      <c r="C404" s="263">
        <v>44966</v>
      </c>
      <c r="D404" s="325">
        <v>13311701.880000001</v>
      </c>
      <c r="E404" s="367">
        <v>10</v>
      </c>
      <c r="F404" s="325"/>
      <c r="G404" s="368">
        <f t="shared" si="517"/>
        <v>13311701.880000001</v>
      </c>
      <c r="H404" s="327">
        <f t="shared" si="505"/>
        <v>665585</v>
      </c>
      <c r="I404" s="328"/>
      <c r="J404" s="366">
        <f t="shared" si="518"/>
        <v>48616</v>
      </c>
      <c r="K404" s="327">
        <f t="shared" si="514"/>
        <v>3651</v>
      </c>
      <c r="L404" s="327"/>
      <c r="M404" s="327">
        <f t="shared" si="519"/>
        <v>50</v>
      </c>
      <c r="N404" s="327"/>
      <c r="O404" s="330"/>
      <c r="P404" s="330"/>
      <c r="Q404" s="330"/>
      <c r="R404" s="330"/>
      <c r="S404" s="327"/>
      <c r="T404" s="57"/>
      <c r="U404" s="327"/>
      <c r="V404" s="327">
        <f t="shared" si="520"/>
        <v>173187</v>
      </c>
      <c r="W404" s="327">
        <f t="shared" si="513"/>
        <v>1264265</v>
      </c>
      <c r="X404" s="327"/>
      <c r="Y404" s="327"/>
      <c r="Z404" s="327"/>
      <c r="AA404" s="327"/>
      <c r="AB404" s="330"/>
      <c r="AC404" s="330"/>
      <c r="AD404" s="330"/>
      <c r="AE404" s="330"/>
      <c r="AF404" s="331"/>
      <c r="AG404" s="332"/>
      <c r="AH404" s="334"/>
      <c r="AI404" s="332"/>
      <c r="AP404" s="334"/>
      <c r="AQ404" s="334"/>
    </row>
    <row r="405" spans="1:43" s="35" customFormat="1" ht="15.9" customHeight="1" x14ac:dyDescent="0.3">
      <c r="A405" s="468"/>
      <c r="B405" s="61" t="s">
        <v>2</v>
      </c>
      <c r="C405" s="62"/>
      <c r="D405" s="63">
        <f>SUM(D375:D404)</f>
        <v>88169382.339999989</v>
      </c>
      <c r="E405" s="110"/>
      <c r="F405" s="63">
        <f>SUM(F375:F390)</f>
        <v>17724.429917808447</v>
      </c>
      <c r="G405" s="63">
        <f>SUM(G375:G404)</f>
        <v>90045798.910082176</v>
      </c>
      <c r="H405" s="63">
        <f>SUM(H375:H404)</f>
        <v>4542907</v>
      </c>
      <c r="I405" s="63"/>
      <c r="J405" s="63"/>
      <c r="K405" s="63"/>
      <c r="L405" s="63">
        <f>SUM(L375:L390)</f>
        <v>38500.009999999776</v>
      </c>
      <c r="M405" s="63"/>
      <c r="N405" s="63">
        <f t="shared" ref="N405:AE405" si="521">SUM(N375:N390)</f>
        <v>4421</v>
      </c>
      <c r="O405" s="63">
        <f t="shared" si="521"/>
        <v>4421</v>
      </c>
      <c r="P405" s="63">
        <f t="shared" si="521"/>
        <v>494506</v>
      </c>
      <c r="Q405" s="63">
        <f t="shared" si="521"/>
        <v>836474</v>
      </c>
      <c r="R405" s="63">
        <f t="shared" si="521"/>
        <v>836474</v>
      </c>
      <c r="S405" s="63">
        <f t="shared" si="521"/>
        <v>1097187</v>
      </c>
      <c r="T405" s="63">
        <f t="shared" si="521"/>
        <v>832053</v>
      </c>
      <c r="U405" s="63">
        <f t="shared" si="521"/>
        <v>1160888.5453860897</v>
      </c>
      <c r="V405" s="63">
        <f>SUM(V375:V404)</f>
        <v>4737292</v>
      </c>
      <c r="W405" s="63">
        <f>SUM(W375:W404)</f>
        <v>8497994</v>
      </c>
      <c r="X405" s="63">
        <f t="shared" ref="X405:AA405" si="522">SUM(X375:X403)</f>
        <v>844644</v>
      </c>
      <c r="Y405" s="63">
        <f t="shared" si="522"/>
        <v>844644</v>
      </c>
      <c r="Z405" s="63">
        <f t="shared" si="522"/>
        <v>244333</v>
      </c>
      <c r="AA405" s="63">
        <f t="shared" si="522"/>
        <v>12591</v>
      </c>
      <c r="AB405" s="63">
        <f t="shared" si="521"/>
        <v>0</v>
      </c>
      <c r="AC405" s="63">
        <f t="shared" si="521"/>
        <v>0</v>
      </c>
      <c r="AD405" s="63">
        <f t="shared" si="521"/>
        <v>0</v>
      </c>
      <c r="AE405" s="63">
        <f t="shared" si="521"/>
        <v>0</v>
      </c>
      <c r="AF405" s="59">
        <f>+D405-F405-SUM(N405:V405)-L405</f>
        <v>78109441.35469608</v>
      </c>
      <c r="AG405" s="68"/>
      <c r="AI405" s="32"/>
      <c r="AP405" s="101"/>
    </row>
    <row r="406" spans="1:43" ht="15.9" customHeight="1" x14ac:dyDescent="0.3">
      <c r="B406" s="69"/>
      <c r="C406" s="120"/>
      <c r="D406" s="82"/>
      <c r="E406" s="83"/>
      <c r="F406" s="82"/>
      <c r="G406" s="84"/>
      <c r="H406" s="75"/>
      <c r="I406" s="73"/>
      <c r="J406" s="120"/>
      <c r="K406" s="75"/>
      <c r="L406" s="75"/>
      <c r="M406" s="75"/>
      <c r="N406" s="71"/>
      <c r="O406" s="71"/>
      <c r="P406" s="71"/>
      <c r="Q406" s="71"/>
      <c r="R406" s="71"/>
      <c r="S406" s="71"/>
      <c r="T406" s="71"/>
      <c r="U406" s="351"/>
      <c r="V406" s="71"/>
      <c r="W406" s="71"/>
      <c r="X406" s="71"/>
      <c r="Y406" s="71"/>
      <c r="Z406" s="71"/>
      <c r="AA406" s="71"/>
      <c r="AB406" s="71"/>
      <c r="AC406" s="71"/>
      <c r="AD406" s="71"/>
      <c r="AE406" s="71"/>
      <c r="AF406" s="59"/>
      <c r="AP406" s="101"/>
    </row>
    <row r="407" spans="1:43" ht="15.9" customHeight="1" x14ac:dyDescent="0.3">
      <c r="A407" s="468" t="s">
        <v>593</v>
      </c>
      <c r="B407" s="52" t="s">
        <v>314</v>
      </c>
      <c r="C407" s="53"/>
      <c r="D407" s="54">
        <f>1113861-55693</f>
        <v>1058168</v>
      </c>
      <c r="E407" s="78">
        <v>3</v>
      </c>
      <c r="F407" s="54">
        <v>1038701.42</v>
      </c>
      <c r="G407" s="56">
        <f t="shared" ref="G407:G411" si="523">D407-F407</f>
        <v>19466.579999999958</v>
      </c>
      <c r="H407" s="57">
        <f>55693-55693</f>
        <v>0</v>
      </c>
      <c r="I407" s="86">
        <v>0</v>
      </c>
      <c r="J407" s="86">
        <v>0</v>
      </c>
      <c r="K407" s="56">
        <v>0</v>
      </c>
      <c r="L407" s="58">
        <f>+G407-H407</f>
        <v>19466.579999999958</v>
      </c>
      <c r="M407" s="58"/>
      <c r="N407" s="80">
        <v>0</v>
      </c>
      <c r="O407" s="80">
        <v>0</v>
      </c>
      <c r="P407" s="80">
        <v>0</v>
      </c>
      <c r="Q407" s="80">
        <v>0</v>
      </c>
      <c r="R407" s="80">
        <v>0</v>
      </c>
      <c r="S407" s="80">
        <v>0</v>
      </c>
      <c r="T407" s="80">
        <v>0</v>
      </c>
      <c r="U407" s="353">
        <v>0</v>
      </c>
      <c r="V407" s="80">
        <v>0</v>
      </c>
      <c r="W407" s="80">
        <v>0</v>
      </c>
      <c r="X407" s="80">
        <v>0</v>
      </c>
      <c r="Y407" s="80">
        <v>0</v>
      </c>
      <c r="Z407" s="80">
        <v>0</v>
      </c>
      <c r="AA407" s="80">
        <v>0</v>
      </c>
      <c r="AB407" s="80">
        <v>0</v>
      </c>
      <c r="AC407" s="80">
        <v>0</v>
      </c>
      <c r="AD407" s="80"/>
      <c r="AE407" s="80">
        <v>0</v>
      </c>
      <c r="AF407" s="59">
        <f t="shared" si="465"/>
        <v>0</v>
      </c>
      <c r="AP407" s="101"/>
      <c r="AQ407" s="101"/>
    </row>
    <row r="408" spans="1:43" ht="15.9" customHeight="1" x14ac:dyDescent="0.3">
      <c r="A408" s="468"/>
      <c r="B408" s="52" t="s">
        <v>463</v>
      </c>
      <c r="C408" s="53"/>
      <c r="D408" s="54">
        <v>-1058168</v>
      </c>
      <c r="E408" s="78"/>
      <c r="F408" s="54">
        <v>-1038701</v>
      </c>
      <c r="G408" s="56"/>
      <c r="H408" s="57"/>
      <c r="I408" s="86"/>
      <c r="J408" s="86"/>
      <c r="K408" s="56"/>
      <c r="L408" s="58"/>
      <c r="M408" s="58"/>
      <c r="N408" s="80"/>
      <c r="O408" s="80"/>
      <c r="P408" s="80"/>
      <c r="Q408" s="80"/>
      <c r="R408" s="80"/>
      <c r="S408" s="80"/>
      <c r="T408" s="80"/>
      <c r="U408" s="353"/>
      <c r="V408" s="80"/>
      <c r="W408" s="80"/>
      <c r="X408" s="80"/>
      <c r="Y408" s="80"/>
      <c r="Z408" s="80"/>
      <c r="AA408" s="80"/>
      <c r="AB408" s="80"/>
      <c r="AC408" s="80"/>
      <c r="AD408" s="80"/>
      <c r="AE408" s="80"/>
      <c r="AF408" s="59">
        <f t="shared" si="465"/>
        <v>-19467</v>
      </c>
      <c r="AP408" s="101"/>
      <c r="AQ408" s="101"/>
    </row>
    <row r="409" spans="1:43" ht="15.9" customHeight="1" x14ac:dyDescent="0.3">
      <c r="A409" s="468"/>
      <c r="B409" s="52" t="s">
        <v>169</v>
      </c>
      <c r="C409" s="53">
        <v>40686</v>
      </c>
      <c r="D409" s="54">
        <v>21500</v>
      </c>
      <c r="E409" s="78">
        <v>3</v>
      </c>
      <c r="F409" s="54">
        <v>9960</v>
      </c>
      <c r="G409" s="56">
        <f t="shared" si="523"/>
        <v>11540</v>
      </c>
      <c r="H409" s="57">
        <f>ROUND(D409*5%,0)</f>
        <v>1075</v>
      </c>
      <c r="I409" s="58">
        <f t="shared" ref="I409:I411" si="524">$I$3-C409+1</f>
        <v>1044</v>
      </c>
      <c r="J409" s="53">
        <f>+C409+1095</f>
        <v>41781</v>
      </c>
      <c r="K409" s="60">
        <f>+J409-C409-I409+1</f>
        <v>52</v>
      </c>
      <c r="L409" s="57">
        <v>0</v>
      </c>
      <c r="M409" s="57"/>
      <c r="N409" s="58">
        <f>+G409-H409</f>
        <v>10465</v>
      </c>
      <c r="O409" s="80">
        <v>0</v>
      </c>
      <c r="P409" s="80">
        <v>0</v>
      </c>
      <c r="Q409" s="80">
        <v>0</v>
      </c>
      <c r="R409" s="80">
        <v>0</v>
      </c>
      <c r="S409" s="80">
        <v>0</v>
      </c>
      <c r="T409" s="80">
        <v>0</v>
      </c>
      <c r="U409" s="353">
        <v>0</v>
      </c>
      <c r="V409" s="80">
        <v>0</v>
      </c>
      <c r="W409" s="80">
        <v>0</v>
      </c>
      <c r="X409" s="80">
        <v>0</v>
      </c>
      <c r="Y409" s="80">
        <v>0</v>
      </c>
      <c r="Z409" s="80">
        <v>0</v>
      </c>
      <c r="AA409" s="80">
        <v>0</v>
      </c>
      <c r="AB409" s="80">
        <v>0</v>
      </c>
      <c r="AC409" s="80">
        <v>0</v>
      </c>
      <c r="AD409" s="80"/>
      <c r="AE409" s="80">
        <v>0</v>
      </c>
      <c r="AF409" s="59">
        <f t="shared" si="465"/>
        <v>1075</v>
      </c>
      <c r="AP409" s="101"/>
      <c r="AQ409" s="101"/>
    </row>
    <row r="410" spans="1:43" ht="15.9" customHeight="1" x14ac:dyDescent="0.3">
      <c r="A410" s="468"/>
      <c r="B410" s="52" t="s">
        <v>308</v>
      </c>
      <c r="C410" s="53">
        <v>40896</v>
      </c>
      <c r="D410" s="116">
        <v>3800</v>
      </c>
      <c r="E410" s="78">
        <v>3</v>
      </c>
      <c r="F410" s="118">
        <v>3800</v>
      </c>
      <c r="G410" s="56">
        <f t="shared" si="523"/>
        <v>0</v>
      </c>
      <c r="H410" s="57">
        <v>0</v>
      </c>
      <c r="I410" s="58">
        <v>0</v>
      </c>
      <c r="J410" s="58">
        <v>0</v>
      </c>
      <c r="K410" s="58">
        <v>0</v>
      </c>
      <c r="L410" s="57">
        <v>0</v>
      </c>
      <c r="M410" s="57"/>
      <c r="N410" s="80">
        <v>0</v>
      </c>
      <c r="O410" s="80">
        <v>0</v>
      </c>
      <c r="P410" s="80">
        <v>0</v>
      </c>
      <c r="Q410" s="80">
        <v>0</v>
      </c>
      <c r="R410" s="80">
        <v>0</v>
      </c>
      <c r="S410" s="80">
        <v>0</v>
      </c>
      <c r="T410" s="80">
        <v>0</v>
      </c>
      <c r="U410" s="353">
        <v>0</v>
      </c>
      <c r="V410" s="80">
        <v>0</v>
      </c>
      <c r="W410" s="80">
        <v>0</v>
      </c>
      <c r="X410" s="80">
        <v>0</v>
      </c>
      <c r="Y410" s="80">
        <v>0</v>
      </c>
      <c r="Z410" s="80">
        <v>0</v>
      </c>
      <c r="AA410" s="80">
        <v>0</v>
      </c>
      <c r="AB410" s="80">
        <v>0</v>
      </c>
      <c r="AC410" s="80">
        <v>0</v>
      </c>
      <c r="AD410" s="80"/>
      <c r="AE410" s="80">
        <v>0</v>
      </c>
      <c r="AF410" s="59">
        <f t="shared" si="465"/>
        <v>0</v>
      </c>
      <c r="AP410" s="101"/>
      <c r="AQ410" s="101"/>
    </row>
    <row r="411" spans="1:43" ht="15.9" customHeight="1" x14ac:dyDescent="0.3">
      <c r="A411" s="468"/>
      <c r="B411" s="92" t="s">
        <v>170</v>
      </c>
      <c r="C411" s="121">
        <v>41031</v>
      </c>
      <c r="D411" s="54">
        <v>21500</v>
      </c>
      <c r="E411" s="122">
        <v>3</v>
      </c>
      <c r="F411" s="94">
        <v>6674</v>
      </c>
      <c r="G411" s="56">
        <f t="shared" si="523"/>
        <v>14826</v>
      </c>
      <c r="H411" s="57">
        <f t="shared" ref="H411" si="525">ROUND(D411*5%,0)</f>
        <v>1075</v>
      </c>
      <c r="I411" s="58">
        <f t="shared" si="524"/>
        <v>699</v>
      </c>
      <c r="J411" s="53">
        <f>+C411+1094</f>
        <v>42125</v>
      </c>
      <c r="K411" s="60">
        <f>+J411-C411-I411+1</f>
        <v>396</v>
      </c>
      <c r="L411" s="57">
        <v>0</v>
      </c>
      <c r="M411" s="57"/>
      <c r="N411" s="57">
        <f>+ROUND((G411-H411)*365/K411,0)</f>
        <v>12675</v>
      </c>
      <c r="O411" s="57">
        <f>+ROUND((G411-H411)*(K411-365)/K411,0)</f>
        <v>1076</v>
      </c>
      <c r="P411" s="80">
        <v>0</v>
      </c>
      <c r="Q411" s="80">
        <v>0</v>
      </c>
      <c r="R411" s="80">
        <v>0</v>
      </c>
      <c r="S411" s="80">
        <v>0</v>
      </c>
      <c r="T411" s="80">
        <v>0</v>
      </c>
      <c r="U411" s="353">
        <v>0</v>
      </c>
      <c r="V411" s="80">
        <v>0</v>
      </c>
      <c r="W411" s="80">
        <v>0</v>
      </c>
      <c r="X411" s="80">
        <v>0</v>
      </c>
      <c r="Y411" s="80">
        <v>0</v>
      </c>
      <c r="Z411" s="80">
        <v>0</v>
      </c>
      <c r="AA411" s="80">
        <v>0</v>
      </c>
      <c r="AB411" s="80">
        <v>0</v>
      </c>
      <c r="AC411" s="80">
        <v>0</v>
      </c>
      <c r="AD411" s="80"/>
      <c r="AE411" s="80">
        <v>0</v>
      </c>
      <c r="AF411" s="59">
        <f t="shared" si="465"/>
        <v>1075</v>
      </c>
      <c r="AP411" s="101"/>
      <c r="AQ411" s="101"/>
    </row>
    <row r="412" spans="1:43" ht="15.9" customHeight="1" x14ac:dyDescent="0.3">
      <c r="A412" s="468"/>
      <c r="B412" s="92" t="s">
        <v>360</v>
      </c>
      <c r="C412" s="121">
        <v>42460</v>
      </c>
      <c r="D412" s="54">
        <v>37496</v>
      </c>
      <c r="E412" s="122">
        <v>3</v>
      </c>
      <c r="F412" s="94">
        <v>0</v>
      </c>
      <c r="G412" s="56">
        <f t="shared" ref="G412:G425" si="526">D412-F412</f>
        <v>37496</v>
      </c>
      <c r="H412" s="57">
        <f t="shared" ref="H412:H436" si="527">ROUND(D412*5%,0)</f>
        <v>1875</v>
      </c>
      <c r="I412" s="58">
        <v>0</v>
      </c>
      <c r="J412" s="53">
        <f>+C412+1094</f>
        <v>43554</v>
      </c>
      <c r="K412" s="60">
        <f>+J412-C412-I412+1</f>
        <v>1095</v>
      </c>
      <c r="L412" s="57">
        <v>0</v>
      </c>
      <c r="M412" s="57"/>
      <c r="N412" s="57">
        <v>0</v>
      </c>
      <c r="O412" s="57">
        <f>+ROUND((G412-H412)*(1)/K412,0)</f>
        <v>33</v>
      </c>
      <c r="P412" s="80"/>
      <c r="Q412" s="80">
        <f>+ROUND((G412-H412)*730/K412,0)</f>
        <v>23747</v>
      </c>
      <c r="R412" s="80">
        <v>11841</v>
      </c>
      <c r="S412" s="80"/>
      <c r="T412" s="80"/>
      <c r="U412" s="353"/>
      <c r="V412" s="80"/>
      <c r="W412" s="80"/>
      <c r="X412" s="80"/>
      <c r="Y412" s="80"/>
      <c r="Z412" s="80"/>
      <c r="AA412" s="80"/>
      <c r="AB412" s="80"/>
      <c r="AC412" s="80"/>
      <c r="AD412" s="80"/>
      <c r="AE412" s="80"/>
      <c r="AF412" s="59">
        <f t="shared" si="465"/>
        <v>1875</v>
      </c>
      <c r="AP412" s="101"/>
      <c r="AQ412" s="101"/>
    </row>
    <row r="413" spans="1:43" ht="15.9" customHeight="1" x14ac:dyDescent="0.3">
      <c r="A413" s="468"/>
      <c r="B413" s="92" t="s">
        <v>361</v>
      </c>
      <c r="C413" s="121">
        <v>42460</v>
      </c>
      <c r="D413" s="54">
        <v>39150</v>
      </c>
      <c r="E413" s="122">
        <v>3</v>
      </c>
      <c r="F413" s="94">
        <v>0</v>
      </c>
      <c r="G413" s="56">
        <f t="shared" si="526"/>
        <v>39150</v>
      </c>
      <c r="H413" s="57">
        <f t="shared" si="527"/>
        <v>1958</v>
      </c>
      <c r="I413" s="58">
        <v>0</v>
      </c>
      <c r="J413" s="53">
        <f>+C413+1094</f>
        <v>43554</v>
      </c>
      <c r="K413" s="60">
        <f>+J413-C413-I413+1</f>
        <v>1095</v>
      </c>
      <c r="L413" s="57">
        <v>0</v>
      </c>
      <c r="M413" s="57"/>
      <c r="N413" s="57">
        <v>0</v>
      </c>
      <c r="O413" s="57">
        <f>+ROUND((G413-H413)*(1)/K413,0)</f>
        <v>34</v>
      </c>
      <c r="P413" s="80"/>
      <c r="Q413" s="80">
        <f>+ROUND((G413-H413)*730/K413,0)</f>
        <v>24795</v>
      </c>
      <c r="R413" s="80">
        <v>12363</v>
      </c>
      <c r="S413" s="80"/>
      <c r="T413" s="80"/>
      <c r="U413" s="353"/>
      <c r="V413" s="80"/>
      <c r="W413" s="80"/>
      <c r="X413" s="80"/>
      <c r="Y413" s="80"/>
      <c r="Z413" s="80"/>
      <c r="AA413" s="80"/>
      <c r="AB413" s="80"/>
      <c r="AC413" s="80"/>
      <c r="AD413" s="80"/>
      <c r="AE413" s="80"/>
      <c r="AF413" s="59">
        <f t="shared" si="465"/>
        <v>1958</v>
      </c>
      <c r="AP413" s="101"/>
      <c r="AQ413" s="101"/>
    </row>
    <row r="414" spans="1:43" ht="15.9" customHeight="1" x14ac:dyDescent="0.3">
      <c r="A414" s="468"/>
      <c r="B414" s="92" t="s">
        <v>380</v>
      </c>
      <c r="C414" s="121">
        <v>42914</v>
      </c>
      <c r="D414" s="54">
        <v>8400</v>
      </c>
      <c r="E414" s="122">
        <v>3</v>
      </c>
      <c r="F414" s="94">
        <v>0</v>
      </c>
      <c r="G414" s="56">
        <f t="shared" si="526"/>
        <v>8400</v>
      </c>
      <c r="H414" s="57">
        <f t="shared" si="527"/>
        <v>420</v>
      </c>
      <c r="I414" s="58">
        <v>0</v>
      </c>
      <c r="J414" s="53">
        <f>+C414+1094+1</f>
        <v>44009</v>
      </c>
      <c r="K414" s="150">
        <f>+J414-C414-I414</f>
        <v>1095</v>
      </c>
      <c r="L414" s="57"/>
      <c r="M414" s="57"/>
      <c r="N414" s="57"/>
      <c r="O414" s="57"/>
      <c r="P414" s="80"/>
      <c r="Q414" s="57">
        <f>+ROUND((G414-H414)*(276)/K414,0)</f>
        <v>2011</v>
      </c>
      <c r="R414" s="80">
        <v>2660</v>
      </c>
      <c r="S414" s="80">
        <v>2660</v>
      </c>
      <c r="T414" s="80">
        <f>D414-H414-Q414-R414-S414</f>
        <v>649</v>
      </c>
      <c r="U414" s="353"/>
      <c r="V414" s="80"/>
      <c r="W414" s="80"/>
      <c r="X414" s="80"/>
      <c r="Y414" s="80"/>
      <c r="Z414" s="80"/>
      <c r="AA414" s="80"/>
      <c r="AB414" s="80"/>
      <c r="AC414" s="80"/>
      <c r="AD414" s="80"/>
      <c r="AE414" s="80"/>
      <c r="AF414" s="59">
        <f t="shared" si="465"/>
        <v>420</v>
      </c>
      <c r="AN414" s="151">
        <v>43190</v>
      </c>
      <c r="AP414" s="101"/>
      <c r="AQ414" s="101"/>
    </row>
    <row r="415" spans="1:43" ht="15.9" customHeight="1" x14ac:dyDescent="0.3">
      <c r="A415" s="468"/>
      <c r="B415" s="92" t="s">
        <v>381</v>
      </c>
      <c r="C415" s="121">
        <v>42933</v>
      </c>
      <c r="D415" s="54">
        <v>425900</v>
      </c>
      <c r="E415" s="122">
        <v>3</v>
      </c>
      <c r="F415" s="94">
        <v>0</v>
      </c>
      <c r="G415" s="56">
        <f t="shared" si="526"/>
        <v>425900</v>
      </c>
      <c r="H415" s="57">
        <f t="shared" si="527"/>
        <v>21295</v>
      </c>
      <c r="I415" s="58">
        <v>0</v>
      </c>
      <c r="J415" s="53">
        <f>+C415+1094+1</f>
        <v>44028</v>
      </c>
      <c r="K415" s="150">
        <f>+J415-C415-I415</f>
        <v>1095</v>
      </c>
      <c r="L415" s="57"/>
      <c r="M415" s="57"/>
      <c r="N415" s="57"/>
      <c r="O415" s="57"/>
      <c r="P415" s="80"/>
      <c r="Q415" s="57">
        <f>+ROUND((G415-H415)*257/K415,0)</f>
        <v>94962</v>
      </c>
      <c r="R415" s="80">
        <v>134868.33333333334</v>
      </c>
      <c r="S415" s="80">
        <v>134868.33333333334</v>
      </c>
      <c r="T415" s="80">
        <f>D415-H415-Q415-R415-S415</f>
        <v>39906.333333333314</v>
      </c>
      <c r="U415" s="353"/>
      <c r="V415" s="80"/>
      <c r="W415" s="80"/>
      <c r="X415" s="80"/>
      <c r="Y415" s="80"/>
      <c r="Z415" s="80"/>
      <c r="AA415" s="80"/>
      <c r="AB415" s="80"/>
      <c r="AC415" s="80"/>
      <c r="AD415" s="80"/>
      <c r="AE415" s="80"/>
      <c r="AF415" s="59">
        <f t="shared" si="465"/>
        <v>21295</v>
      </c>
      <c r="AN415" s="152">
        <f>+AN414-C414</f>
        <v>276</v>
      </c>
      <c r="AO415" s="152">
        <f>+AN414-C415</f>
        <v>257</v>
      </c>
      <c r="AP415" s="101"/>
      <c r="AQ415" s="101"/>
    </row>
    <row r="416" spans="1:43" ht="15.9" customHeight="1" x14ac:dyDescent="0.3">
      <c r="A416" s="468"/>
      <c r="B416" s="92" t="s">
        <v>381</v>
      </c>
      <c r="C416" s="121">
        <v>43524</v>
      </c>
      <c r="D416" s="54">
        <v>3051</v>
      </c>
      <c r="E416" s="122">
        <v>3</v>
      </c>
      <c r="F416" s="94">
        <v>0</v>
      </c>
      <c r="G416" s="56">
        <f t="shared" si="526"/>
        <v>3051</v>
      </c>
      <c r="H416" s="57">
        <f t="shared" si="527"/>
        <v>153</v>
      </c>
      <c r="I416" s="58">
        <v>0</v>
      </c>
      <c r="J416" s="263">
        <f>+C416+1094+1</f>
        <v>44619</v>
      </c>
      <c r="K416" s="150">
        <f>+J416-C416-I416</f>
        <v>1095</v>
      </c>
      <c r="L416" s="57"/>
      <c r="M416" s="57"/>
      <c r="N416" s="57"/>
      <c r="O416" s="57"/>
      <c r="P416" s="80"/>
      <c r="Q416" s="57">
        <v>0</v>
      </c>
      <c r="R416" s="57">
        <f>+ROUND((G416-H416)*32/K416,0)</f>
        <v>85</v>
      </c>
      <c r="S416" s="57">
        <f>+ROUND(($G416-$H416)*365/$K416,0)</f>
        <v>966</v>
      </c>
      <c r="T416" s="80">
        <f>S416</f>
        <v>966</v>
      </c>
      <c r="U416" s="352">
        <f>IF(J416&lt;U3,(D416-H416-SUM(N416:T416)),(D416-H416)/K416*365)</f>
        <v>881</v>
      </c>
      <c r="V416" s="57">
        <v>0</v>
      </c>
      <c r="W416" s="57">
        <f t="shared" ref="W416:Y416" si="528">+ROUND((N416-O416)*257/R416,0)</f>
        <v>0</v>
      </c>
      <c r="X416" s="57">
        <f t="shared" si="528"/>
        <v>0</v>
      </c>
      <c r="Y416" s="57">
        <f t="shared" si="528"/>
        <v>0</v>
      </c>
      <c r="Z416" s="57"/>
      <c r="AA416" s="57"/>
      <c r="AB416" s="80"/>
      <c r="AC416" s="80"/>
      <c r="AD416" s="80"/>
      <c r="AE416" s="80"/>
      <c r="AF416" s="59">
        <f t="shared" si="465"/>
        <v>153</v>
      </c>
      <c r="AN416" s="152">
        <f>+AN415-C415</f>
        <v>-42657</v>
      </c>
      <c r="AO416" s="152">
        <f>+AN415-C416</f>
        <v>-43248</v>
      </c>
      <c r="AP416" s="101"/>
      <c r="AQ416" s="101"/>
    </row>
    <row r="417" spans="1:43" ht="15.9" customHeight="1" x14ac:dyDescent="0.3">
      <c r="A417" s="468"/>
      <c r="B417" s="92" t="s">
        <v>381</v>
      </c>
      <c r="C417" s="121">
        <v>43528</v>
      </c>
      <c r="D417" s="54">
        <v>11017</v>
      </c>
      <c r="E417" s="122">
        <v>3</v>
      </c>
      <c r="F417" s="94">
        <v>0</v>
      </c>
      <c r="G417" s="56">
        <f t="shared" si="526"/>
        <v>11017</v>
      </c>
      <c r="H417" s="57">
        <f t="shared" si="527"/>
        <v>551</v>
      </c>
      <c r="I417" s="58">
        <v>0</v>
      </c>
      <c r="J417" s="263">
        <f>+C417+1094+1</f>
        <v>44623</v>
      </c>
      <c r="K417" s="150">
        <f>+J417-C417-I417</f>
        <v>1095</v>
      </c>
      <c r="L417" s="57"/>
      <c r="M417" s="57"/>
      <c r="N417" s="57"/>
      <c r="O417" s="57"/>
      <c r="P417" s="80"/>
      <c r="Q417" s="57">
        <v>0</v>
      </c>
      <c r="R417" s="57">
        <f>+ROUND((G417-H417)*28/K417,0)</f>
        <v>268</v>
      </c>
      <c r="S417" s="57">
        <f>+ROUND((G417-H417)*365/K417,0)</f>
        <v>3489</v>
      </c>
      <c r="T417" s="80">
        <f>S417</f>
        <v>3489</v>
      </c>
      <c r="U417" s="352">
        <f>IF(J417&lt;U4,(D417-H417-SUM(N417:T417)),(D417-H417)/K417*365)</f>
        <v>3220</v>
      </c>
      <c r="V417" s="57">
        <v>0</v>
      </c>
      <c r="W417" s="57">
        <f t="shared" ref="W417" si="529">+ROUND((N417-O417)*257/R417,0)</f>
        <v>0</v>
      </c>
      <c r="X417" s="57">
        <f t="shared" ref="X417" si="530">+ROUND((O417-P417)*257/S417,0)</f>
        <v>0</v>
      </c>
      <c r="Y417" s="57">
        <f t="shared" ref="Y417" si="531">+ROUND((P417-Q417)*257/T417,0)</f>
        <v>0</v>
      </c>
      <c r="Z417" s="57"/>
      <c r="AA417" s="57"/>
      <c r="AB417" s="80"/>
      <c r="AC417" s="80"/>
      <c r="AD417" s="80"/>
      <c r="AE417" s="80"/>
      <c r="AF417" s="59">
        <f t="shared" si="465"/>
        <v>551</v>
      </c>
      <c r="AN417" s="152">
        <f>+AN416-C416</f>
        <v>-86181</v>
      </c>
      <c r="AO417" s="152">
        <f>+AN416-C417</f>
        <v>-86185</v>
      </c>
      <c r="AP417" s="101"/>
      <c r="AQ417" s="101"/>
    </row>
    <row r="418" spans="1:43" ht="15.9" customHeight="1" x14ac:dyDescent="0.3">
      <c r="A418" s="468"/>
      <c r="B418" s="92" t="s">
        <v>381</v>
      </c>
      <c r="C418" s="121">
        <v>43566</v>
      </c>
      <c r="D418" s="54">
        <v>52118.61</v>
      </c>
      <c r="E418" s="122">
        <v>3</v>
      </c>
      <c r="F418" s="94">
        <v>0</v>
      </c>
      <c r="G418" s="56">
        <f t="shared" si="526"/>
        <v>52118.61</v>
      </c>
      <c r="H418" s="57">
        <f t="shared" si="527"/>
        <v>2606</v>
      </c>
      <c r="I418" s="58">
        <v>0</v>
      </c>
      <c r="J418" s="53">
        <f>+C418+1094+1</f>
        <v>44661</v>
      </c>
      <c r="K418" s="150">
        <f t="shared" ref="K418:K436" si="532">+J418-C418-I418</f>
        <v>1095</v>
      </c>
      <c r="L418" s="57"/>
      <c r="M418" s="57"/>
      <c r="N418" s="57"/>
      <c r="O418" s="57"/>
      <c r="P418" s="80"/>
      <c r="Q418" s="57"/>
      <c r="R418" s="57"/>
      <c r="S418" s="57">
        <f>+ROUND((G418-H418)*356/K418,0)</f>
        <v>16097</v>
      </c>
      <c r="T418" s="80">
        <f t="shared" ref="T418:T425" si="533">+ROUND(($G418-$H418)*365/$K418,0)</f>
        <v>16504</v>
      </c>
      <c r="U418" s="352">
        <f>IF(J418&lt;U5,(D418-H418-SUM(N418:T418)),(D418-H418)/K418*365)</f>
        <v>16504.203333333335</v>
      </c>
      <c r="V418" s="57">
        <f t="shared" ref="V418:V454" si="534">+ROUND((G418-H418)*365/K418,0)</f>
        <v>16504</v>
      </c>
      <c r="W418" s="57"/>
      <c r="X418" s="57"/>
      <c r="Y418" s="57"/>
      <c r="Z418" s="57"/>
      <c r="AA418" s="57"/>
      <c r="AB418" s="80"/>
      <c r="AC418" s="80"/>
      <c r="AD418" s="80"/>
      <c r="AE418" s="80"/>
      <c r="AF418" s="59">
        <f t="shared" si="465"/>
        <v>3013.4066666666622</v>
      </c>
      <c r="AN418" s="152"/>
      <c r="AO418" s="152"/>
      <c r="AP418" s="101"/>
      <c r="AQ418" s="101"/>
    </row>
    <row r="419" spans="1:43" ht="15.9" customHeight="1" x14ac:dyDescent="0.3">
      <c r="A419" s="468"/>
      <c r="B419" s="92" t="s">
        <v>381</v>
      </c>
      <c r="C419" s="121">
        <v>43659</v>
      </c>
      <c r="D419" s="54">
        <v>50762.71</v>
      </c>
      <c r="E419" s="122">
        <v>3</v>
      </c>
      <c r="F419" s="94">
        <v>0</v>
      </c>
      <c r="G419" s="56">
        <f t="shared" si="526"/>
        <v>50762.71</v>
      </c>
      <c r="H419" s="57">
        <f t="shared" si="527"/>
        <v>2538</v>
      </c>
      <c r="I419" s="58">
        <v>0</v>
      </c>
      <c r="J419" s="53">
        <f t="shared" ref="J419:J425" si="535">+C419+1094+1</f>
        <v>44754</v>
      </c>
      <c r="K419" s="150">
        <f t="shared" si="532"/>
        <v>1095</v>
      </c>
      <c r="L419" s="57"/>
      <c r="M419" s="57"/>
      <c r="N419" s="57"/>
      <c r="O419" s="57"/>
      <c r="P419" s="80"/>
      <c r="Q419" s="57"/>
      <c r="R419" s="57"/>
      <c r="S419" s="57">
        <f>+ROUND((G419-H419)*263/K419,0)</f>
        <v>11583</v>
      </c>
      <c r="T419" s="80">
        <f t="shared" si="533"/>
        <v>16075</v>
      </c>
      <c r="U419" s="352">
        <f>IF(J419&lt;U6,(D419-H419-SUM(N419:T419)),(D419-H419)/K419*365)</f>
        <v>16074.903333333334</v>
      </c>
      <c r="V419" s="57">
        <f t="shared" si="534"/>
        <v>16075</v>
      </c>
      <c r="W419" s="57"/>
      <c r="X419" s="57"/>
      <c r="Y419" s="57"/>
      <c r="Z419" s="57"/>
      <c r="AA419" s="57"/>
      <c r="AB419" s="80"/>
      <c r="AC419" s="80"/>
      <c r="AD419" s="80"/>
      <c r="AE419" s="80"/>
      <c r="AF419" s="59">
        <f t="shared" si="465"/>
        <v>7029.8066666666637</v>
      </c>
      <c r="AN419" s="152"/>
      <c r="AO419" s="152"/>
      <c r="AP419" s="101"/>
      <c r="AQ419" s="101"/>
    </row>
    <row r="420" spans="1:43" ht="15.9" customHeight="1" x14ac:dyDescent="0.3">
      <c r="A420" s="468"/>
      <c r="B420" s="92" t="s">
        <v>381</v>
      </c>
      <c r="C420" s="121">
        <v>43665</v>
      </c>
      <c r="D420" s="54">
        <v>16864.599999999999</v>
      </c>
      <c r="E420" s="122">
        <v>3</v>
      </c>
      <c r="F420" s="94">
        <v>0</v>
      </c>
      <c r="G420" s="56">
        <f t="shared" si="526"/>
        <v>16864.599999999999</v>
      </c>
      <c r="H420" s="57">
        <f t="shared" si="527"/>
        <v>843</v>
      </c>
      <c r="I420" s="58">
        <v>0</v>
      </c>
      <c r="J420" s="53">
        <f t="shared" si="535"/>
        <v>44760</v>
      </c>
      <c r="K420" s="150">
        <f t="shared" si="532"/>
        <v>1095</v>
      </c>
      <c r="L420" s="57"/>
      <c r="M420" s="57"/>
      <c r="N420" s="57"/>
      <c r="O420" s="57"/>
      <c r="P420" s="80"/>
      <c r="Q420" s="57"/>
      <c r="R420" s="57"/>
      <c r="S420" s="57">
        <f>+ROUND((G420-H420)*257/K420,0)</f>
        <v>3760</v>
      </c>
      <c r="T420" s="80">
        <f t="shared" si="533"/>
        <v>5341</v>
      </c>
      <c r="U420" s="352">
        <f>IF(J420&lt;U7,(D420-H420-SUM(N420:T420)),(D420-H420)/K420*365)</f>
        <v>5340.5333333333328</v>
      </c>
      <c r="V420" s="57">
        <f t="shared" si="534"/>
        <v>5341</v>
      </c>
      <c r="W420" s="57"/>
      <c r="X420" s="57"/>
      <c r="Y420" s="57"/>
      <c r="Z420" s="57"/>
      <c r="AA420" s="57"/>
      <c r="AB420" s="80"/>
      <c r="AC420" s="80"/>
      <c r="AD420" s="80"/>
      <c r="AE420" s="80"/>
      <c r="AF420" s="59">
        <f t="shared" si="465"/>
        <v>2423.0666666666657</v>
      </c>
      <c r="AN420" s="152"/>
      <c r="AO420" s="152"/>
      <c r="AP420" s="101"/>
      <c r="AQ420" s="101"/>
    </row>
    <row r="421" spans="1:43" ht="15.9" customHeight="1" x14ac:dyDescent="0.3">
      <c r="A421" s="468"/>
      <c r="B421" s="92" t="s">
        <v>381</v>
      </c>
      <c r="C421" s="121">
        <v>43731</v>
      </c>
      <c r="D421" s="54">
        <v>49983</v>
      </c>
      <c r="E421" s="122">
        <v>3</v>
      </c>
      <c r="F421" s="94">
        <v>0</v>
      </c>
      <c r="G421" s="56">
        <f t="shared" si="526"/>
        <v>49983</v>
      </c>
      <c r="H421" s="57">
        <f t="shared" si="527"/>
        <v>2499</v>
      </c>
      <c r="I421" s="58">
        <v>0</v>
      </c>
      <c r="J421" s="53">
        <f t="shared" si="535"/>
        <v>44826</v>
      </c>
      <c r="K421" s="150">
        <f t="shared" si="532"/>
        <v>1095</v>
      </c>
      <c r="L421" s="57"/>
      <c r="M421" s="57"/>
      <c r="N421" s="57"/>
      <c r="O421" s="57"/>
      <c r="P421" s="80"/>
      <c r="Q421" s="57"/>
      <c r="R421" s="57"/>
      <c r="S421" s="57">
        <f>+ROUND((G421-H421)*191/K421,0)</f>
        <v>8283</v>
      </c>
      <c r="T421" s="80">
        <f t="shared" si="533"/>
        <v>15828</v>
      </c>
      <c r="U421" s="352">
        <f>IF(J421&lt;U8,(D421-H421-SUM(N421:T421)),(D421-H421)/K421*365)</f>
        <v>15828</v>
      </c>
      <c r="V421" s="57">
        <f t="shared" si="534"/>
        <v>15828</v>
      </c>
      <c r="W421" s="57"/>
      <c r="X421" s="57"/>
      <c r="Y421" s="57"/>
      <c r="Z421" s="57"/>
      <c r="AA421" s="57"/>
      <c r="AB421" s="80"/>
      <c r="AC421" s="80"/>
      <c r="AD421" s="80"/>
      <c r="AE421" s="80"/>
      <c r="AF421" s="59">
        <f t="shared" si="465"/>
        <v>10044</v>
      </c>
      <c r="AN421" s="152"/>
      <c r="AO421" s="152"/>
      <c r="AP421" s="101"/>
      <c r="AQ421" s="101"/>
    </row>
    <row r="422" spans="1:43" ht="15.9" customHeight="1" x14ac:dyDescent="0.3">
      <c r="A422" s="468"/>
      <c r="B422" s="92" t="s">
        <v>381</v>
      </c>
      <c r="C422" s="121">
        <v>43770</v>
      </c>
      <c r="D422" s="54">
        <v>28805</v>
      </c>
      <c r="E422" s="122">
        <v>3</v>
      </c>
      <c r="F422" s="94">
        <v>0</v>
      </c>
      <c r="G422" s="56">
        <f t="shared" si="526"/>
        <v>28805</v>
      </c>
      <c r="H422" s="57">
        <f t="shared" si="527"/>
        <v>1440</v>
      </c>
      <c r="I422" s="58">
        <v>0</v>
      </c>
      <c r="J422" s="53">
        <f t="shared" si="535"/>
        <v>44865</v>
      </c>
      <c r="K422" s="150">
        <f t="shared" si="532"/>
        <v>1095</v>
      </c>
      <c r="L422" s="57"/>
      <c r="M422" s="57"/>
      <c r="N422" s="57"/>
      <c r="O422" s="57"/>
      <c r="P422" s="80"/>
      <c r="Q422" s="57"/>
      <c r="R422" s="57"/>
      <c r="S422" s="57">
        <f>+ROUND((G422-H422)*152/K422,0)</f>
        <v>3799</v>
      </c>
      <c r="T422" s="80">
        <f t="shared" si="533"/>
        <v>9122</v>
      </c>
      <c r="U422" s="352">
        <f>IF(J422&lt;U9,(D422-H422-SUM(N422:T422)),(D422-H422)/K422*365)</f>
        <v>9121.6666666666679</v>
      </c>
      <c r="V422" s="57">
        <f t="shared" si="534"/>
        <v>9122</v>
      </c>
      <c r="W422" s="57"/>
      <c r="X422" s="57"/>
      <c r="Y422" s="57"/>
      <c r="Z422" s="57"/>
      <c r="AA422" s="57"/>
      <c r="AB422" s="80"/>
      <c r="AC422" s="80"/>
      <c r="AD422" s="80"/>
      <c r="AE422" s="80"/>
      <c r="AF422" s="59">
        <f t="shared" si="465"/>
        <v>6762.3333333333321</v>
      </c>
      <c r="AN422" s="152"/>
      <c r="AO422" s="152"/>
      <c r="AP422" s="101"/>
      <c r="AQ422" s="101"/>
    </row>
    <row r="423" spans="1:43" ht="15.9" customHeight="1" x14ac:dyDescent="0.3">
      <c r="A423" s="468"/>
      <c r="B423" s="92" t="s">
        <v>381</v>
      </c>
      <c r="C423" s="121">
        <v>43841</v>
      </c>
      <c r="D423" s="54">
        <v>51008</v>
      </c>
      <c r="E423" s="122">
        <v>3</v>
      </c>
      <c r="F423" s="94">
        <v>0</v>
      </c>
      <c r="G423" s="56">
        <f t="shared" si="526"/>
        <v>51008</v>
      </c>
      <c r="H423" s="57">
        <f t="shared" si="527"/>
        <v>2550</v>
      </c>
      <c r="I423" s="58">
        <v>0</v>
      </c>
      <c r="J423" s="53">
        <f t="shared" si="535"/>
        <v>44936</v>
      </c>
      <c r="K423" s="150">
        <f t="shared" si="532"/>
        <v>1095</v>
      </c>
      <c r="L423" s="57"/>
      <c r="M423" s="57"/>
      <c r="N423" s="57"/>
      <c r="O423" s="57"/>
      <c r="P423" s="80"/>
      <c r="Q423" s="57"/>
      <c r="R423" s="57"/>
      <c r="S423" s="57">
        <f>+ROUND((G423-H423)*81/K423,0)</f>
        <v>3585</v>
      </c>
      <c r="T423" s="80">
        <f t="shared" si="533"/>
        <v>16153</v>
      </c>
      <c r="U423" s="352">
        <f>IF(J423&lt;U10,(D423-H423-SUM(N423:T423)),(D423-H423)/K423*365)</f>
        <v>16152.666666666666</v>
      </c>
      <c r="V423" s="57">
        <f t="shared" si="534"/>
        <v>16153</v>
      </c>
      <c r="W423" s="57"/>
      <c r="X423" s="57"/>
      <c r="Y423" s="57"/>
      <c r="Z423" s="57"/>
      <c r="AA423" s="57"/>
      <c r="AB423" s="80"/>
      <c r="AC423" s="80"/>
      <c r="AD423" s="80"/>
      <c r="AE423" s="80"/>
      <c r="AF423" s="59">
        <f t="shared" si="465"/>
        <v>15117.333333333336</v>
      </c>
      <c r="AN423" s="152"/>
      <c r="AO423" s="152"/>
      <c r="AP423" s="101"/>
      <c r="AQ423" s="101"/>
    </row>
    <row r="424" spans="1:43" ht="15.9" customHeight="1" x14ac:dyDescent="0.3">
      <c r="A424" s="468"/>
      <c r="B424" s="92" t="s">
        <v>381</v>
      </c>
      <c r="C424" s="121">
        <v>43879</v>
      </c>
      <c r="D424" s="54">
        <v>10937.51</v>
      </c>
      <c r="E424" s="122">
        <v>3</v>
      </c>
      <c r="F424" s="94">
        <v>0</v>
      </c>
      <c r="G424" s="56">
        <f t="shared" si="526"/>
        <v>10937.51</v>
      </c>
      <c r="H424" s="57">
        <f t="shared" si="527"/>
        <v>547</v>
      </c>
      <c r="I424" s="58">
        <v>0</v>
      </c>
      <c r="J424" s="53">
        <f t="shared" si="535"/>
        <v>44974</v>
      </c>
      <c r="K424" s="150">
        <f t="shared" si="532"/>
        <v>1095</v>
      </c>
      <c r="L424" s="57"/>
      <c r="M424" s="57"/>
      <c r="N424" s="57"/>
      <c r="O424" s="57"/>
      <c r="P424" s="80"/>
      <c r="Q424" s="57"/>
      <c r="R424" s="57"/>
      <c r="S424" s="57">
        <f>+ROUND((G424-H424)*43/K424,0)</f>
        <v>408</v>
      </c>
      <c r="T424" s="80">
        <f t="shared" si="533"/>
        <v>3464</v>
      </c>
      <c r="U424" s="352">
        <f>IF(J424&lt;U11,(D424-H424-SUM(N424:T424)),(D424-H424)/K424*365)</f>
        <v>3463.5033333333331</v>
      </c>
      <c r="V424" s="57">
        <f t="shared" si="534"/>
        <v>3464</v>
      </c>
      <c r="W424" s="57"/>
      <c r="X424" s="57"/>
      <c r="Y424" s="57"/>
      <c r="Z424" s="57"/>
      <c r="AA424" s="57"/>
      <c r="AB424" s="80"/>
      <c r="AC424" s="80"/>
      <c r="AD424" s="80"/>
      <c r="AE424" s="80"/>
      <c r="AF424" s="59">
        <f t="shared" si="465"/>
        <v>3602.0066666666671</v>
      </c>
      <c r="AN424" s="152"/>
      <c r="AO424" s="152"/>
      <c r="AP424" s="101"/>
      <c r="AQ424" s="101"/>
    </row>
    <row r="425" spans="1:43" ht="15.9" customHeight="1" x14ac:dyDescent="0.3">
      <c r="A425" s="468"/>
      <c r="B425" s="92" t="s">
        <v>381</v>
      </c>
      <c r="C425" s="121">
        <v>43921</v>
      </c>
      <c r="D425" s="54">
        <v>7186.44</v>
      </c>
      <c r="E425" s="122">
        <v>3</v>
      </c>
      <c r="F425" s="94">
        <v>0</v>
      </c>
      <c r="G425" s="56">
        <f t="shared" si="526"/>
        <v>7186.44</v>
      </c>
      <c r="H425" s="57">
        <f t="shared" si="527"/>
        <v>359</v>
      </c>
      <c r="I425" s="58">
        <v>0</v>
      </c>
      <c r="J425" s="53">
        <f t="shared" si="535"/>
        <v>45016</v>
      </c>
      <c r="K425" s="150">
        <f t="shared" si="532"/>
        <v>1095</v>
      </c>
      <c r="L425" s="57"/>
      <c r="M425" s="57"/>
      <c r="N425" s="57"/>
      <c r="O425" s="57"/>
      <c r="P425" s="80"/>
      <c r="Q425" s="57"/>
      <c r="R425" s="57"/>
      <c r="S425" s="57">
        <f>+ROUND((G425-H425)*1/K425,0)</f>
        <v>6</v>
      </c>
      <c r="T425" s="80">
        <f t="shared" si="533"/>
        <v>2276</v>
      </c>
      <c r="U425" s="352">
        <f>IF(J425&lt;U12,(D425-H425-SUM(N425:T425)),(D425-H425)/K425*365)</f>
        <v>2275.813333333333</v>
      </c>
      <c r="V425" s="57">
        <f t="shared" si="534"/>
        <v>2276</v>
      </c>
      <c r="W425" s="57"/>
      <c r="X425" s="57"/>
      <c r="Y425" s="57"/>
      <c r="Z425" s="57"/>
      <c r="AA425" s="57"/>
      <c r="AB425" s="80"/>
      <c r="AC425" s="80"/>
      <c r="AD425" s="80"/>
      <c r="AE425" s="80"/>
      <c r="AF425" s="59">
        <f t="shared" si="465"/>
        <v>2628.6266666666661</v>
      </c>
      <c r="AN425" s="152"/>
      <c r="AO425" s="152"/>
      <c r="AP425" s="101"/>
      <c r="AQ425" s="101"/>
    </row>
    <row r="426" spans="1:43" ht="15.9" customHeight="1" x14ac:dyDescent="0.3">
      <c r="A426" s="468"/>
      <c r="B426" s="370" t="s">
        <v>451</v>
      </c>
      <c r="C426" s="121">
        <v>43983</v>
      </c>
      <c r="D426" s="371">
        <v>82500</v>
      </c>
      <c r="E426" s="122">
        <v>3</v>
      </c>
      <c r="F426" s="94"/>
      <c r="G426" s="56">
        <f>D426</f>
        <v>82500</v>
      </c>
      <c r="H426" s="57">
        <f>ROUND(D426*5%,0)</f>
        <v>4125</v>
      </c>
      <c r="I426" s="58"/>
      <c r="J426" s="53">
        <f>C426+(3*365)</f>
        <v>45078</v>
      </c>
      <c r="K426" s="150">
        <f t="shared" si="532"/>
        <v>1095</v>
      </c>
      <c r="L426" s="57"/>
      <c r="M426" s="57">
        <f>$S$3-C426</f>
        <v>303</v>
      </c>
      <c r="N426" s="57"/>
      <c r="O426" s="57"/>
      <c r="P426" s="80"/>
      <c r="Q426" s="57"/>
      <c r="R426" s="57"/>
      <c r="S426" s="57"/>
      <c r="T426" s="80">
        <f>(D426-H426)*M426/K426</f>
        <v>21687.328767123287</v>
      </c>
      <c r="U426" s="352">
        <f>IF(J426&lt;U13,(D426-H426-SUM(N426:T426)),(D426-H426)/K426*365)</f>
        <v>26125</v>
      </c>
      <c r="V426" s="57">
        <f t="shared" si="534"/>
        <v>26125</v>
      </c>
      <c r="W426" s="57"/>
      <c r="X426" s="57"/>
      <c r="Y426" s="57"/>
      <c r="Z426" s="57"/>
      <c r="AA426" s="57"/>
      <c r="AB426" s="80"/>
      <c r="AC426" s="80"/>
      <c r="AD426" s="80"/>
      <c r="AE426" s="80"/>
      <c r="AF426" s="59">
        <f t="shared" si="465"/>
        <v>34687.671232876717</v>
      </c>
      <c r="AN426" s="152"/>
      <c r="AO426" s="152"/>
      <c r="AP426" s="101"/>
      <c r="AQ426" s="101"/>
    </row>
    <row r="427" spans="1:43" ht="15.9" customHeight="1" x14ac:dyDescent="0.3">
      <c r="A427" s="468"/>
      <c r="B427" s="370" t="s">
        <v>454</v>
      </c>
      <c r="C427" s="121">
        <v>43995</v>
      </c>
      <c r="D427" s="371">
        <v>11016.95</v>
      </c>
      <c r="E427" s="122">
        <v>3</v>
      </c>
      <c r="F427" s="94"/>
      <c r="G427" s="56">
        <f t="shared" ref="G427:G436" si="536">D427</f>
        <v>11016.95</v>
      </c>
      <c r="H427" s="57">
        <f t="shared" si="527"/>
        <v>551</v>
      </c>
      <c r="I427" s="58"/>
      <c r="J427" s="53">
        <f t="shared" ref="J427:J436" si="537">C427+(3*365)</f>
        <v>45090</v>
      </c>
      <c r="K427" s="150">
        <f t="shared" si="532"/>
        <v>1095</v>
      </c>
      <c r="L427" s="57"/>
      <c r="M427" s="57">
        <f t="shared" ref="M427:M436" si="538">$S$3-C427</f>
        <v>291</v>
      </c>
      <c r="N427" s="57"/>
      <c r="O427" s="57"/>
      <c r="P427" s="80"/>
      <c r="Q427" s="57"/>
      <c r="R427" s="57"/>
      <c r="S427" s="57"/>
      <c r="T427" s="80">
        <f t="shared" ref="T427:T436" si="539">(D427-H427)*M427/K427</f>
        <v>2781.3620547945206</v>
      </c>
      <c r="U427" s="352">
        <f>IF(J427&lt;U14,(D427-H427-SUM(N427:T427)),(D427-H427)/K427*365)</f>
        <v>3488.65</v>
      </c>
      <c r="V427" s="57">
        <f t="shared" si="534"/>
        <v>3489</v>
      </c>
      <c r="W427" s="57"/>
      <c r="X427" s="57"/>
      <c r="Y427" s="57"/>
      <c r="Z427" s="57"/>
      <c r="AA427" s="57"/>
      <c r="AB427" s="80"/>
      <c r="AC427" s="80"/>
      <c r="AD427" s="80"/>
      <c r="AE427" s="80"/>
      <c r="AF427" s="59">
        <f t="shared" si="465"/>
        <v>4746.93794520548</v>
      </c>
      <c r="AN427" s="152"/>
      <c r="AO427" s="152"/>
      <c r="AP427" s="101"/>
      <c r="AQ427" s="101"/>
    </row>
    <row r="428" spans="1:43" ht="15.9" customHeight="1" x14ac:dyDescent="0.3">
      <c r="A428" s="468"/>
      <c r="B428" s="370" t="s">
        <v>455</v>
      </c>
      <c r="C428" s="121">
        <v>44111</v>
      </c>
      <c r="D428" s="371">
        <v>32627.119999999999</v>
      </c>
      <c r="E428" s="122">
        <v>3</v>
      </c>
      <c r="F428" s="94"/>
      <c r="G428" s="56">
        <f t="shared" si="536"/>
        <v>32627.119999999999</v>
      </c>
      <c r="H428" s="57">
        <f t="shared" si="527"/>
        <v>1631</v>
      </c>
      <c r="I428" s="58"/>
      <c r="J428" s="53">
        <f t="shared" si="537"/>
        <v>45206</v>
      </c>
      <c r="K428" s="150">
        <f t="shared" si="532"/>
        <v>1095</v>
      </c>
      <c r="L428" s="57"/>
      <c r="M428" s="57">
        <f t="shared" si="538"/>
        <v>175</v>
      </c>
      <c r="N428" s="57"/>
      <c r="O428" s="57"/>
      <c r="P428" s="80"/>
      <c r="Q428" s="57"/>
      <c r="R428" s="57"/>
      <c r="S428" s="57"/>
      <c r="T428" s="80">
        <f t="shared" si="539"/>
        <v>4953.7178082191776</v>
      </c>
      <c r="U428" s="352">
        <f>IF(J428&lt;U15,(D428-H428-SUM(N428:T428)),(D428-H428)/K428*365)</f>
        <v>10332.039999999999</v>
      </c>
      <c r="V428" s="57">
        <f t="shared" si="534"/>
        <v>10332</v>
      </c>
      <c r="W428" s="57"/>
      <c r="X428" s="57"/>
      <c r="Y428" s="57"/>
      <c r="Z428" s="57"/>
      <c r="AA428" s="57"/>
      <c r="AB428" s="80"/>
      <c r="AC428" s="80"/>
      <c r="AD428" s="80"/>
      <c r="AE428" s="80"/>
      <c r="AF428" s="59">
        <f t="shared" si="465"/>
        <v>17341.362191780823</v>
      </c>
      <c r="AN428" s="152"/>
      <c r="AO428" s="152"/>
      <c r="AP428" s="101"/>
      <c r="AQ428" s="101"/>
    </row>
    <row r="429" spans="1:43" ht="15.9" customHeight="1" x14ac:dyDescent="0.3">
      <c r="A429" s="468"/>
      <c r="B429" s="370" t="s">
        <v>453</v>
      </c>
      <c r="C429" s="121">
        <v>44112</v>
      </c>
      <c r="D429" s="371">
        <v>40677.97</v>
      </c>
      <c r="E429" s="122">
        <v>3</v>
      </c>
      <c r="F429" s="94"/>
      <c r="G429" s="56">
        <f t="shared" si="536"/>
        <v>40677.97</v>
      </c>
      <c r="H429" s="57">
        <f t="shared" si="527"/>
        <v>2034</v>
      </c>
      <c r="I429" s="58"/>
      <c r="J429" s="53">
        <f t="shared" si="537"/>
        <v>45207</v>
      </c>
      <c r="K429" s="150">
        <f t="shared" si="532"/>
        <v>1095</v>
      </c>
      <c r="L429" s="57"/>
      <c r="M429" s="57">
        <f t="shared" si="538"/>
        <v>174</v>
      </c>
      <c r="N429" s="57"/>
      <c r="O429" s="57"/>
      <c r="P429" s="80"/>
      <c r="Q429" s="57"/>
      <c r="R429" s="57"/>
      <c r="S429" s="57"/>
      <c r="T429" s="80">
        <f t="shared" si="539"/>
        <v>6140.6856438356162</v>
      </c>
      <c r="U429" s="352">
        <f>IF(J429&lt;U16,(D429-H429-SUM(N429:T429)),(D429-H429)/K429*365)</f>
        <v>12881.323333333334</v>
      </c>
      <c r="V429" s="57">
        <f t="shared" si="534"/>
        <v>12881</v>
      </c>
      <c r="W429" s="57"/>
      <c r="X429" s="57"/>
      <c r="Y429" s="57"/>
      <c r="Z429" s="57"/>
      <c r="AA429" s="57"/>
      <c r="AB429" s="80"/>
      <c r="AC429" s="80"/>
      <c r="AD429" s="80"/>
      <c r="AE429" s="80"/>
      <c r="AF429" s="59">
        <f t="shared" si="465"/>
        <v>21655.961022831052</v>
      </c>
      <c r="AN429" s="152"/>
      <c r="AO429" s="152"/>
      <c r="AP429" s="101"/>
      <c r="AQ429" s="101"/>
    </row>
    <row r="430" spans="1:43" ht="15.9" customHeight="1" x14ac:dyDescent="0.3">
      <c r="A430" s="468"/>
      <c r="B430" s="370" t="s">
        <v>451</v>
      </c>
      <c r="C430" s="121">
        <v>44121</v>
      </c>
      <c r="D430" s="371">
        <v>78813.56</v>
      </c>
      <c r="E430" s="122">
        <v>3</v>
      </c>
      <c r="F430" s="94"/>
      <c r="G430" s="56">
        <f t="shared" si="536"/>
        <v>78813.56</v>
      </c>
      <c r="H430" s="57">
        <f t="shared" si="527"/>
        <v>3941</v>
      </c>
      <c r="I430" s="58"/>
      <c r="J430" s="53">
        <f t="shared" si="537"/>
        <v>45216</v>
      </c>
      <c r="K430" s="150">
        <f t="shared" si="532"/>
        <v>1095</v>
      </c>
      <c r="L430" s="57"/>
      <c r="M430" s="57">
        <f t="shared" si="538"/>
        <v>165</v>
      </c>
      <c r="N430" s="57"/>
      <c r="O430" s="57"/>
      <c r="P430" s="80"/>
      <c r="Q430" s="57"/>
      <c r="R430" s="57"/>
      <c r="S430" s="57"/>
      <c r="T430" s="80">
        <f t="shared" si="539"/>
        <v>11282.166575342466</v>
      </c>
      <c r="U430" s="352">
        <f>IF(J430&lt;U17,(D430-H430-SUM(N430:T430)),(D430-H430)/K430*365)</f>
        <v>24957.519999999997</v>
      </c>
      <c r="V430" s="57">
        <f t="shared" si="534"/>
        <v>24958</v>
      </c>
      <c r="W430" s="57"/>
      <c r="X430" s="57"/>
      <c r="Y430" s="57"/>
      <c r="Z430" s="57"/>
      <c r="AA430" s="57"/>
      <c r="AB430" s="80"/>
      <c r="AC430" s="80"/>
      <c r="AD430" s="80"/>
      <c r="AE430" s="80"/>
      <c r="AF430" s="59">
        <f t="shared" si="465"/>
        <v>42573.873424657533</v>
      </c>
      <c r="AN430" s="152"/>
      <c r="AO430" s="152"/>
      <c r="AP430" s="101"/>
      <c r="AQ430" s="101"/>
    </row>
    <row r="431" spans="1:43" ht="15.9" customHeight="1" x14ac:dyDescent="0.3">
      <c r="A431" s="468"/>
      <c r="B431" s="370" t="s">
        <v>453</v>
      </c>
      <c r="C431" s="121">
        <v>44134</v>
      </c>
      <c r="D431" s="371">
        <v>38135.589999999997</v>
      </c>
      <c r="E431" s="122">
        <v>3</v>
      </c>
      <c r="F431" s="94"/>
      <c r="G431" s="56">
        <f t="shared" si="536"/>
        <v>38135.589999999997</v>
      </c>
      <c r="H431" s="57">
        <f t="shared" si="527"/>
        <v>1907</v>
      </c>
      <c r="I431" s="58"/>
      <c r="J431" s="53">
        <f t="shared" si="537"/>
        <v>45229</v>
      </c>
      <c r="K431" s="150">
        <f t="shared" si="532"/>
        <v>1095</v>
      </c>
      <c r="L431" s="57"/>
      <c r="M431" s="57">
        <f t="shared" si="538"/>
        <v>152</v>
      </c>
      <c r="N431" s="57"/>
      <c r="O431" s="57"/>
      <c r="P431" s="80"/>
      <c r="Q431" s="57"/>
      <c r="R431" s="57"/>
      <c r="S431" s="57"/>
      <c r="T431" s="80">
        <f t="shared" si="539"/>
        <v>5028.9914885844746</v>
      </c>
      <c r="U431" s="352">
        <f>IF(J431&lt;U18,(D431-H431-SUM(N431:T431)),(D431-H431)/K431*365)</f>
        <v>12076.196666666667</v>
      </c>
      <c r="V431" s="57">
        <f t="shared" si="534"/>
        <v>12076</v>
      </c>
      <c r="W431" s="57"/>
      <c r="X431" s="57"/>
      <c r="Y431" s="57"/>
      <c r="Z431" s="57"/>
      <c r="AA431" s="57"/>
      <c r="AB431" s="80"/>
      <c r="AC431" s="80"/>
      <c r="AD431" s="80"/>
      <c r="AE431" s="80"/>
      <c r="AF431" s="59">
        <f t="shared" si="465"/>
        <v>21030.401844748856</v>
      </c>
      <c r="AN431" s="152"/>
      <c r="AO431" s="152"/>
      <c r="AP431" s="101"/>
      <c r="AQ431" s="101"/>
    </row>
    <row r="432" spans="1:43" ht="15.9" customHeight="1" x14ac:dyDescent="0.3">
      <c r="A432" s="468"/>
      <c r="B432" s="370" t="s">
        <v>452</v>
      </c>
      <c r="C432" s="121">
        <v>44136</v>
      </c>
      <c r="D432" s="371">
        <v>42990</v>
      </c>
      <c r="E432" s="122">
        <v>3</v>
      </c>
      <c r="F432" s="94"/>
      <c r="G432" s="56">
        <f t="shared" si="536"/>
        <v>42990</v>
      </c>
      <c r="H432" s="57">
        <f t="shared" si="527"/>
        <v>2150</v>
      </c>
      <c r="I432" s="58"/>
      <c r="J432" s="53">
        <f t="shared" si="537"/>
        <v>45231</v>
      </c>
      <c r="K432" s="150">
        <f t="shared" si="532"/>
        <v>1095</v>
      </c>
      <c r="L432" s="57"/>
      <c r="M432" s="57">
        <f t="shared" si="538"/>
        <v>150</v>
      </c>
      <c r="N432" s="57"/>
      <c r="O432" s="57"/>
      <c r="P432" s="80"/>
      <c r="Q432" s="57"/>
      <c r="R432" s="57"/>
      <c r="S432" s="57"/>
      <c r="T432" s="80">
        <f t="shared" si="539"/>
        <v>5594.5205479452052</v>
      </c>
      <c r="U432" s="352">
        <f>IF(J432&lt;U20,(D432-H432-SUM(N432:T432)),(D432-H432)/K432*365)</f>
        <v>13613.333333333334</v>
      </c>
      <c r="V432" s="57">
        <f t="shared" si="534"/>
        <v>13613</v>
      </c>
      <c r="W432" s="57"/>
      <c r="X432" s="57"/>
      <c r="Y432" s="57"/>
      <c r="Z432" s="57"/>
      <c r="AA432" s="57"/>
      <c r="AB432" s="80"/>
      <c r="AC432" s="80"/>
      <c r="AD432" s="80"/>
      <c r="AE432" s="80"/>
      <c r="AF432" s="59">
        <f t="shared" si="465"/>
        <v>23782.146118721459</v>
      </c>
      <c r="AN432" s="152"/>
      <c r="AO432" s="152"/>
      <c r="AP432" s="101"/>
      <c r="AQ432" s="101"/>
    </row>
    <row r="433" spans="1:43" ht="15.9" customHeight="1" x14ac:dyDescent="0.3">
      <c r="A433" s="468"/>
      <c r="B433" s="370" t="s">
        <v>456</v>
      </c>
      <c r="C433" s="121">
        <v>44137</v>
      </c>
      <c r="D433" s="371">
        <v>25000</v>
      </c>
      <c r="E433" s="122">
        <v>3</v>
      </c>
      <c r="F433" s="94"/>
      <c r="G433" s="56">
        <f t="shared" si="536"/>
        <v>25000</v>
      </c>
      <c r="H433" s="57">
        <f t="shared" si="527"/>
        <v>1250</v>
      </c>
      <c r="I433" s="58"/>
      <c r="J433" s="53">
        <f t="shared" si="537"/>
        <v>45232</v>
      </c>
      <c r="K433" s="150">
        <f t="shared" si="532"/>
        <v>1095</v>
      </c>
      <c r="L433" s="57"/>
      <c r="M433" s="57">
        <f t="shared" si="538"/>
        <v>149</v>
      </c>
      <c r="N433" s="57"/>
      <c r="O433" s="57"/>
      <c r="P433" s="80"/>
      <c r="Q433" s="57"/>
      <c r="R433" s="57"/>
      <c r="S433" s="57"/>
      <c r="T433" s="80">
        <f t="shared" si="539"/>
        <v>3231.7351598173518</v>
      </c>
      <c r="U433" s="352">
        <f>IF(J433&lt;U22,(D433-H433-SUM(N433:T433)),(D433-H433)/K433*365)</f>
        <v>7916.6666666666661</v>
      </c>
      <c r="V433" s="57">
        <f t="shared" si="534"/>
        <v>7917</v>
      </c>
      <c r="W433" s="57"/>
      <c r="X433" s="57"/>
      <c r="Y433" s="57"/>
      <c r="Z433" s="57"/>
      <c r="AA433" s="57"/>
      <c r="AB433" s="80"/>
      <c r="AC433" s="80"/>
      <c r="AD433" s="80"/>
      <c r="AE433" s="80"/>
      <c r="AF433" s="59">
        <f t="shared" ref="AF433:AF454" si="540">+D433-F433-SUM(N433:U433)-L433</f>
        <v>13851.598173515982</v>
      </c>
      <c r="AN433" s="152"/>
      <c r="AO433" s="152"/>
      <c r="AP433" s="101"/>
      <c r="AQ433" s="101"/>
    </row>
    <row r="434" spans="1:43" ht="15.9" customHeight="1" x14ac:dyDescent="0.3">
      <c r="A434" s="468"/>
      <c r="B434" s="370" t="s">
        <v>457</v>
      </c>
      <c r="C434" s="121">
        <v>44160</v>
      </c>
      <c r="D434" s="371">
        <v>47457.63</v>
      </c>
      <c r="E434" s="122">
        <v>3</v>
      </c>
      <c r="F434" s="94"/>
      <c r="G434" s="56">
        <f t="shared" si="536"/>
        <v>47457.63</v>
      </c>
      <c r="H434" s="57">
        <f t="shared" si="527"/>
        <v>2373</v>
      </c>
      <c r="I434" s="58"/>
      <c r="J434" s="53">
        <f t="shared" si="537"/>
        <v>45255</v>
      </c>
      <c r="K434" s="150">
        <f t="shared" si="532"/>
        <v>1095</v>
      </c>
      <c r="L434" s="57"/>
      <c r="M434" s="57">
        <f t="shared" si="538"/>
        <v>126</v>
      </c>
      <c r="N434" s="57"/>
      <c r="O434" s="57"/>
      <c r="P434" s="80"/>
      <c r="Q434" s="57"/>
      <c r="R434" s="57"/>
      <c r="S434" s="57"/>
      <c r="T434" s="80">
        <f t="shared" si="539"/>
        <v>5187.8204383561642</v>
      </c>
      <c r="U434" s="352">
        <f>IF(J434&lt;U29,(D434-H434-SUM(N434:T434)),(D434-H434)/K434*365)</f>
        <v>15028.209999999997</v>
      </c>
      <c r="V434" s="57">
        <f t="shared" si="534"/>
        <v>15028</v>
      </c>
      <c r="W434" s="57"/>
      <c r="X434" s="57"/>
      <c r="Y434" s="57"/>
      <c r="Z434" s="57"/>
      <c r="AA434" s="57"/>
      <c r="AB434" s="80"/>
      <c r="AC434" s="80"/>
      <c r="AD434" s="80"/>
      <c r="AE434" s="80"/>
      <c r="AF434" s="59">
        <f t="shared" si="540"/>
        <v>27241.599561643838</v>
      </c>
      <c r="AN434" s="152"/>
      <c r="AO434" s="152"/>
      <c r="AP434" s="101"/>
      <c r="AQ434" s="101"/>
    </row>
    <row r="435" spans="1:43" ht="15.9" customHeight="1" x14ac:dyDescent="0.3">
      <c r="A435" s="468"/>
      <c r="B435" s="370" t="s">
        <v>458</v>
      </c>
      <c r="C435" s="121">
        <v>44203</v>
      </c>
      <c r="D435" s="371">
        <v>43559.33</v>
      </c>
      <c r="E435" s="122">
        <v>3</v>
      </c>
      <c r="F435" s="94"/>
      <c r="G435" s="56">
        <f t="shared" si="536"/>
        <v>43559.33</v>
      </c>
      <c r="H435" s="57">
        <f t="shared" si="527"/>
        <v>2178</v>
      </c>
      <c r="I435" s="58"/>
      <c r="J435" s="53">
        <f t="shared" si="537"/>
        <v>45298</v>
      </c>
      <c r="K435" s="150">
        <f t="shared" si="532"/>
        <v>1095</v>
      </c>
      <c r="L435" s="57"/>
      <c r="M435" s="57">
        <f t="shared" si="538"/>
        <v>83</v>
      </c>
      <c r="N435" s="57"/>
      <c r="O435" s="57"/>
      <c r="P435" s="80"/>
      <c r="Q435" s="57"/>
      <c r="R435" s="57"/>
      <c r="S435" s="57"/>
      <c r="T435" s="80">
        <f t="shared" si="539"/>
        <v>3136.6670228310504</v>
      </c>
      <c r="U435" s="352">
        <f>IF(J435&lt;U30,(D435-H435-SUM(N435:T435)),(D435-H435)/K435*365)</f>
        <v>13793.776666666667</v>
      </c>
      <c r="V435" s="57">
        <f t="shared" si="534"/>
        <v>13794</v>
      </c>
      <c r="W435" s="57"/>
      <c r="X435" s="57"/>
      <c r="Y435" s="57"/>
      <c r="Z435" s="57"/>
      <c r="AA435" s="57"/>
      <c r="AB435" s="80"/>
      <c r="AC435" s="80"/>
      <c r="AD435" s="80"/>
      <c r="AE435" s="80"/>
      <c r="AF435" s="59">
        <f t="shared" si="540"/>
        <v>26628.886310502283</v>
      </c>
      <c r="AN435" s="152"/>
      <c r="AO435" s="152"/>
      <c r="AP435" s="101"/>
      <c r="AQ435" s="101"/>
    </row>
    <row r="436" spans="1:43" ht="15.9" customHeight="1" x14ac:dyDescent="0.3">
      <c r="A436" s="468"/>
      <c r="B436" s="370" t="s">
        <v>459</v>
      </c>
      <c r="C436" s="121">
        <v>44247</v>
      </c>
      <c r="D436" s="371">
        <v>92177.56</v>
      </c>
      <c r="E436" s="122">
        <v>3</v>
      </c>
      <c r="F436" s="94"/>
      <c r="G436" s="56">
        <f t="shared" si="536"/>
        <v>92177.56</v>
      </c>
      <c r="H436" s="57">
        <f t="shared" si="527"/>
        <v>4609</v>
      </c>
      <c r="I436" s="58"/>
      <c r="J436" s="53">
        <f t="shared" si="537"/>
        <v>45342</v>
      </c>
      <c r="K436" s="150">
        <f t="shared" si="532"/>
        <v>1095</v>
      </c>
      <c r="L436" s="57"/>
      <c r="M436" s="57">
        <f t="shared" si="538"/>
        <v>39</v>
      </c>
      <c r="N436" s="57"/>
      <c r="O436" s="57"/>
      <c r="P436" s="80"/>
      <c r="Q436" s="57"/>
      <c r="R436" s="57"/>
      <c r="S436" s="57"/>
      <c r="T436" s="80">
        <f t="shared" si="539"/>
        <v>3118.8802191780819</v>
      </c>
      <c r="U436" s="352">
        <f>IF(J436&lt;U31,(D436-H436-SUM(N436:T436)),(D436-H436)/K436*365)</f>
        <v>29189.519999999997</v>
      </c>
      <c r="V436" s="57">
        <f t="shared" si="534"/>
        <v>29190</v>
      </c>
      <c r="W436" s="57"/>
      <c r="X436" s="57"/>
      <c r="Y436" s="57"/>
      <c r="Z436" s="57"/>
      <c r="AA436" s="57"/>
      <c r="AB436" s="80"/>
      <c r="AC436" s="80"/>
      <c r="AD436" s="80"/>
      <c r="AE436" s="80"/>
      <c r="AF436" s="59">
        <f t="shared" si="540"/>
        <v>59869.159780821923</v>
      </c>
      <c r="AN436" s="152"/>
      <c r="AO436" s="152"/>
      <c r="AP436" s="101"/>
      <c r="AQ436" s="101"/>
    </row>
    <row r="437" spans="1:43" ht="15.9" customHeight="1" x14ac:dyDescent="0.3">
      <c r="A437" s="468"/>
      <c r="B437" s="398" t="s">
        <v>473</v>
      </c>
      <c r="C437" s="121">
        <v>44289</v>
      </c>
      <c r="D437" s="371">
        <v>46016.94</v>
      </c>
      <c r="E437" s="122">
        <v>3</v>
      </c>
      <c r="F437" s="94"/>
      <c r="G437" s="56">
        <v>46016.94</v>
      </c>
      <c r="H437" s="57">
        <f t="shared" ref="H437:H454" si="541">ROUND(D437*5%,0)</f>
        <v>2301</v>
      </c>
      <c r="I437" s="58"/>
      <c r="J437" s="53">
        <f t="shared" ref="J437:J446" si="542">C437+(3*365)</f>
        <v>45384</v>
      </c>
      <c r="K437" s="57">
        <f>+J437-C437-I437+1</f>
        <v>1096</v>
      </c>
      <c r="L437" s="57"/>
      <c r="M437" s="57">
        <f>$U$3-C437+1</f>
        <v>363</v>
      </c>
      <c r="N437" s="57"/>
      <c r="O437" s="57"/>
      <c r="P437" s="80"/>
      <c r="Q437" s="57"/>
      <c r="R437" s="57"/>
      <c r="S437" s="57"/>
      <c r="T437" s="57"/>
      <c r="U437" s="80">
        <f>(D437-H437)/K437*M437</f>
        <v>14478.910784671532</v>
      </c>
      <c r="V437" s="57">
        <f t="shared" si="534"/>
        <v>14559</v>
      </c>
      <c r="W437" s="57"/>
      <c r="X437" s="57"/>
      <c r="Y437" s="57"/>
      <c r="Z437" s="57"/>
      <c r="AA437" s="57"/>
      <c r="AB437" s="80"/>
      <c r="AC437" s="80"/>
      <c r="AD437" s="80"/>
      <c r="AE437" s="80"/>
      <c r="AF437" s="59">
        <f t="shared" si="540"/>
        <v>31538.029215328468</v>
      </c>
      <c r="AN437" s="152"/>
      <c r="AO437" s="152"/>
      <c r="AP437" s="101"/>
      <c r="AQ437" s="101"/>
    </row>
    <row r="438" spans="1:43" ht="15.9" customHeight="1" x14ac:dyDescent="0.3">
      <c r="A438" s="468"/>
      <c r="B438" s="398" t="s">
        <v>474</v>
      </c>
      <c r="C438" s="121">
        <v>44463</v>
      </c>
      <c r="D438" s="371">
        <v>38983.050000000003</v>
      </c>
      <c r="E438" s="122">
        <v>3</v>
      </c>
      <c r="F438" s="94"/>
      <c r="G438" s="56">
        <v>38983.050000000003</v>
      </c>
      <c r="H438" s="57">
        <f t="shared" si="541"/>
        <v>1949</v>
      </c>
      <c r="I438" s="58"/>
      <c r="J438" s="53">
        <f t="shared" si="542"/>
        <v>45558</v>
      </c>
      <c r="K438" s="57">
        <f t="shared" ref="K438:K454" si="543">+J438-C438-I438+1</f>
        <v>1096</v>
      </c>
      <c r="L438" s="57"/>
      <c r="M438" s="57">
        <f t="shared" ref="M438:M454" si="544">$U$3-C438+1</f>
        <v>189</v>
      </c>
      <c r="N438" s="57"/>
      <c r="O438" s="57"/>
      <c r="P438" s="80"/>
      <c r="Q438" s="57"/>
      <c r="R438" s="57"/>
      <c r="S438" s="57"/>
      <c r="T438" s="57"/>
      <c r="U438" s="80">
        <f t="shared" ref="U438:U454" si="545">(D438-H438)/K438*M438</f>
        <v>6386.3462135036498</v>
      </c>
      <c r="V438" s="57">
        <f t="shared" si="534"/>
        <v>12333</v>
      </c>
      <c r="W438" s="57"/>
      <c r="X438" s="57"/>
      <c r="Y438" s="57"/>
      <c r="Z438" s="57"/>
      <c r="AA438" s="57"/>
      <c r="AB438" s="80"/>
      <c r="AC438" s="80"/>
      <c r="AD438" s="80"/>
      <c r="AE438" s="80"/>
      <c r="AF438" s="59">
        <f t="shared" si="540"/>
        <v>32596.703786496353</v>
      </c>
      <c r="AN438" s="152"/>
      <c r="AO438" s="152"/>
      <c r="AP438" s="101"/>
      <c r="AQ438" s="101"/>
    </row>
    <row r="439" spans="1:43" ht="15.9" customHeight="1" x14ac:dyDescent="0.3">
      <c r="A439" s="468"/>
      <c r="B439" s="398" t="s">
        <v>475</v>
      </c>
      <c r="C439" s="121">
        <v>44499</v>
      </c>
      <c r="D439" s="371">
        <v>55084.76</v>
      </c>
      <c r="E439" s="122">
        <v>3</v>
      </c>
      <c r="F439" s="94"/>
      <c r="G439" s="56">
        <v>55084.76</v>
      </c>
      <c r="H439" s="57">
        <f t="shared" si="541"/>
        <v>2754</v>
      </c>
      <c r="I439" s="58"/>
      <c r="J439" s="53">
        <f t="shared" si="542"/>
        <v>45594</v>
      </c>
      <c r="K439" s="57">
        <f t="shared" si="543"/>
        <v>1096</v>
      </c>
      <c r="L439" s="57"/>
      <c r="M439" s="57">
        <f t="shared" si="544"/>
        <v>153</v>
      </c>
      <c r="N439" s="57"/>
      <c r="O439" s="57"/>
      <c r="P439" s="80"/>
      <c r="Q439" s="57"/>
      <c r="R439" s="57"/>
      <c r="S439" s="57"/>
      <c r="T439" s="57"/>
      <c r="U439" s="80">
        <f t="shared" si="545"/>
        <v>7305.2977007299278</v>
      </c>
      <c r="V439" s="57">
        <f t="shared" si="534"/>
        <v>17428</v>
      </c>
      <c r="W439" s="57"/>
      <c r="X439" s="57"/>
      <c r="Y439" s="57"/>
      <c r="Z439" s="57"/>
      <c r="AA439" s="57"/>
      <c r="AB439" s="80"/>
      <c r="AC439" s="80"/>
      <c r="AD439" s="80"/>
      <c r="AE439" s="80"/>
      <c r="AF439" s="59">
        <f t="shared" si="540"/>
        <v>47779.462299270075</v>
      </c>
      <c r="AN439" s="152"/>
      <c r="AO439" s="152"/>
      <c r="AP439" s="101"/>
      <c r="AQ439" s="101"/>
    </row>
    <row r="440" spans="1:43" ht="15.9" customHeight="1" x14ac:dyDescent="0.3">
      <c r="A440" s="468"/>
      <c r="B440" s="398" t="s">
        <v>476</v>
      </c>
      <c r="C440" s="121">
        <v>44509</v>
      </c>
      <c r="D440" s="371">
        <v>194721</v>
      </c>
      <c r="E440" s="122">
        <v>3</v>
      </c>
      <c r="F440" s="94"/>
      <c r="G440" s="56">
        <v>194721</v>
      </c>
      <c r="H440" s="57">
        <f t="shared" si="541"/>
        <v>9736</v>
      </c>
      <c r="I440" s="58"/>
      <c r="J440" s="53">
        <f t="shared" si="542"/>
        <v>45604</v>
      </c>
      <c r="K440" s="57">
        <f t="shared" si="543"/>
        <v>1096</v>
      </c>
      <c r="L440" s="57"/>
      <c r="M440" s="57">
        <f t="shared" si="544"/>
        <v>143</v>
      </c>
      <c r="N440" s="57"/>
      <c r="O440" s="57"/>
      <c r="P440" s="80"/>
      <c r="Q440" s="57"/>
      <c r="R440" s="57"/>
      <c r="S440" s="57"/>
      <c r="T440" s="57"/>
      <c r="U440" s="80">
        <f t="shared" si="545"/>
        <v>24135.816605839416</v>
      </c>
      <c r="V440" s="57">
        <f t="shared" si="534"/>
        <v>61605</v>
      </c>
      <c r="W440" s="57"/>
      <c r="X440" s="57"/>
      <c r="Y440" s="57"/>
      <c r="Z440" s="57"/>
      <c r="AA440" s="57"/>
      <c r="AB440" s="80"/>
      <c r="AC440" s="80"/>
      <c r="AD440" s="80"/>
      <c r="AE440" s="80"/>
      <c r="AF440" s="59">
        <f t="shared" si="540"/>
        <v>170585.18339416059</v>
      </c>
      <c r="AN440" s="152"/>
      <c r="AO440" s="152"/>
      <c r="AP440" s="101"/>
      <c r="AQ440" s="101"/>
    </row>
    <row r="441" spans="1:43" ht="15.9" customHeight="1" x14ac:dyDescent="0.3">
      <c r="A441" s="468"/>
      <c r="B441" s="398" t="s">
        <v>476</v>
      </c>
      <c r="C441" s="121">
        <v>44515</v>
      </c>
      <c r="D441" s="371">
        <v>42949</v>
      </c>
      <c r="E441" s="122">
        <v>3</v>
      </c>
      <c r="F441" s="94"/>
      <c r="G441" s="56">
        <v>42949</v>
      </c>
      <c r="H441" s="57">
        <f t="shared" si="541"/>
        <v>2147</v>
      </c>
      <c r="I441" s="58"/>
      <c r="J441" s="53">
        <f t="shared" si="542"/>
        <v>45610</v>
      </c>
      <c r="K441" s="57">
        <f t="shared" si="543"/>
        <v>1096</v>
      </c>
      <c r="L441" s="57"/>
      <c r="M441" s="57">
        <f t="shared" si="544"/>
        <v>137</v>
      </c>
      <c r="N441" s="57"/>
      <c r="O441" s="57"/>
      <c r="P441" s="80"/>
      <c r="Q441" s="57"/>
      <c r="R441" s="57"/>
      <c r="S441" s="57"/>
      <c r="T441" s="57"/>
      <c r="U441" s="80">
        <f t="shared" si="545"/>
        <v>5100.25</v>
      </c>
      <c r="V441" s="57">
        <f t="shared" si="534"/>
        <v>13588</v>
      </c>
      <c r="W441" s="57"/>
      <c r="X441" s="57"/>
      <c r="Y441" s="57"/>
      <c r="Z441" s="57"/>
      <c r="AA441" s="57"/>
      <c r="AB441" s="80"/>
      <c r="AC441" s="80"/>
      <c r="AD441" s="80"/>
      <c r="AE441" s="80"/>
      <c r="AF441" s="59">
        <f t="shared" si="540"/>
        <v>37848.75</v>
      </c>
      <c r="AN441" s="152"/>
      <c r="AO441" s="152"/>
      <c r="AP441" s="101"/>
      <c r="AQ441" s="101"/>
    </row>
    <row r="442" spans="1:43" ht="15.9" customHeight="1" x14ac:dyDescent="0.3">
      <c r="A442" s="468"/>
      <c r="B442" s="398" t="s">
        <v>477</v>
      </c>
      <c r="C442" s="121">
        <v>44546</v>
      </c>
      <c r="D442" s="371">
        <v>15100</v>
      </c>
      <c r="E442" s="122">
        <v>3</v>
      </c>
      <c r="F442" s="94"/>
      <c r="G442" s="56">
        <v>15100</v>
      </c>
      <c r="H442" s="57">
        <f t="shared" si="541"/>
        <v>755</v>
      </c>
      <c r="I442" s="58"/>
      <c r="J442" s="53">
        <f t="shared" si="542"/>
        <v>45641</v>
      </c>
      <c r="K442" s="57">
        <f t="shared" si="543"/>
        <v>1096</v>
      </c>
      <c r="L442" s="57"/>
      <c r="M442" s="57">
        <f t="shared" si="544"/>
        <v>106</v>
      </c>
      <c r="N442" s="57"/>
      <c r="O442" s="57"/>
      <c r="P442" s="80"/>
      <c r="Q442" s="57"/>
      <c r="R442" s="57"/>
      <c r="S442" s="57"/>
      <c r="T442" s="57"/>
      <c r="U442" s="80">
        <f t="shared" si="545"/>
        <v>1387.3813868613138</v>
      </c>
      <c r="V442" s="57">
        <f t="shared" si="534"/>
        <v>4777</v>
      </c>
      <c r="W442" s="57"/>
      <c r="X442" s="57"/>
      <c r="Y442" s="57"/>
      <c r="Z442" s="57"/>
      <c r="AA442" s="57"/>
      <c r="AB442" s="80"/>
      <c r="AC442" s="80"/>
      <c r="AD442" s="80"/>
      <c r="AE442" s="80"/>
      <c r="AF442" s="59">
        <f t="shared" si="540"/>
        <v>13712.618613138686</v>
      </c>
      <c r="AN442" s="152"/>
      <c r="AO442" s="152"/>
      <c r="AP442" s="101"/>
      <c r="AQ442" s="101"/>
    </row>
    <row r="443" spans="1:43" ht="15.9" customHeight="1" x14ac:dyDescent="0.3">
      <c r="A443" s="468"/>
      <c r="B443" s="398" t="s">
        <v>478</v>
      </c>
      <c r="C443" s="121">
        <v>44597</v>
      </c>
      <c r="D443" s="371">
        <v>113135.6</v>
      </c>
      <c r="E443" s="122">
        <v>3</v>
      </c>
      <c r="F443" s="94"/>
      <c r="G443" s="56">
        <v>113135.6</v>
      </c>
      <c r="H443" s="57">
        <f t="shared" si="541"/>
        <v>5657</v>
      </c>
      <c r="I443" s="58"/>
      <c r="J443" s="53">
        <f t="shared" si="542"/>
        <v>45692</v>
      </c>
      <c r="K443" s="57">
        <f t="shared" si="543"/>
        <v>1096</v>
      </c>
      <c r="L443" s="57"/>
      <c r="M443" s="57">
        <f t="shared" si="544"/>
        <v>55</v>
      </c>
      <c r="N443" s="57"/>
      <c r="O443" s="57"/>
      <c r="P443" s="80"/>
      <c r="Q443" s="57"/>
      <c r="R443" s="57"/>
      <c r="S443" s="57"/>
      <c r="T443" s="57"/>
      <c r="U443" s="80">
        <f t="shared" si="545"/>
        <v>5393.5428832116795</v>
      </c>
      <c r="V443" s="57">
        <f t="shared" si="534"/>
        <v>35794</v>
      </c>
      <c r="W443" s="57"/>
      <c r="X443" s="57"/>
      <c r="Y443" s="57"/>
      <c r="Z443" s="57"/>
      <c r="AA443" s="57"/>
      <c r="AB443" s="80"/>
      <c r="AC443" s="80"/>
      <c r="AD443" s="80"/>
      <c r="AE443" s="80"/>
      <c r="AF443" s="59">
        <f t="shared" si="540"/>
        <v>107742.05711678833</v>
      </c>
      <c r="AN443" s="152"/>
      <c r="AO443" s="152"/>
      <c r="AP443" s="101"/>
      <c r="AQ443" s="101"/>
    </row>
    <row r="444" spans="1:43" ht="15.9" customHeight="1" x14ac:dyDescent="0.3">
      <c r="A444" s="468"/>
      <c r="B444" s="398" t="s">
        <v>476</v>
      </c>
      <c r="C444" s="121">
        <v>44597</v>
      </c>
      <c r="D444" s="371">
        <v>61525.4</v>
      </c>
      <c r="E444" s="122">
        <v>3</v>
      </c>
      <c r="F444" s="94"/>
      <c r="G444" s="56">
        <v>61525.4</v>
      </c>
      <c r="H444" s="57">
        <f t="shared" si="541"/>
        <v>3076</v>
      </c>
      <c r="I444" s="58"/>
      <c r="J444" s="53">
        <f t="shared" si="542"/>
        <v>45692</v>
      </c>
      <c r="K444" s="57">
        <f t="shared" si="543"/>
        <v>1096</v>
      </c>
      <c r="L444" s="57"/>
      <c r="M444" s="57">
        <f t="shared" si="544"/>
        <v>55</v>
      </c>
      <c r="N444" s="57"/>
      <c r="O444" s="57"/>
      <c r="P444" s="80"/>
      <c r="Q444" s="57"/>
      <c r="R444" s="57"/>
      <c r="S444" s="57"/>
      <c r="T444" s="57"/>
      <c r="U444" s="80">
        <f t="shared" si="545"/>
        <v>2933.1359489051097</v>
      </c>
      <c r="V444" s="57">
        <f t="shared" si="534"/>
        <v>19465</v>
      </c>
      <c r="W444" s="57"/>
      <c r="X444" s="57"/>
      <c r="Y444" s="57"/>
      <c r="Z444" s="57"/>
      <c r="AA444" s="57"/>
      <c r="AB444" s="80"/>
      <c r="AC444" s="80"/>
      <c r="AD444" s="80"/>
      <c r="AE444" s="80"/>
      <c r="AF444" s="59">
        <f t="shared" si="540"/>
        <v>58592.264051094891</v>
      </c>
      <c r="AN444" s="152"/>
      <c r="AO444" s="152"/>
      <c r="AP444" s="101"/>
      <c r="AQ444" s="101"/>
    </row>
    <row r="445" spans="1:43" ht="15.9" customHeight="1" x14ac:dyDescent="0.3">
      <c r="A445" s="468"/>
      <c r="B445" s="399" t="s">
        <v>490</v>
      </c>
      <c r="C445" s="121">
        <v>44624</v>
      </c>
      <c r="D445" s="371">
        <v>197169.51</v>
      </c>
      <c r="E445" s="122">
        <v>3</v>
      </c>
      <c r="F445" s="94"/>
      <c r="G445" s="56">
        <v>197169.51</v>
      </c>
      <c r="H445" s="57">
        <f t="shared" si="541"/>
        <v>9858</v>
      </c>
      <c r="I445" s="58"/>
      <c r="J445" s="53">
        <f t="shared" si="542"/>
        <v>45719</v>
      </c>
      <c r="K445" s="57">
        <f t="shared" si="543"/>
        <v>1096</v>
      </c>
      <c r="L445" s="57"/>
      <c r="M445" s="57">
        <f t="shared" si="544"/>
        <v>28</v>
      </c>
      <c r="N445" s="57"/>
      <c r="O445" s="57"/>
      <c r="P445" s="80"/>
      <c r="Q445" s="57"/>
      <c r="R445" s="57"/>
      <c r="S445" s="57"/>
      <c r="T445" s="57"/>
      <c r="U445" s="80">
        <f t="shared" si="545"/>
        <v>4785.3305474452554</v>
      </c>
      <c r="V445" s="57">
        <f t="shared" si="534"/>
        <v>62380</v>
      </c>
      <c r="W445" s="57"/>
      <c r="X445" s="57"/>
      <c r="Y445" s="57"/>
      <c r="Z445" s="57"/>
      <c r="AA445" s="57"/>
      <c r="AB445" s="80"/>
      <c r="AC445" s="80"/>
      <c r="AD445" s="80"/>
      <c r="AE445" s="80"/>
      <c r="AF445" s="59">
        <f t="shared" si="540"/>
        <v>192384.17945255476</v>
      </c>
      <c r="AN445" s="152"/>
      <c r="AO445" s="152"/>
      <c r="AP445" s="101"/>
      <c r="AQ445" s="101"/>
    </row>
    <row r="446" spans="1:43" ht="15.9" customHeight="1" x14ac:dyDescent="0.3">
      <c r="A446" s="468"/>
      <c r="B446" s="398" t="s">
        <v>479</v>
      </c>
      <c r="C446" s="121">
        <v>44628</v>
      </c>
      <c r="D446" s="371">
        <v>16525.419999999998</v>
      </c>
      <c r="E446" s="122">
        <v>3</v>
      </c>
      <c r="F446" s="94"/>
      <c r="G446" s="56">
        <v>16525.419999999998</v>
      </c>
      <c r="H446" s="57">
        <f t="shared" si="541"/>
        <v>826</v>
      </c>
      <c r="I446" s="58"/>
      <c r="J446" s="53">
        <f t="shared" si="542"/>
        <v>45723</v>
      </c>
      <c r="K446" s="57">
        <f t="shared" si="543"/>
        <v>1096</v>
      </c>
      <c r="L446" s="57"/>
      <c r="M446" s="57">
        <f t="shared" si="544"/>
        <v>24</v>
      </c>
      <c r="N446" s="57"/>
      <c r="O446" s="57"/>
      <c r="P446" s="80"/>
      <c r="Q446" s="57"/>
      <c r="R446" s="57"/>
      <c r="S446" s="57"/>
      <c r="T446" s="57"/>
      <c r="U446" s="80">
        <f t="shared" si="545"/>
        <v>343.78291970802911</v>
      </c>
      <c r="V446" s="57">
        <f t="shared" si="534"/>
        <v>5228</v>
      </c>
      <c r="W446" s="57"/>
      <c r="X446" s="57"/>
      <c r="Y446" s="57"/>
      <c r="Z446" s="57"/>
      <c r="AA446" s="57"/>
      <c r="AB446" s="80"/>
      <c r="AC446" s="80"/>
      <c r="AD446" s="80"/>
      <c r="AE446" s="80"/>
      <c r="AF446" s="59">
        <f t="shared" si="540"/>
        <v>16181.63708029197</v>
      </c>
      <c r="AN446" s="152"/>
      <c r="AO446" s="152"/>
      <c r="AP446" s="101"/>
      <c r="AQ446" s="101"/>
    </row>
    <row r="447" spans="1:43" ht="15.9" customHeight="1" x14ac:dyDescent="0.3">
      <c r="A447" s="468"/>
      <c r="B447" s="398" t="s">
        <v>480</v>
      </c>
      <c r="C447" s="121">
        <v>44608</v>
      </c>
      <c r="D447" s="371">
        <v>22724.16</v>
      </c>
      <c r="E447" s="122">
        <v>3</v>
      </c>
      <c r="F447" s="94"/>
      <c r="G447" s="56">
        <v>22724.16</v>
      </c>
      <c r="H447" s="57">
        <f t="shared" si="541"/>
        <v>1136</v>
      </c>
      <c r="I447" s="58"/>
      <c r="J447" s="53">
        <f t="shared" ref="J447:J454" si="546">C447+(3*365)</f>
        <v>45703</v>
      </c>
      <c r="K447" s="57">
        <f t="shared" si="543"/>
        <v>1096</v>
      </c>
      <c r="L447" s="57"/>
      <c r="M447" s="57">
        <f t="shared" si="544"/>
        <v>44</v>
      </c>
      <c r="N447" s="57"/>
      <c r="O447" s="57"/>
      <c r="P447" s="80"/>
      <c r="Q447" s="57"/>
      <c r="R447" s="57"/>
      <c r="S447" s="57"/>
      <c r="T447" s="57"/>
      <c r="U447" s="80">
        <f t="shared" si="545"/>
        <v>866.6779562043796</v>
      </c>
      <c r="V447" s="57">
        <f t="shared" si="534"/>
        <v>7189</v>
      </c>
      <c r="W447" s="57"/>
      <c r="X447" s="57"/>
      <c r="Y447" s="57"/>
      <c r="Z447" s="57"/>
      <c r="AA447" s="57"/>
      <c r="AB447" s="80"/>
      <c r="AC447" s="80"/>
      <c r="AD447" s="80"/>
      <c r="AE447" s="80"/>
      <c r="AF447" s="59">
        <f t="shared" si="540"/>
        <v>21857.482043795619</v>
      </c>
      <c r="AN447" s="152"/>
      <c r="AO447" s="152"/>
      <c r="AP447" s="101"/>
      <c r="AQ447" s="101"/>
    </row>
    <row r="448" spans="1:43" ht="15.9" customHeight="1" x14ac:dyDescent="0.3">
      <c r="A448" s="468"/>
      <c r="B448" s="398" t="s">
        <v>481</v>
      </c>
      <c r="C448" s="121">
        <v>44627</v>
      </c>
      <c r="D448" s="371">
        <v>46355.93</v>
      </c>
      <c r="E448" s="122">
        <v>3</v>
      </c>
      <c r="F448" s="94"/>
      <c r="G448" s="56">
        <v>46355.93</v>
      </c>
      <c r="H448" s="57">
        <f t="shared" si="541"/>
        <v>2318</v>
      </c>
      <c r="I448" s="58"/>
      <c r="J448" s="53">
        <f t="shared" si="546"/>
        <v>45722</v>
      </c>
      <c r="K448" s="57">
        <f t="shared" si="543"/>
        <v>1096</v>
      </c>
      <c r="L448" s="57"/>
      <c r="M448" s="57">
        <f t="shared" si="544"/>
        <v>25</v>
      </c>
      <c r="N448" s="57"/>
      <c r="O448" s="57"/>
      <c r="P448" s="80"/>
      <c r="Q448" s="57"/>
      <c r="R448" s="57"/>
      <c r="S448" s="57"/>
      <c r="T448" s="57"/>
      <c r="U448" s="80">
        <f t="shared" si="545"/>
        <v>1004.5148266423357</v>
      </c>
      <c r="V448" s="57">
        <f t="shared" si="534"/>
        <v>14666</v>
      </c>
      <c r="W448" s="57"/>
      <c r="X448" s="57"/>
      <c r="Y448" s="57"/>
      <c r="Z448" s="57"/>
      <c r="AA448" s="57"/>
      <c r="AB448" s="80"/>
      <c r="AC448" s="80"/>
      <c r="AD448" s="80"/>
      <c r="AE448" s="80"/>
      <c r="AF448" s="59">
        <f t="shared" si="540"/>
        <v>45351.415173357665</v>
      </c>
      <c r="AN448" s="152"/>
      <c r="AO448" s="152"/>
      <c r="AP448" s="101"/>
      <c r="AQ448" s="101"/>
    </row>
    <row r="449" spans="1:43" ht="15.9" customHeight="1" x14ac:dyDescent="0.3">
      <c r="A449" s="468"/>
      <c r="B449" s="398" t="s">
        <v>479</v>
      </c>
      <c r="C449" s="121">
        <v>44651</v>
      </c>
      <c r="D449" s="371">
        <v>17949.419999999998</v>
      </c>
      <c r="E449" s="122">
        <v>3</v>
      </c>
      <c r="F449" s="94"/>
      <c r="G449" s="56">
        <v>17949.419999999998</v>
      </c>
      <c r="H449" s="57">
        <f t="shared" si="541"/>
        <v>897</v>
      </c>
      <c r="I449" s="58"/>
      <c r="J449" s="53">
        <f t="shared" si="546"/>
        <v>45746</v>
      </c>
      <c r="K449" s="57">
        <f t="shared" si="543"/>
        <v>1096</v>
      </c>
      <c r="L449" s="57"/>
      <c r="M449" s="57">
        <f t="shared" si="544"/>
        <v>1</v>
      </c>
      <c r="N449" s="57"/>
      <c r="O449" s="57"/>
      <c r="P449" s="80"/>
      <c r="Q449" s="57"/>
      <c r="R449" s="57"/>
      <c r="S449" s="57"/>
      <c r="T449" s="57"/>
      <c r="U449" s="80">
        <f t="shared" si="545"/>
        <v>15.558777372262773</v>
      </c>
      <c r="V449" s="57">
        <f t="shared" si="534"/>
        <v>5679</v>
      </c>
      <c r="W449" s="57"/>
      <c r="X449" s="57"/>
      <c r="Y449" s="57"/>
      <c r="Z449" s="57"/>
      <c r="AA449" s="57"/>
      <c r="AB449" s="80"/>
      <c r="AC449" s="80"/>
      <c r="AD449" s="80"/>
      <c r="AE449" s="80"/>
      <c r="AF449" s="59">
        <f t="shared" si="540"/>
        <v>17933.861222627736</v>
      </c>
      <c r="AN449" s="152"/>
      <c r="AO449" s="152"/>
      <c r="AP449" s="101"/>
      <c r="AQ449" s="101"/>
    </row>
    <row r="450" spans="1:43" ht="15.9" customHeight="1" x14ac:dyDescent="0.3">
      <c r="A450" s="468"/>
      <c r="B450" s="398" t="s">
        <v>491</v>
      </c>
      <c r="C450" s="121">
        <v>44595</v>
      </c>
      <c r="D450" s="371">
        <v>16000</v>
      </c>
      <c r="E450" s="122">
        <v>3</v>
      </c>
      <c r="F450" s="94"/>
      <c r="G450" s="56">
        <f>D450</f>
        <v>16000</v>
      </c>
      <c r="H450" s="57">
        <f t="shared" si="541"/>
        <v>800</v>
      </c>
      <c r="I450" s="58"/>
      <c r="J450" s="53">
        <f t="shared" si="546"/>
        <v>45690</v>
      </c>
      <c r="K450" s="57">
        <f t="shared" si="543"/>
        <v>1096</v>
      </c>
      <c r="L450" s="57"/>
      <c r="M450" s="57">
        <f t="shared" si="544"/>
        <v>57</v>
      </c>
      <c r="N450" s="57"/>
      <c r="O450" s="57"/>
      <c r="P450" s="80"/>
      <c r="Q450" s="57"/>
      <c r="R450" s="57"/>
      <c r="S450" s="57"/>
      <c r="T450" s="57"/>
      <c r="U450" s="80">
        <f t="shared" si="545"/>
        <v>790.51094890510944</v>
      </c>
      <c r="V450" s="57">
        <f t="shared" si="534"/>
        <v>5062</v>
      </c>
      <c r="W450" s="57"/>
      <c r="X450" s="57"/>
      <c r="Y450" s="57"/>
      <c r="Z450" s="57"/>
      <c r="AA450" s="57"/>
      <c r="AB450" s="80"/>
      <c r="AC450" s="80"/>
      <c r="AD450" s="80"/>
      <c r="AE450" s="80"/>
      <c r="AF450" s="59">
        <f t="shared" si="540"/>
        <v>15209.48905109489</v>
      </c>
      <c r="AN450" s="152"/>
      <c r="AO450" s="152"/>
      <c r="AP450" s="101"/>
      <c r="AQ450" s="101"/>
    </row>
    <row r="451" spans="1:43" ht="15.9" customHeight="1" x14ac:dyDescent="0.3">
      <c r="A451" s="468"/>
      <c r="B451" s="92" t="s">
        <v>492</v>
      </c>
      <c r="C451" s="121">
        <v>44610</v>
      </c>
      <c r="D451" s="371">
        <v>12825</v>
      </c>
      <c r="E451" s="122">
        <v>3</v>
      </c>
      <c r="F451" s="94"/>
      <c r="G451" s="56">
        <f>D451</f>
        <v>12825</v>
      </c>
      <c r="H451" s="57">
        <f t="shared" si="541"/>
        <v>641</v>
      </c>
      <c r="I451" s="58"/>
      <c r="J451" s="53">
        <f t="shared" si="546"/>
        <v>45705</v>
      </c>
      <c r="K451" s="57">
        <f t="shared" si="543"/>
        <v>1096</v>
      </c>
      <c r="L451" s="57"/>
      <c r="M451" s="57">
        <f t="shared" si="544"/>
        <v>42</v>
      </c>
      <c r="N451" s="57"/>
      <c r="O451" s="57"/>
      <c r="P451" s="80"/>
      <c r="Q451" s="57"/>
      <c r="R451" s="57"/>
      <c r="S451" s="57"/>
      <c r="T451" s="57"/>
      <c r="U451" s="80">
        <f t="shared" si="545"/>
        <v>466.90510948905109</v>
      </c>
      <c r="V451" s="57">
        <f t="shared" si="534"/>
        <v>4058</v>
      </c>
      <c r="W451" s="57"/>
      <c r="X451" s="57"/>
      <c r="Y451" s="57"/>
      <c r="Z451" s="57"/>
      <c r="AA451" s="57"/>
      <c r="AB451" s="80"/>
      <c r="AC451" s="80"/>
      <c r="AD451" s="80"/>
      <c r="AE451" s="80"/>
      <c r="AF451" s="59">
        <f t="shared" si="540"/>
        <v>12358.094890510949</v>
      </c>
      <c r="AN451" s="152"/>
      <c r="AO451" s="152"/>
      <c r="AP451" s="101"/>
      <c r="AQ451" s="101"/>
    </row>
    <row r="452" spans="1:43" ht="15.9" customHeight="1" x14ac:dyDescent="0.3">
      <c r="A452" s="468"/>
      <c r="B452" s="92" t="s">
        <v>495</v>
      </c>
      <c r="C452" s="121">
        <v>44303</v>
      </c>
      <c r="D452" s="371">
        <v>80423.740000000005</v>
      </c>
      <c r="E452" s="122">
        <v>3</v>
      </c>
      <c r="F452" s="94"/>
      <c r="G452" s="56">
        <f>D452</f>
        <v>80423.740000000005</v>
      </c>
      <c r="H452" s="57">
        <f t="shared" si="541"/>
        <v>4021</v>
      </c>
      <c r="I452" s="58"/>
      <c r="J452" s="53">
        <f t="shared" si="546"/>
        <v>45398</v>
      </c>
      <c r="K452" s="57">
        <f t="shared" si="543"/>
        <v>1096</v>
      </c>
      <c r="L452" s="57"/>
      <c r="M452" s="57">
        <f t="shared" si="544"/>
        <v>349</v>
      </c>
      <c r="N452" s="57"/>
      <c r="O452" s="57"/>
      <c r="P452" s="80"/>
      <c r="Q452" s="57"/>
      <c r="R452" s="57"/>
      <c r="S452" s="57"/>
      <c r="T452" s="57"/>
      <c r="U452" s="80">
        <f t="shared" si="545"/>
        <v>24328.974689781022</v>
      </c>
      <c r="V452" s="57">
        <f t="shared" si="534"/>
        <v>25444</v>
      </c>
      <c r="W452" s="57"/>
      <c r="X452" s="57"/>
      <c r="Y452" s="57"/>
      <c r="Z452" s="57"/>
      <c r="AA452" s="57"/>
      <c r="AB452" s="80"/>
      <c r="AC452" s="80"/>
      <c r="AD452" s="80"/>
      <c r="AE452" s="80"/>
      <c r="AF452" s="59">
        <f t="shared" si="540"/>
        <v>56094.76531021898</v>
      </c>
      <c r="AN452" s="152"/>
      <c r="AO452" s="152"/>
      <c r="AP452" s="101"/>
      <c r="AQ452" s="101"/>
    </row>
    <row r="453" spans="1:43" ht="15.9" customHeight="1" x14ac:dyDescent="0.3">
      <c r="A453" s="468"/>
      <c r="B453" s="92" t="s">
        <v>496</v>
      </c>
      <c r="C453" s="121">
        <v>44550</v>
      </c>
      <c r="D453" s="371">
        <v>73305.78</v>
      </c>
      <c r="E453" s="122">
        <v>3</v>
      </c>
      <c r="F453" s="94"/>
      <c r="G453" s="56">
        <f>D453</f>
        <v>73305.78</v>
      </c>
      <c r="H453" s="57">
        <f t="shared" si="541"/>
        <v>3665</v>
      </c>
      <c r="I453" s="58"/>
      <c r="J453" s="53">
        <f t="shared" si="546"/>
        <v>45645</v>
      </c>
      <c r="K453" s="57">
        <f t="shared" si="543"/>
        <v>1096</v>
      </c>
      <c r="L453" s="57"/>
      <c r="M453" s="57">
        <f t="shared" si="544"/>
        <v>102</v>
      </c>
      <c r="N453" s="57"/>
      <c r="O453" s="57"/>
      <c r="P453" s="80"/>
      <c r="Q453" s="57"/>
      <c r="R453" s="57"/>
      <c r="S453" s="57"/>
      <c r="T453" s="57"/>
      <c r="U453" s="80">
        <f t="shared" si="545"/>
        <v>6481.1674817518251</v>
      </c>
      <c r="V453" s="57">
        <f t="shared" si="534"/>
        <v>23192</v>
      </c>
      <c r="W453" s="57"/>
      <c r="X453" s="57"/>
      <c r="Y453" s="57"/>
      <c r="Z453" s="57"/>
      <c r="AA453" s="57"/>
      <c r="AB453" s="80"/>
      <c r="AC453" s="80"/>
      <c r="AD453" s="80"/>
      <c r="AE453" s="80"/>
      <c r="AF453" s="59">
        <f t="shared" si="540"/>
        <v>66824.612518248177</v>
      </c>
      <c r="AN453" s="152"/>
      <c r="AO453" s="152"/>
      <c r="AP453" s="101"/>
      <c r="AQ453" s="101"/>
    </row>
    <row r="454" spans="1:43" ht="15.9" customHeight="1" x14ac:dyDescent="0.3">
      <c r="A454" s="468"/>
      <c r="B454" s="92" t="s">
        <v>497</v>
      </c>
      <c r="C454" s="121">
        <v>44554</v>
      </c>
      <c r="D454" s="371">
        <v>52966</v>
      </c>
      <c r="E454" s="122">
        <v>3</v>
      </c>
      <c r="F454" s="94"/>
      <c r="G454" s="56">
        <f>D454</f>
        <v>52966</v>
      </c>
      <c r="H454" s="57">
        <f t="shared" si="541"/>
        <v>2648</v>
      </c>
      <c r="I454" s="58"/>
      <c r="J454" s="53">
        <f t="shared" si="546"/>
        <v>45649</v>
      </c>
      <c r="K454" s="57">
        <f t="shared" si="543"/>
        <v>1096</v>
      </c>
      <c r="L454" s="57"/>
      <c r="M454" s="57">
        <f t="shared" si="544"/>
        <v>98</v>
      </c>
      <c r="N454" s="57"/>
      <c r="O454" s="57"/>
      <c r="P454" s="80"/>
      <c r="Q454" s="57"/>
      <c r="R454" s="57"/>
      <c r="S454" s="57"/>
      <c r="T454" s="57"/>
      <c r="U454" s="80">
        <f t="shared" si="545"/>
        <v>4499.2372262773715</v>
      </c>
      <c r="V454" s="57">
        <f t="shared" si="534"/>
        <v>16757</v>
      </c>
      <c r="W454" s="57"/>
      <c r="X454" s="57"/>
      <c r="Y454" s="57"/>
      <c r="Z454" s="57"/>
      <c r="AA454" s="57"/>
      <c r="AB454" s="80"/>
      <c r="AC454" s="80"/>
      <c r="AD454" s="80"/>
      <c r="AE454" s="80"/>
      <c r="AF454" s="59">
        <f t="shared" si="540"/>
        <v>48466.762773722628</v>
      </c>
      <c r="AN454" s="152"/>
      <c r="AO454" s="152"/>
      <c r="AP454" s="101"/>
      <c r="AQ454" s="101"/>
    </row>
    <row r="455" spans="1:43" s="333" customFormat="1" ht="15.9" customHeight="1" x14ac:dyDescent="0.3">
      <c r="A455" s="468"/>
      <c r="B455" s="425" t="s">
        <v>580</v>
      </c>
      <c r="C455" s="335">
        <v>44715</v>
      </c>
      <c r="D455" s="414">
        <v>58865</v>
      </c>
      <c r="E455" s="337">
        <v>3</v>
      </c>
      <c r="F455" s="338"/>
      <c r="G455" s="339">
        <f t="shared" ref="G455:G473" si="547">D455</f>
        <v>58865</v>
      </c>
      <c r="H455" s="327">
        <f t="shared" ref="H455:H473" si="548">ROUND(D455*5%,0)</f>
        <v>2943</v>
      </c>
      <c r="I455" s="328"/>
      <c r="J455" s="263">
        <f>C455+(E455*365)</f>
        <v>45810</v>
      </c>
      <c r="K455" s="327">
        <f>+J455-C455-M455+1</f>
        <v>794</v>
      </c>
      <c r="L455" s="327"/>
      <c r="M455" s="327">
        <f>$V$3-C455+1</f>
        <v>302</v>
      </c>
      <c r="N455" s="327"/>
      <c r="O455" s="327"/>
      <c r="P455" s="330"/>
      <c r="Q455" s="327"/>
      <c r="R455" s="327"/>
      <c r="S455" s="327"/>
      <c r="T455" s="327"/>
      <c r="U455" s="353"/>
      <c r="V455" s="327">
        <f>+ROUND((G455-H455)*M455/K455,0)</f>
        <v>21270</v>
      </c>
      <c r="W455" s="327"/>
      <c r="X455" s="327"/>
      <c r="Y455" s="327"/>
      <c r="Z455" s="327"/>
      <c r="AA455" s="327"/>
      <c r="AB455" s="330"/>
      <c r="AC455" s="330"/>
      <c r="AD455" s="330"/>
      <c r="AE455" s="330"/>
      <c r="AF455" s="331"/>
      <c r="AG455" s="332"/>
      <c r="AI455" s="332"/>
      <c r="AN455" s="340"/>
      <c r="AO455" s="340"/>
      <c r="AP455" s="334"/>
      <c r="AQ455" s="334"/>
    </row>
    <row r="456" spans="1:43" s="333" customFormat="1" ht="15.9" customHeight="1" x14ac:dyDescent="0.3">
      <c r="A456" s="468"/>
      <c r="B456" s="361" t="s">
        <v>581</v>
      </c>
      <c r="C456" s="335">
        <v>44734</v>
      </c>
      <c r="D456" s="414">
        <v>12627.12</v>
      </c>
      <c r="E456" s="337">
        <v>3</v>
      </c>
      <c r="F456" s="338"/>
      <c r="G456" s="339">
        <f t="shared" si="547"/>
        <v>12627.12</v>
      </c>
      <c r="H456" s="327">
        <f t="shared" si="548"/>
        <v>631</v>
      </c>
      <c r="I456" s="328"/>
      <c r="J456" s="263">
        <f t="shared" ref="J456:J466" si="549">C456+(E456*365)</f>
        <v>45829</v>
      </c>
      <c r="K456" s="327">
        <f t="shared" ref="K456:K466" si="550">+J456-C456-M456+1</f>
        <v>813</v>
      </c>
      <c r="L456" s="327"/>
      <c r="M456" s="327">
        <f t="shared" ref="M456:M473" si="551">$V$3-C456+1</f>
        <v>283</v>
      </c>
      <c r="N456" s="327"/>
      <c r="O456" s="327"/>
      <c r="P456" s="330"/>
      <c r="Q456" s="327"/>
      <c r="R456" s="327"/>
      <c r="S456" s="327"/>
      <c r="T456" s="327"/>
      <c r="U456" s="353"/>
      <c r="V456" s="327">
        <f t="shared" ref="V456:V473" si="552">+ROUND((G456-H456)*M456/K456,0)</f>
        <v>4176</v>
      </c>
      <c r="W456" s="327"/>
      <c r="X456" s="327"/>
      <c r="Y456" s="327"/>
      <c r="Z456" s="327"/>
      <c r="AA456" s="327"/>
      <c r="AB456" s="330"/>
      <c r="AC456" s="330"/>
      <c r="AD456" s="330"/>
      <c r="AE456" s="330"/>
      <c r="AF456" s="331"/>
      <c r="AG456" s="332"/>
      <c r="AI456" s="332"/>
      <c r="AN456" s="340"/>
      <c r="AO456" s="340"/>
      <c r="AP456" s="334"/>
      <c r="AQ456" s="334"/>
    </row>
    <row r="457" spans="1:43" s="333" customFormat="1" ht="15.9" customHeight="1" x14ac:dyDescent="0.3">
      <c r="A457" s="468"/>
      <c r="B457" s="361" t="s">
        <v>581</v>
      </c>
      <c r="C457" s="335">
        <v>44737</v>
      </c>
      <c r="D457" s="414">
        <v>99000</v>
      </c>
      <c r="E457" s="337">
        <v>3</v>
      </c>
      <c r="F457" s="338"/>
      <c r="G457" s="339">
        <f t="shared" si="547"/>
        <v>99000</v>
      </c>
      <c r="H457" s="327">
        <f t="shared" si="548"/>
        <v>4950</v>
      </c>
      <c r="I457" s="328"/>
      <c r="J457" s="263">
        <f t="shared" si="549"/>
        <v>45832</v>
      </c>
      <c r="K457" s="327">
        <f t="shared" si="550"/>
        <v>816</v>
      </c>
      <c r="L457" s="327"/>
      <c r="M457" s="327">
        <f t="shared" si="551"/>
        <v>280</v>
      </c>
      <c r="N457" s="327"/>
      <c r="O457" s="327"/>
      <c r="P457" s="330"/>
      <c r="Q457" s="327"/>
      <c r="R457" s="327"/>
      <c r="S457" s="327"/>
      <c r="T457" s="327"/>
      <c r="U457" s="353"/>
      <c r="V457" s="327">
        <f t="shared" si="552"/>
        <v>32272</v>
      </c>
      <c r="W457" s="327"/>
      <c r="X457" s="327"/>
      <c r="Y457" s="327"/>
      <c r="Z457" s="327"/>
      <c r="AA457" s="327"/>
      <c r="AB457" s="330"/>
      <c r="AC457" s="330"/>
      <c r="AD457" s="330"/>
      <c r="AE457" s="330"/>
      <c r="AF457" s="331"/>
      <c r="AG457" s="332"/>
      <c r="AI457" s="332"/>
      <c r="AN457" s="340"/>
      <c r="AO457" s="340"/>
      <c r="AP457" s="334"/>
      <c r="AQ457" s="334"/>
    </row>
    <row r="458" spans="1:43" s="333" customFormat="1" ht="15.9" customHeight="1" x14ac:dyDescent="0.3">
      <c r="A458" s="468"/>
      <c r="B458" s="361" t="s">
        <v>582</v>
      </c>
      <c r="C458" s="335">
        <v>44743</v>
      </c>
      <c r="D458" s="414">
        <v>144152.54</v>
      </c>
      <c r="E458" s="337">
        <v>3</v>
      </c>
      <c r="F458" s="338"/>
      <c r="G458" s="339">
        <f t="shared" si="547"/>
        <v>144152.54</v>
      </c>
      <c r="H458" s="327">
        <f t="shared" si="548"/>
        <v>7208</v>
      </c>
      <c r="I458" s="328"/>
      <c r="J458" s="263">
        <f t="shared" si="549"/>
        <v>45838</v>
      </c>
      <c r="K458" s="327">
        <f t="shared" si="550"/>
        <v>822</v>
      </c>
      <c r="L458" s="327"/>
      <c r="M458" s="327">
        <f t="shared" si="551"/>
        <v>274</v>
      </c>
      <c r="N458" s="327"/>
      <c r="O458" s="327"/>
      <c r="P458" s="330"/>
      <c r="Q458" s="327"/>
      <c r="R458" s="327"/>
      <c r="S458" s="327"/>
      <c r="T458" s="327"/>
      <c r="U458" s="353"/>
      <c r="V458" s="327">
        <f t="shared" si="552"/>
        <v>45648</v>
      </c>
      <c r="W458" s="327"/>
      <c r="X458" s="327"/>
      <c r="Y458" s="327"/>
      <c r="Z458" s="327"/>
      <c r="AA458" s="327"/>
      <c r="AB458" s="330"/>
      <c r="AC458" s="330"/>
      <c r="AD458" s="330"/>
      <c r="AE458" s="330"/>
      <c r="AF458" s="331"/>
      <c r="AG458" s="332"/>
      <c r="AI458" s="332"/>
      <c r="AN458" s="340"/>
      <c r="AO458" s="340"/>
      <c r="AP458" s="334"/>
      <c r="AQ458" s="334"/>
    </row>
    <row r="459" spans="1:43" s="333" customFormat="1" ht="15.9" customHeight="1" x14ac:dyDescent="0.3">
      <c r="A459" s="468"/>
      <c r="B459" s="426" t="s">
        <v>583</v>
      </c>
      <c r="C459" s="335">
        <v>44743</v>
      </c>
      <c r="D459" s="414">
        <v>161000</v>
      </c>
      <c r="E459" s="337">
        <v>3</v>
      </c>
      <c r="F459" s="338"/>
      <c r="G459" s="339">
        <f t="shared" si="547"/>
        <v>161000</v>
      </c>
      <c r="H459" s="327">
        <f t="shared" si="548"/>
        <v>8050</v>
      </c>
      <c r="I459" s="328"/>
      <c r="J459" s="263">
        <f t="shared" si="549"/>
        <v>45838</v>
      </c>
      <c r="K459" s="327">
        <f t="shared" si="550"/>
        <v>822</v>
      </c>
      <c r="L459" s="327"/>
      <c r="M459" s="327">
        <f t="shared" si="551"/>
        <v>274</v>
      </c>
      <c r="N459" s="327"/>
      <c r="O459" s="327"/>
      <c r="P459" s="330"/>
      <c r="Q459" s="327"/>
      <c r="R459" s="327"/>
      <c r="S459" s="327"/>
      <c r="T459" s="327"/>
      <c r="U459" s="353"/>
      <c r="V459" s="327">
        <f t="shared" si="552"/>
        <v>50983</v>
      </c>
      <c r="W459" s="327"/>
      <c r="X459" s="327"/>
      <c r="Y459" s="327"/>
      <c r="Z459" s="327"/>
      <c r="AA459" s="327"/>
      <c r="AB459" s="330"/>
      <c r="AC459" s="330"/>
      <c r="AD459" s="330"/>
      <c r="AE459" s="330"/>
      <c r="AF459" s="331"/>
      <c r="AG459" s="332"/>
      <c r="AI459" s="332"/>
      <c r="AN459" s="340"/>
      <c r="AO459" s="340"/>
      <c r="AP459" s="334"/>
      <c r="AQ459" s="334"/>
    </row>
    <row r="460" spans="1:43" s="333" customFormat="1" ht="15.9" customHeight="1" x14ac:dyDescent="0.3">
      <c r="A460" s="468"/>
      <c r="B460" s="92" t="s">
        <v>544</v>
      </c>
      <c r="C460" s="335">
        <v>44757</v>
      </c>
      <c r="D460" s="336">
        <v>433270</v>
      </c>
      <c r="E460" s="414">
        <f>10-7</f>
        <v>3</v>
      </c>
      <c r="F460" s="94"/>
      <c r="G460" s="339">
        <f>D460</f>
        <v>433270</v>
      </c>
      <c r="H460" s="327">
        <f>ROUND(D460*5%,0)</f>
        <v>21664</v>
      </c>
      <c r="I460" s="328"/>
      <c r="J460" s="263">
        <f>C460+(E460*365)</f>
        <v>45852</v>
      </c>
      <c r="K460" s="327">
        <f>+J460-C460-M460+1</f>
        <v>836</v>
      </c>
      <c r="L460" s="327"/>
      <c r="M460" s="327">
        <f>$V$3-C460+1</f>
        <v>260</v>
      </c>
      <c r="N460" s="327"/>
      <c r="O460" s="327"/>
      <c r="P460" s="330"/>
      <c r="Q460" s="327"/>
      <c r="R460" s="327"/>
      <c r="S460" s="327"/>
      <c r="T460" s="327"/>
      <c r="U460" s="353"/>
      <c r="V460" s="327">
        <f>+ROUND((G460-H460)*M460/K460,0)</f>
        <v>128011</v>
      </c>
      <c r="W460" s="57"/>
      <c r="X460" s="57"/>
      <c r="Y460" s="57"/>
      <c r="Z460" s="57"/>
      <c r="AA460" s="57"/>
      <c r="AB460" s="80"/>
      <c r="AC460" s="80"/>
      <c r="AD460" s="80"/>
      <c r="AE460" s="80"/>
      <c r="AF460" s="59" t="e">
        <f>+#REF!-F460-SUM(N460:U460)-L460</f>
        <v>#REF!</v>
      </c>
      <c r="AG460" s="32"/>
      <c r="AH460" s="33"/>
      <c r="AI460" s="32"/>
      <c r="AJ460" s="33"/>
      <c r="AK460" s="33"/>
      <c r="AL460" s="33"/>
      <c r="AM460" s="33"/>
      <c r="AN460" s="152"/>
      <c r="AO460" s="152"/>
      <c r="AP460" s="101"/>
      <c r="AQ460" s="334"/>
    </row>
    <row r="461" spans="1:43" s="333" customFormat="1" ht="15.9" customHeight="1" x14ac:dyDescent="0.3">
      <c r="A461" s="468"/>
      <c r="B461" s="426" t="s">
        <v>584</v>
      </c>
      <c r="C461" s="335">
        <v>44764</v>
      </c>
      <c r="D461" s="414">
        <v>116991.57</v>
      </c>
      <c r="E461" s="337">
        <v>3</v>
      </c>
      <c r="F461" s="338"/>
      <c r="G461" s="339">
        <f t="shared" si="547"/>
        <v>116991.57</v>
      </c>
      <c r="H461" s="327">
        <f t="shared" si="548"/>
        <v>5850</v>
      </c>
      <c r="I461" s="328"/>
      <c r="J461" s="263">
        <f t="shared" si="549"/>
        <v>45859</v>
      </c>
      <c r="K461" s="327">
        <f t="shared" si="550"/>
        <v>843</v>
      </c>
      <c r="L461" s="327"/>
      <c r="M461" s="327">
        <f t="shared" si="551"/>
        <v>253</v>
      </c>
      <c r="N461" s="327"/>
      <c r="O461" s="327"/>
      <c r="P461" s="330"/>
      <c r="Q461" s="327"/>
      <c r="R461" s="327"/>
      <c r="S461" s="327"/>
      <c r="T461" s="327"/>
      <c r="U461" s="353"/>
      <c r="V461" s="327">
        <f t="shared" si="552"/>
        <v>33356</v>
      </c>
      <c r="W461" s="327"/>
      <c r="X461" s="327"/>
      <c r="Y461" s="327"/>
      <c r="Z461" s="327"/>
      <c r="AA461" s="327"/>
      <c r="AB461" s="330"/>
      <c r="AC461" s="330"/>
      <c r="AD461" s="330"/>
      <c r="AE461" s="330"/>
      <c r="AF461" s="331"/>
      <c r="AG461" s="332"/>
      <c r="AI461" s="332"/>
      <c r="AN461" s="340"/>
      <c r="AO461" s="340"/>
      <c r="AP461" s="334"/>
      <c r="AQ461" s="334"/>
    </row>
    <row r="462" spans="1:43" s="333" customFormat="1" ht="15.9" customHeight="1" x14ac:dyDescent="0.3">
      <c r="A462" s="468"/>
      <c r="B462" s="426" t="s">
        <v>585</v>
      </c>
      <c r="C462" s="335">
        <v>44776</v>
      </c>
      <c r="D462" s="414">
        <v>715800</v>
      </c>
      <c r="E462" s="337">
        <v>6</v>
      </c>
      <c r="F462" s="338"/>
      <c r="G462" s="339">
        <f t="shared" si="547"/>
        <v>715800</v>
      </c>
      <c r="H462" s="327">
        <f t="shared" si="548"/>
        <v>35790</v>
      </c>
      <c r="I462" s="328"/>
      <c r="J462" s="263">
        <f t="shared" si="549"/>
        <v>46966</v>
      </c>
      <c r="K462" s="327">
        <f t="shared" si="550"/>
        <v>1950</v>
      </c>
      <c r="L462" s="327"/>
      <c r="M462" s="327">
        <f t="shared" si="551"/>
        <v>241</v>
      </c>
      <c r="N462" s="327"/>
      <c r="O462" s="327"/>
      <c r="P462" s="330"/>
      <c r="Q462" s="327"/>
      <c r="R462" s="327"/>
      <c r="S462" s="327"/>
      <c r="T462" s="327"/>
      <c r="U462" s="353"/>
      <c r="V462" s="327">
        <f t="shared" si="552"/>
        <v>84042</v>
      </c>
      <c r="W462" s="327"/>
      <c r="X462" s="327"/>
      <c r="Y462" s="327"/>
      <c r="Z462" s="327"/>
      <c r="AA462" s="327"/>
      <c r="AB462" s="330"/>
      <c r="AC462" s="330"/>
      <c r="AD462" s="330"/>
      <c r="AE462" s="330"/>
      <c r="AF462" s="331"/>
      <c r="AG462" s="332"/>
      <c r="AI462" s="332"/>
      <c r="AN462" s="340"/>
      <c r="AO462" s="340"/>
      <c r="AP462" s="334"/>
      <c r="AQ462" s="334"/>
    </row>
    <row r="463" spans="1:43" s="333" customFormat="1" ht="15.9" customHeight="1" x14ac:dyDescent="0.3">
      <c r="A463" s="468"/>
      <c r="B463" s="361" t="s">
        <v>586</v>
      </c>
      <c r="C463" s="335">
        <v>44790</v>
      </c>
      <c r="D463" s="414">
        <v>60169.49</v>
      </c>
      <c r="E463" s="337">
        <v>3</v>
      </c>
      <c r="F463" s="338"/>
      <c r="G463" s="339">
        <f t="shared" si="547"/>
        <v>60169.49</v>
      </c>
      <c r="H463" s="327">
        <f t="shared" si="548"/>
        <v>3008</v>
      </c>
      <c r="I463" s="328"/>
      <c r="J463" s="263">
        <f t="shared" si="549"/>
        <v>45885</v>
      </c>
      <c r="K463" s="327">
        <f t="shared" si="550"/>
        <v>869</v>
      </c>
      <c r="L463" s="327"/>
      <c r="M463" s="327">
        <f t="shared" si="551"/>
        <v>227</v>
      </c>
      <c r="N463" s="327"/>
      <c r="O463" s="327"/>
      <c r="P463" s="330"/>
      <c r="Q463" s="327"/>
      <c r="R463" s="327"/>
      <c r="S463" s="327"/>
      <c r="T463" s="327"/>
      <c r="U463" s="353"/>
      <c r="V463" s="327">
        <f t="shared" si="552"/>
        <v>14932</v>
      </c>
      <c r="W463" s="327"/>
      <c r="X463" s="327"/>
      <c r="Y463" s="327"/>
      <c r="Z463" s="327"/>
      <c r="AA463" s="327"/>
      <c r="AB463" s="330"/>
      <c r="AC463" s="330"/>
      <c r="AD463" s="330"/>
      <c r="AE463" s="330"/>
      <c r="AF463" s="331"/>
      <c r="AG463" s="332"/>
      <c r="AI463" s="332"/>
      <c r="AN463" s="340"/>
      <c r="AO463" s="340"/>
      <c r="AP463" s="334"/>
      <c r="AQ463" s="334"/>
    </row>
    <row r="464" spans="1:43" s="333" customFormat="1" ht="15.9" customHeight="1" x14ac:dyDescent="0.3">
      <c r="A464" s="468"/>
      <c r="B464" s="426" t="s">
        <v>587</v>
      </c>
      <c r="C464" s="335">
        <v>44806</v>
      </c>
      <c r="D464" s="414">
        <v>203657.63</v>
      </c>
      <c r="E464" s="337">
        <v>3</v>
      </c>
      <c r="F464" s="338"/>
      <c r="G464" s="339">
        <f t="shared" si="547"/>
        <v>203657.63</v>
      </c>
      <c r="H464" s="327">
        <f t="shared" si="548"/>
        <v>10183</v>
      </c>
      <c r="I464" s="328"/>
      <c r="J464" s="263">
        <f t="shared" si="549"/>
        <v>45901</v>
      </c>
      <c r="K464" s="327">
        <f t="shared" si="550"/>
        <v>885</v>
      </c>
      <c r="L464" s="327"/>
      <c r="M464" s="327">
        <f t="shared" si="551"/>
        <v>211</v>
      </c>
      <c r="N464" s="327"/>
      <c r="O464" s="327"/>
      <c r="P464" s="330"/>
      <c r="Q464" s="327"/>
      <c r="R464" s="327"/>
      <c r="S464" s="327"/>
      <c r="T464" s="327"/>
      <c r="U464" s="353"/>
      <c r="V464" s="327">
        <f t="shared" si="552"/>
        <v>46128</v>
      </c>
      <c r="W464" s="327"/>
      <c r="X464" s="327"/>
      <c r="Y464" s="327"/>
      <c r="Z464" s="327"/>
      <c r="AA464" s="327"/>
      <c r="AB464" s="330"/>
      <c r="AC464" s="330"/>
      <c r="AD464" s="330"/>
      <c r="AE464" s="330"/>
      <c r="AF464" s="331"/>
      <c r="AG464" s="332"/>
      <c r="AI464" s="332"/>
      <c r="AN464" s="340"/>
      <c r="AO464" s="340"/>
      <c r="AP464" s="334"/>
      <c r="AQ464" s="334"/>
    </row>
    <row r="465" spans="1:43" s="333" customFormat="1" ht="15.9" customHeight="1" x14ac:dyDescent="0.3">
      <c r="A465" s="468"/>
      <c r="B465" s="361" t="s">
        <v>588</v>
      </c>
      <c r="C465" s="335">
        <v>44817</v>
      </c>
      <c r="D465" s="414">
        <v>83750</v>
      </c>
      <c r="E465" s="337">
        <v>3</v>
      </c>
      <c r="F465" s="338"/>
      <c r="G465" s="339">
        <f t="shared" si="547"/>
        <v>83750</v>
      </c>
      <c r="H465" s="327">
        <f t="shared" si="548"/>
        <v>4188</v>
      </c>
      <c r="I465" s="328"/>
      <c r="J465" s="263">
        <f t="shared" si="549"/>
        <v>45912</v>
      </c>
      <c r="K465" s="327">
        <f t="shared" si="550"/>
        <v>896</v>
      </c>
      <c r="L465" s="327"/>
      <c r="M465" s="327">
        <f t="shared" si="551"/>
        <v>200</v>
      </c>
      <c r="N465" s="327"/>
      <c r="O465" s="327"/>
      <c r="P465" s="330"/>
      <c r="Q465" s="327"/>
      <c r="R465" s="327"/>
      <c r="S465" s="327"/>
      <c r="T465" s="327"/>
      <c r="U465" s="353"/>
      <c r="V465" s="327">
        <f t="shared" si="552"/>
        <v>17759</v>
      </c>
      <c r="W465" s="327"/>
      <c r="X465" s="327"/>
      <c r="Y465" s="327"/>
      <c r="Z465" s="327"/>
      <c r="AA465" s="327"/>
      <c r="AB465" s="330"/>
      <c r="AC465" s="330"/>
      <c r="AD465" s="330"/>
      <c r="AE465" s="330"/>
      <c r="AF465" s="331"/>
      <c r="AG465" s="332"/>
      <c r="AI465" s="332"/>
      <c r="AN465" s="340"/>
      <c r="AO465" s="340"/>
      <c r="AP465" s="334"/>
      <c r="AQ465" s="334"/>
    </row>
    <row r="466" spans="1:43" s="333" customFormat="1" ht="15.9" customHeight="1" x14ac:dyDescent="0.3">
      <c r="A466" s="468"/>
      <c r="B466" s="426" t="s">
        <v>589</v>
      </c>
      <c r="C466" s="335">
        <v>44834</v>
      </c>
      <c r="D466" s="414">
        <v>20338.990000000002</v>
      </c>
      <c r="E466" s="337">
        <v>3</v>
      </c>
      <c r="F466" s="338"/>
      <c r="G466" s="339">
        <f t="shared" si="547"/>
        <v>20338.990000000002</v>
      </c>
      <c r="H466" s="327">
        <f t="shared" si="548"/>
        <v>1017</v>
      </c>
      <c r="I466" s="328"/>
      <c r="J466" s="263">
        <f t="shared" si="549"/>
        <v>45929</v>
      </c>
      <c r="K466" s="327">
        <f t="shared" si="550"/>
        <v>913</v>
      </c>
      <c r="L466" s="327"/>
      <c r="M466" s="327">
        <f t="shared" si="551"/>
        <v>183</v>
      </c>
      <c r="N466" s="327"/>
      <c r="O466" s="327"/>
      <c r="P466" s="330"/>
      <c r="Q466" s="327"/>
      <c r="R466" s="327"/>
      <c r="S466" s="327"/>
      <c r="T466" s="327"/>
      <c r="U466" s="353"/>
      <c r="V466" s="327">
        <f t="shared" si="552"/>
        <v>3873</v>
      </c>
      <c r="W466" s="327"/>
      <c r="X466" s="327"/>
      <c r="Y466" s="327"/>
      <c r="Z466" s="327"/>
      <c r="AA466" s="327"/>
      <c r="AB466" s="330"/>
      <c r="AC466" s="330"/>
      <c r="AD466" s="330"/>
      <c r="AE466" s="330"/>
      <c r="AF466" s="331"/>
      <c r="AG466" s="332"/>
      <c r="AI466" s="332"/>
      <c r="AN466" s="340"/>
      <c r="AO466" s="340"/>
      <c r="AP466" s="334"/>
      <c r="AQ466" s="334"/>
    </row>
    <row r="467" spans="1:43" s="333" customFormat="1" ht="15.9" customHeight="1" x14ac:dyDescent="0.3">
      <c r="A467" s="468"/>
      <c r="B467" s="361" t="s">
        <v>590</v>
      </c>
      <c r="C467" s="335">
        <v>44663</v>
      </c>
      <c r="D467" s="415">
        <v>57550</v>
      </c>
      <c r="E467" s="337">
        <v>3</v>
      </c>
      <c r="F467" s="338"/>
      <c r="G467" s="339">
        <f t="shared" si="547"/>
        <v>57550</v>
      </c>
      <c r="H467" s="327">
        <f t="shared" si="548"/>
        <v>2878</v>
      </c>
      <c r="I467" s="328"/>
      <c r="J467" s="263">
        <f t="shared" ref="J467:J473" si="553">C467+(E467*365)</f>
        <v>45758</v>
      </c>
      <c r="K467" s="327">
        <f t="shared" ref="K467:K473" si="554">+J467-C467-M467+1</f>
        <v>742</v>
      </c>
      <c r="L467" s="327"/>
      <c r="M467" s="327">
        <f t="shared" si="551"/>
        <v>354</v>
      </c>
      <c r="N467" s="327"/>
      <c r="O467" s="327"/>
      <c r="P467" s="330"/>
      <c r="Q467" s="327"/>
      <c r="R467" s="327"/>
      <c r="S467" s="327"/>
      <c r="T467" s="327"/>
      <c r="U467" s="353"/>
      <c r="V467" s="327">
        <f t="shared" si="552"/>
        <v>26083</v>
      </c>
      <c r="W467" s="327"/>
      <c r="X467" s="327"/>
      <c r="Y467" s="327"/>
      <c r="Z467" s="327"/>
      <c r="AA467" s="327"/>
      <c r="AB467" s="330"/>
      <c r="AC467" s="330"/>
      <c r="AD467" s="330"/>
      <c r="AE467" s="330"/>
      <c r="AF467" s="331"/>
      <c r="AG467" s="332"/>
      <c r="AI467" s="332"/>
      <c r="AN467" s="340"/>
      <c r="AO467" s="340"/>
      <c r="AP467" s="334"/>
      <c r="AQ467" s="334"/>
    </row>
    <row r="468" spans="1:43" s="333" customFormat="1" ht="15.9" customHeight="1" x14ac:dyDescent="0.3">
      <c r="A468" s="468"/>
      <c r="B468" s="361" t="s">
        <v>591</v>
      </c>
      <c r="C468" s="335">
        <v>44669</v>
      </c>
      <c r="D468" s="415">
        <v>182400</v>
      </c>
      <c r="E468" s="337">
        <v>3</v>
      </c>
      <c r="F468" s="338"/>
      <c r="G468" s="339">
        <f t="shared" si="547"/>
        <v>182400</v>
      </c>
      <c r="H468" s="327">
        <f t="shared" si="548"/>
        <v>9120</v>
      </c>
      <c r="I468" s="328"/>
      <c r="J468" s="263">
        <f t="shared" si="553"/>
        <v>45764</v>
      </c>
      <c r="K468" s="327">
        <f t="shared" si="554"/>
        <v>748</v>
      </c>
      <c r="L468" s="327"/>
      <c r="M468" s="327">
        <f t="shared" si="551"/>
        <v>348</v>
      </c>
      <c r="N468" s="327"/>
      <c r="O468" s="327"/>
      <c r="P468" s="330"/>
      <c r="Q468" s="327"/>
      <c r="R468" s="327"/>
      <c r="S468" s="327"/>
      <c r="T468" s="327"/>
      <c r="U468" s="353"/>
      <c r="V468" s="327">
        <f t="shared" si="552"/>
        <v>80617</v>
      </c>
      <c r="W468" s="327"/>
      <c r="X468" s="327"/>
      <c r="Y468" s="327"/>
      <c r="Z468" s="327"/>
      <c r="AA468" s="327"/>
      <c r="AB468" s="330"/>
      <c r="AC468" s="330"/>
      <c r="AD468" s="330"/>
      <c r="AE468" s="330"/>
      <c r="AF468" s="331"/>
      <c r="AG468" s="332"/>
      <c r="AI468" s="332"/>
      <c r="AN468" s="340"/>
      <c r="AO468" s="340"/>
      <c r="AP468" s="334"/>
      <c r="AQ468" s="334"/>
    </row>
    <row r="469" spans="1:43" s="333" customFormat="1" ht="15.9" customHeight="1" x14ac:dyDescent="0.3">
      <c r="A469" s="468"/>
      <c r="B469" s="361" t="s">
        <v>592</v>
      </c>
      <c r="C469" s="335">
        <v>44672</v>
      </c>
      <c r="D469" s="415">
        <v>44800</v>
      </c>
      <c r="E469" s="337">
        <v>3</v>
      </c>
      <c r="F469" s="338"/>
      <c r="G469" s="339">
        <f t="shared" si="547"/>
        <v>44800</v>
      </c>
      <c r="H469" s="327">
        <f t="shared" si="548"/>
        <v>2240</v>
      </c>
      <c r="I469" s="328"/>
      <c r="J469" s="263">
        <f t="shared" si="553"/>
        <v>45767</v>
      </c>
      <c r="K469" s="327">
        <f t="shared" si="554"/>
        <v>751</v>
      </c>
      <c r="L469" s="327"/>
      <c r="M469" s="327">
        <f t="shared" si="551"/>
        <v>345</v>
      </c>
      <c r="N469" s="327"/>
      <c r="O469" s="327"/>
      <c r="P469" s="330"/>
      <c r="Q469" s="327"/>
      <c r="R469" s="327"/>
      <c r="S469" s="327"/>
      <c r="T469" s="327"/>
      <c r="U469" s="353"/>
      <c r="V469" s="327">
        <f t="shared" si="552"/>
        <v>19552</v>
      </c>
      <c r="W469" s="327"/>
      <c r="X469" s="327"/>
      <c r="Y469" s="327"/>
      <c r="Z469" s="327"/>
      <c r="AA469" s="327"/>
      <c r="AB469" s="330"/>
      <c r="AC469" s="330"/>
      <c r="AD469" s="330"/>
      <c r="AE469" s="330"/>
      <c r="AF469" s="331"/>
      <c r="AG469" s="332"/>
      <c r="AI469" s="332"/>
      <c r="AN469" s="340"/>
      <c r="AO469" s="340"/>
      <c r="AP469" s="334"/>
      <c r="AQ469" s="334"/>
    </row>
    <row r="470" spans="1:43" s="333" customFormat="1" ht="15.9" customHeight="1" x14ac:dyDescent="0.3">
      <c r="A470" s="468"/>
      <c r="B470" s="369" t="s">
        <v>533</v>
      </c>
      <c r="C470" s="335">
        <v>44768</v>
      </c>
      <c r="D470" s="415">
        <v>46500</v>
      </c>
      <c r="E470" s="337">
        <v>3</v>
      </c>
      <c r="F470" s="338"/>
      <c r="G470" s="339">
        <f t="shared" si="547"/>
        <v>46500</v>
      </c>
      <c r="H470" s="327">
        <f t="shared" si="548"/>
        <v>2325</v>
      </c>
      <c r="I470" s="328"/>
      <c r="J470" s="263">
        <f t="shared" si="553"/>
        <v>45863</v>
      </c>
      <c r="K470" s="327">
        <f t="shared" si="554"/>
        <v>847</v>
      </c>
      <c r="L470" s="327"/>
      <c r="M470" s="327">
        <f t="shared" si="551"/>
        <v>249</v>
      </c>
      <c r="N470" s="327"/>
      <c r="O470" s="327"/>
      <c r="P470" s="330"/>
      <c r="Q470" s="327"/>
      <c r="R470" s="327"/>
      <c r="S470" s="327"/>
      <c r="T470" s="327"/>
      <c r="U470" s="353"/>
      <c r="V470" s="327">
        <f t="shared" si="552"/>
        <v>12987</v>
      </c>
      <c r="W470" s="327"/>
      <c r="X470" s="327"/>
      <c r="Y470" s="327"/>
      <c r="Z470" s="327"/>
      <c r="AA470" s="327"/>
      <c r="AB470" s="330"/>
      <c r="AC470" s="330"/>
      <c r="AD470" s="330"/>
      <c r="AE470" s="330"/>
      <c r="AF470" s="331"/>
      <c r="AG470" s="332"/>
      <c r="AI470" s="332"/>
      <c r="AN470" s="340"/>
      <c r="AO470" s="340"/>
      <c r="AP470" s="334"/>
      <c r="AQ470" s="334"/>
    </row>
    <row r="471" spans="1:43" s="333" customFormat="1" ht="15.9" customHeight="1" x14ac:dyDescent="0.3">
      <c r="A471" s="468"/>
      <c r="B471" s="369" t="s">
        <v>547</v>
      </c>
      <c r="C471" s="335">
        <v>44887</v>
      </c>
      <c r="D471" s="336">
        <v>53899.69</v>
      </c>
      <c r="E471" s="337">
        <v>3</v>
      </c>
      <c r="F471" s="338"/>
      <c r="G471" s="339">
        <f t="shared" si="547"/>
        <v>53899.69</v>
      </c>
      <c r="H471" s="327">
        <f t="shared" si="548"/>
        <v>2695</v>
      </c>
      <c r="I471" s="328"/>
      <c r="J471" s="263">
        <f t="shared" si="553"/>
        <v>45982</v>
      </c>
      <c r="K471" s="327">
        <f t="shared" si="554"/>
        <v>966</v>
      </c>
      <c r="L471" s="327"/>
      <c r="M471" s="327">
        <f t="shared" si="551"/>
        <v>130</v>
      </c>
      <c r="N471" s="327"/>
      <c r="O471" s="327"/>
      <c r="P471" s="330"/>
      <c r="Q471" s="327"/>
      <c r="R471" s="327"/>
      <c r="S471" s="327"/>
      <c r="T471" s="327"/>
      <c r="U471" s="353"/>
      <c r="V471" s="327">
        <f t="shared" si="552"/>
        <v>6891</v>
      </c>
      <c r="W471" s="327"/>
      <c r="X471" s="327"/>
      <c r="Y471" s="327"/>
      <c r="Z471" s="327"/>
      <c r="AA471" s="327"/>
      <c r="AB471" s="330"/>
      <c r="AC471" s="330"/>
      <c r="AD471" s="330"/>
      <c r="AE471" s="330"/>
      <c r="AF471" s="331"/>
      <c r="AG471" s="332"/>
      <c r="AI471" s="332"/>
      <c r="AN471" s="340"/>
      <c r="AO471" s="340"/>
      <c r="AP471" s="334"/>
      <c r="AQ471" s="334"/>
    </row>
    <row r="472" spans="1:43" s="333" customFormat="1" ht="15.9" customHeight="1" x14ac:dyDescent="0.3">
      <c r="A472" s="468"/>
      <c r="B472" s="369" t="s">
        <v>550</v>
      </c>
      <c r="C472" s="335">
        <v>44919</v>
      </c>
      <c r="D472" s="415">
        <v>70152.56</v>
      </c>
      <c r="E472" s="337">
        <v>3</v>
      </c>
      <c r="F472" s="338"/>
      <c r="G472" s="339">
        <f t="shared" si="547"/>
        <v>70152.56</v>
      </c>
      <c r="H472" s="327">
        <f t="shared" si="548"/>
        <v>3508</v>
      </c>
      <c r="I472" s="328"/>
      <c r="J472" s="263">
        <f t="shared" si="553"/>
        <v>46014</v>
      </c>
      <c r="K472" s="327">
        <f t="shared" si="554"/>
        <v>998</v>
      </c>
      <c r="L472" s="327"/>
      <c r="M472" s="327">
        <f t="shared" si="551"/>
        <v>98</v>
      </c>
      <c r="N472" s="327"/>
      <c r="O472" s="327"/>
      <c r="P472" s="330"/>
      <c r="Q472" s="327"/>
      <c r="R472" s="327"/>
      <c r="S472" s="327"/>
      <c r="T472" s="327"/>
      <c r="U472" s="353"/>
      <c r="V472" s="327">
        <f t="shared" si="552"/>
        <v>6544</v>
      </c>
      <c r="W472" s="327"/>
      <c r="X472" s="327"/>
      <c r="Y472" s="327"/>
      <c r="Z472" s="327"/>
      <c r="AA472" s="327"/>
      <c r="AB472" s="330"/>
      <c r="AC472" s="330"/>
      <c r="AD472" s="330"/>
      <c r="AE472" s="330"/>
      <c r="AF472" s="331"/>
      <c r="AG472" s="332"/>
      <c r="AI472" s="332"/>
      <c r="AN472" s="340"/>
      <c r="AO472" s="340"/>
      <c r="AP472" s="334"/>
      <c r="AQ472" s="334"/>
    </row>
    <row r="473" spans="1:43" s="333" customFormat="1" ht="15.9" customHeight="1" x14ac:dyDescent="0.3">
      <c r="A473" s="468"/>
      <c r="B473" s="369" t="s">
        <v>553</v>
      </c>
      <c r="C473" s="335">
        <v>44930</v>
      </c>
      <c r="D473" s="415">
        <v>12711.87</v>
      </c>
      <c r="E473" s="337">
        <v>3</v>
      </c>
      <c r="F473" s="338"/>
      <c r="G473" s="339">
        <f t="shared" si="547"/>
        <v>12711.87</v>
      </c>
      <c r="H473" s="327">
        <f t="shared" si="548"/>
        <v>636</v>
      </c>
      <c r="I473" s="328"/>
      <c r="J473" s="263">
        <f t="shared" si="553"/>
        <v>46025</v>
      </c>
      <c r="K473" s="327">
        <f t="shared" si="554"/>
        <v>1009</v>
      </c>
      <c r="L473" s="327"/>
      <c r="M473" s="327">
        <f t="shared" si="551"/>
        <v>87</v>
      </c>
      <c r="N473" s="327"/>
      <c r="O473" s="327"/>
      <c r="P473" s="330"/>
      <c r="Q473" s="327"/>
      <c r="R473" s="327"/>
      <c r="S473" s="327"/>
      <c r="T473" s="327"/>
      <c r="U473" s="353"/>
      <c r="V473" s="327">
        <f t="shared" si="552"/>
        <v>1041</v>
      </c>
      <c r="W473" s="327"/>
      <c r="X473" s="327"/>
      <c r="Y473" s="327"/>
      <c r="Z473" s="327"/>
      <c r="AA473" s="327"/>
      <c r="AB473" s="330"/>
      <c r="AC473" s="330"/>
      <c r="AD473" s="330"/>
      <c r="AE473" s="330"/>
      <c r="AF473" s="331"/>
      <c r="AG473" s="332"/>
      <c r="AI473" s="332"/>
      <c r="AN473" s="340"/>
      <c r="AO473" s="340"/>
      <c r="AP473" s="334"/>
      <c r="AQ473" s="334"/>
    </row>
    <row r="474" spans="1:43" s="333" customFormat="1" ht="15.9" customHeight="1" x14ac:dyDescent="0.3">
      <c r="A474" s="468"/>
      <c r="B474" s="369" t="s">
        <v>553</v>
      </c>
      <c r="C474" s="335">
        <v>44930</v>
      </c>
      <c r="D474" s="415">
        <v>12711.87</v>
      </c>
      <c r="E474" s="337">
        <v>3</v>
      </c>
      <c r="F474" s="338"/>
      <c r="G474" s="339">
        <f t="shared" ref="G474" si="555">D474</f>
        <v>12711.87</v>
      </c>
      <c r="H474" s="327">
        <f t="shared" ref="H474" si="556">ROUND(D474*5%,0)</f>
        <v>636</v>
      </c>
      <c r="I474" s="328"/>
      <c r="J474" s="263">
        <f t="shared" ref="J474" si="557">C474+(E474*365)</f>
        <v>46025</v>
      </c>
      <c r="K474" s="327">
        <f t="shared" ref="K474" si="558">+J474-C474-M474+1</f>
        <v>1009</v>
      </c>
      <c r="L474" s="327"/>
      <c r="M474" s="327">
        <f t="shared" ref="M474" si="559">$V$3-C474+1</f>
        <v>87</v>
      </c>
      <c r="N474" s="327"/>
      <c r="O474" s="327"/>
      <c r="P474" s="330"/>
      <c r="Q474" s="327"/>
      <c r="R474" s="327"/>
      <c r="S474" s="327"/>
      <c r="T474" s="327"/>
      <c r="U474" s="353"/>
      <c r="V474" s="327">
        <f t="shared" ref="V474" si="560">+ROUND((G474-H474)*M474/K474,0)</f>
        <v>1041</v>
      </c>
      <c r="W474" s="327"/>
      <c r="X474" s="327"/>
      <c r="Y474" s="327"/>
      <c r="Z474" s="327"/>
      <c r="AA474" s="327"/>
      <c r="AB474" s="330"/>
      <c r="AC474" s="330"/>
      <c r="AD474" s="330"/>
      <c r="AE474" s="330"/>
      <c r="AF474" s="331"/>
      <c r="AG474" s="332"/>
      <c r="AI474" s="332"/>
      <c r="AN474" s="340"/>
      <c r="AO474" s="340"/>
      <c r="AP474" s="334"/>
      <c r="AQ474" s="334"/>
    </row>
    <row r="475" spans="1:43" s="333" customFormat="1" ht="15.9" customHeight="1" x14ac:dyDescent="0.3">
      <c r="A475" s="468"/>
      <c r="B475" s="361" t="s">
        <v>554</v>
      </c>
      <c r="C475" s="335">
        <v>44936</v>
      </c>
      <c r="D475" s="336">
        <v>9745.76</v>
      </c>
      <c r="E475" s="337">
        <v>3</v>
      </c>
      <c r="F475" s="338"/>
      <c r="G475" s="339">
        <f t="shared" ref="G475:G488" si="561">D475</f>
        <v>9745.76</v>
      </c>
      <c r="H475" s="327">
        <f t="shared" ref="H475:H488" si="562">ROUND(D475*5%,0)</f>
        <v>487</v>
      </c>
      <c r="I475" s="328"/>
      <c r="J475" s="263">
        <f t="shared" ref="J475:J488" si="563">C475+(E475*365)</f>
        <v>46031</v>
      </c>
      <c r="K475" s="327">
        <f t="shared" ref="K475:K488" si="564">+J475-C475-M475+1</f>
        <v>1015</v>
      </c>
      <c r="L475" s="327"/>
      <c r="M475" s="327">
        <f t="shared" ref="M475:M488" si="565">$V$3-C475+1</f>
        <v>81</v>
      </c>
      <c r="N475" s="327"/>
      <c r="O475" s="327"/>
      <c r="P475" s="330"/>
      <c r="Q475" s="327"/>
      <c r="R475" s="327"/>
      <c r="S475" s="327"/>
      <c r="T475" s="327"/>
      <c r="U475" s="353"/>
      <c r="V475" s="327">
        <f t="shared" ref="V475:V488" si="566">+ROUND((G475-H475)*M475/K475,0)</f>
        <v>739</v>
      </c>
      <c r="W475" s="327"/>
      <c r="X475" s="327"/>
      <c r="Y475" s="327"/>
      <c r="Z475" s="327"/>
      <c r="AA475" s="327"/>
      <c r="AB475" s="330"/>
      <c r="AC475" s="330"/>
      <c r="AD475" s="330"/>
      <c r="AE475" s="330"/>
      <c r="AF475" s="331"/>
      <c r="AG475" s="332"/>
      <c r="AI475" s="332"/>
      <c r="AN475" s="340"/>
      <c r="AO475" s="340"/>
      <c r="AP475" s="334"/>
      <c r="AQ475" s="334"/>
    </row>
    <row r="476" spans="1:43" s="333" customFormat="1" ht="15.9" customHeight="1" x14ac:dyDescent="0.3">
      <c r="A476" s="468"/>
      <c r="B476" s="418" t="s">
        <v>556</v>
      </c>
      <c r="C476" s="335">
        <v>44955</v>
      </c>
      <c r="D476" s="336">
        <v>103920.68</v>
      </c>
      <c r="E476" s="337">
        <v>3</v>
      </c>
      <c r="F476" s="338"/>
      <c r="G476" s="339">
        <f t="shared" si="561"/>
        <v>103920.68</v>
      </c>
      <c r="H476" s="327">
        <f t="shared" si="562"/>
        <v>5196</v>
      </c>
      <c r="I476" s="328"/>
      <c r="J476" s="263">
        <f t="shared" si="563"/>
        <v>46050</v>
      </c>
      <c r="K476" s="327">
        <f t="shared" si="564"/>
        <v>1034</v>
      </c>
      <c r="L476" s="327"/>
      <c r="M476" s="327">
        <f t="shared" si="565"/>
        <v>62</v>
      </c>
      <c r="N476" s="327"/>
      <c r="O476" s="327"/>
      <c r="P476" s="330"/>
      <c r="Q476" s="327"/>
      <c r="R476" s="327"/>
      <c r="S476" s="327"/>
      <c r="T476" s="327"/>
      <c r="U476" s="353"/>
      <c r="V476" s="327">
        <f t="shared" si="566"/>
        <v>5920</v>
      </c>
      <c r="W476" s="327"/>
      <c r="X476" s="327"/>
      <c r="Y476" s="327"/>
      <c r="Z476" s="327"/>
      <c r="AA476" s="327"/>
      <c r="AB476" s="330"/>
      <c r="AC476" s="330"/>
      <c r="AD476" s="330"/>
      <c r="AE476" s="330"/>
      <c r="AF476" s="331"/>
      <c r="AG476" s="332"/>
      <c r="AI476" s="332"/>
      <c r="AN476" s="340"/>
      <c r="AO476" s="340"/>
      <c r="AP476" s="334"/>
      <c r="AQ476" s="334"/>
    </row>
    <row r="477" spans="1:43" s="333" customFormat="1" ht="15.9" customHeight="1" x14ac:dyDescent="0.3">
      <c r="A477" s="468"/>
      <c r="B477" s="369" t="s">
        <v>481</v>
      </c>
      <c r="C477" s="335">
        <v>44957</v>
      </c>
      <c r="D477" s="336">
        <v>30719</v>
      </c>
      <c r="E477" s="337">
        <v>3</v>
      </c>
      <c r="F477" s="338"/>
      <c r="G477" s="339">
        <f t="shared" si="561"/>
        <v>30719</v>
      </c>
      <c r="H477" s="327">
        <f t="shared" si="562"/>
        <v>1536</v>
      </c>
      <c r="I477" s="328"/>
      <c r="J477" s="263">
        <f t="shared" si="563"/>
        <v>46052</v>
      </c>
      <c r="K477" s="327">
        <f t="shared" si="564"/>
        <v>1036</v>
      </c>
      <c r="L477" s="327"/>
      <c r="M477" s="327">
        <f t="shared" si="565"/>
        <v>60</v>
      </c>
      <c r="N477" s="327"/>
      <c r="O477" s="327"/>
      <c r="P477" s="330"/>
      <c r="Q477" s="327"/>
      <c r="R477" s="327"/>
      <c r="S477" s="327"/>
      <c r="T477" s="327"/>
      <c r="U477" s="353"/>
      <c r="V477" s="327">
        <f t="shared" si="566"/>
        <v>1690</v>
      </c>
      <c r="W477" s="327"/>
      <c r="X477" s="327"/>
      <c r="Y477" s="327"/>
      <c r="Z477" s="327"/>
      <c r="AA477" s="327"/>
      <c r="AB477" s="330"/>
      <c r="AC477" s="330"/>
      <c r="AD477" s="330"/>
      <c r="AE477" s="330"/>
      <c r="AF477" s="331"/>
      <c r="AG477" s="332"/>
      <c r="AI477" s="332"/>
      <c r="AN477" s="340"/>
      <c r="AO477" s="340"/>
      <c r="AP477" s="334"/>
      <c r="AQ477" s="334"/>
    </row>
    <row r="478" spans="1:43" s="333" customFormat="1" ht="15.9" customHeight="1" x14ac:dyDescent="0.3">
      <c r="A478" s="468"/>
      <c r="B478" s="369" t="s">
        <v>557</v>
      </c>
      <c r="C478" s="335">
        <v>44915</v>
      </c>
      <c r="D478" s="336">
        <v>34250</v>
      </c>
      <c r="E478" s="337">
        <v>3</v>
      </c>
      <c r="F478" s="338"/>
      <c r="G478" s="339">
        <f t="shared" si="561"/>
        <v>34250</v>
      </c>
      <c r="H478" s="327">
        <f t="shared" si="562"/>
        <v>1713</v>
      </c>
      <c r="I478" s="328"/>
      <c r="J478" s="263">
        <f t="shared" si="563"/>
        <v>46010</v>
      </c>
      <c r="K478" s="327">
        <f t="shared" si="564"/>
        <v>994</v>
      </c>
      <c r="L478" s="327"/>
      <c r="M478" s="327">
        <f t="shared" si="565"/>
        <v>102</v>
      </c>
      <c r="N478" s="327"/>
      <c r="O478" s="327"/>
      <c r="P478" s="330"/>
      <c r="Q478" s="327"/>
      <c r="R478" s="327"/>
      <c r="S478" s="327"/>
      <c r="T478" s="327"/>
      <c r="U478" s="353"/>
      <c r="V478" s="327">
        <f t="shared" si="566"/>
        <v>3339</v>
      </c>
      <c r="W478" s="327"/>
      <c r="X478" s="327"/>
      <c r="Y478" s="327"/>
      <c r="Z478" s="327"/>
      <c r="AA478" s="327"/>
      <c r="AB478" s="330"/>
      <c r="AC478" s="330"/>
      <c r="AD478" s="330"/>
      <c r="AE478" s="330"/>
      <c r="AF478" s="331"/>
      <c r="AG478" s="332"/>
      <c r="AI478" s="332"/>
      <c r="AN478" s="340"/>
      <c r="AO478" s="340"/>
      <c r="AP478" s="334"/>
      <c r="AQ478" s="334"/>
    </row>
    <row r="479" spans="1:43" s="333" customFormat="1" ht="15.9" customHeight="1" x14ac:dyDescent="0.3">
      <c r="A479" s="468"/>
      <c r="B479" s="369" t="s">
        <v>558</v>
      </c>
      <c r="C479" s="335">
        <v>44921</v>
      </c>
      <c r="D479" s="336">
        <v>63800</v>
      </c>
      <c r="E479" s="337">
        <v>3</v>
      </c>
      <c r="F479" s="338"/>
      <c r="G479" s="339">
        <f t="shared" si="561"/>
        <v>63800</v>
      </c>
      <c r="H479" s="327">
        <f t="shared" si="562"/>
        <v>3190</v>
      </c>
      <c r="I479" s="328"/>
      <c r="J479" s="263">
        <f t="shared" si="563"/>
        <v>46016</v>
      </c>
      <c r="K479" s="327">
        <f t="shared" si="564"/>
        <v>1000</v>
      </c>
      <c r="L479" s="327"/>
      <c r="M479" s="327">
        <f t="shared" si="565"/>
        <v>96</v>
      </c>
      <c r="N479" s="327"/>
      <c r="O479" s="327"/>
      <c r="P479" s="330"/>
      <c r="Q479" s="327"/>
      <c r="R479" s="327"/>
      <c r="S479" s="327"/>
      <c r="T479" s="327"/>
      <c r="U479" s="353"/>
      <c r="V479" s="327">
        <f t="shared" si="566"/>
        <v>5819</v>
      </c>
      <c r="W479" s="327"/>
      <c r="X479" s="327"/>
      <c r="Y479" s="327"/>
      <c r="Z479" s="327"/>
      <c r="AA479" s="327"/>
      <c r="AB479" s="330"/>
      <c r="AC479" s="330"/>
      <c r="AD479" s="330"/>
      <c r="AE479" s="330"/>
      <c r="AF479" s="331"/>
      <c r="AG479" s="332"/>
      <c r="AI479" s="332"/>
      <c r="AN479" s="340"/>
      <c r="AO479" s="340"/>
      <c r="AP479" s="334"/>
      <c r="AQ479" s="334"/>
    </row>
    <row r="480" spans="1:43" s="333" customFormat="1" ht="15.9" customHeight="1" x14ac:dyDescent="0.3">
      <c r="A480" s="468"/>
      <c r="B480" s="369" t="s">
        <v>559</v>
      </c>
      <c r="C480" s="335">
        <v>44903</v>
      </c>
      <c r="D480" s="336">
        <v>1185000</v>
      </c>
      <c r="E480" s="337">
        <v>6</v>
      </c>
      <c r="F480" s="338"/>
      <c r="G480" s="339">
        <f t="shared" si="561"/>
        <v>1185000</v>
      </c>
      <c r="H480" s="327">
        <f t="shared" si="562"/>
        <v>59250</v>
      </c>
      <c r="I480" s="328"/>
      <c r="J480" s="263">
        <f t="shared" si="563"/>
        <v>47093</v>
      </c>
      <c r="K480" s="327">
        <f t="shared" si="564"/>
        <v>2077</v>
      </c>
      <c r="L480" s="327"/>
      <c r="M480" s="327">
        <f t="shared" si="565"/>
        <v>114</v>
      </c>
      <c r="N480" s="327"/>
      <c r="O480" s="327"/>
      <c r="P480" s="330"/>
      <c r="Q480" s="327"/>
      <c r="R480" s="327"/>
      <c r="S480" s="327"/>
      <c r="T480" s="327"/>
      <c r="U480" s="353"/>
      <c r="V480" s="327">
        <f t="shared" si="566"/>
        <v>61789</v>
      </c>
      <c r="W480" s="327"/>
      <c r="X480" s="327"/>
      <c r="Y480" s="327"/>
      <c r="Z480" s="327"/>
      <c r="AA480" s="327"/>
      <c r="AB480" s="330"/>
      <c r="AC480" s="330"/>
      <c r="AD480" s="330"/>
      <c r="AE480" s="330"/>
      <c r="AF480" s="331"/>
      <c r="AG480" s="332"/>
      <c r="AI480" s="332"/>
      <c r="AN480" s="340"/>
      <c r="AO480" s="340"/>
      <c r="AP480" s="334"/>
      <c r="AQ480" s="334"/>
    </row>
    <row r="481" spans="1:43" s="333" customFormat="1" ht="15.9" customHeight="1" x14ac:dyDescent="0.3">
      <c r="A481" s="468"/>
      <c r="B481" s="369" t="s">
        <v>560</v>
      </c>
      <c r="C481" s="335">
        <v>44935</v>
      </c>
      <c r="D481" s="336">
        <v>275000</v>
      </c>
      <c r="E481" s="337">
        <v>6</v>
      </c>
      <c r="F481" s="338"/>
      <c r="G481" s="339">
        <f t="shared" si="561"/>
        <v>275000</v>
      </c>
      <c r="H481" s="327">
        <f t="shared" si="562"/>
        <v>13750</v>
      </c>
      <c r="I481" s="328"/>
      <c r="J481" s="263">
        <f t="shared" si="563"/>
        <v>47125</v>
      </c>
      <c r="K481" s="327">
        <f t="shared" si="564"/>
        <v>2109</v>
      </c>
      <c r="L481" s="327"/>
      <c r="M481" s="327">
        <f t="shared" si="565"/>
        <v>82</v>
      </c>
      <c r="N481" s="327"/>
      <c r="O481" s="327"/>
      <c r="P481" s="330"/>
      <c r="Q481" s="327"/>
      <c r="R481" s="327"/>
      <c r="S481" s="327"/>
      <c r="T481" s="327"/>
      <c r="U481" s="353"/>
      <c r="V481" s="327">
        <f t="shared" si="566"/>
        <v>10158</v>
      </c>
      <c r="W481" s="327"/>
      <c r="X481" s="327"/>
      <c r="Y481" s="327"/>
      <c r="Z481" s="327"/>
      <c r="AA481" s="327"/>
      <c r="AB481" s="330"/>
      <c r="AC481" s="330"/>
      <c r="AD481" s="330"/>
      <c r="AE481" s="330"/>
      <c r="AF481" s="331"/>
      <c r="AG481" s="332"/>
      <c r="AI481" s="332"/>
      <c r="AN481" s="340"/>
      <c r="AO481" s="340"/>
      <c r="AP481" s="334"/>
      <c r="AQ481" s="334"/>
    </row>
    <row r="482" spans="1:43" s="333" customFormat="1" ht="15.9" customHeight="1" x14ac:dyDescent="0.3">
      <c r="A482" s="468"/>
      <c r="B482" s="369" t="s">
        <v>560</v>
      </c>
      <c r="C482" s="335">
        <v>44951</v>
      </c>
      <c r="D482" s="336">
        <v>33000</v>
      </c>
      <c r="E482" s="337">
        <v>6</v>
      </c>
      <c r="F482" s="338"/>
      <c r="G482" s="339">
        <f t="shared" si="561"/>
        <v>33000</v>
      </c>
      <c r="H482" s="327">
        <f t="shared" si="562"/>
        <v>1650</v>
      </c>
      <c r="I482" s="328"/>
      <c r="J482" s="263">
        <f t="shared" si="563"/>
        <v>47141</v>
      </c>
      <c r="K482" s="327">
        <f t="shared" si="564"/>
        <v>2125</v>
      </c>
      <c r="L482" s="327"/>
      <c r="M482" s="327">
        <f t="shared" si="565"/>
        <v>66</v>
      </c>
      <c r="N482" s="327"/>
      <c r="O482" s="327"/>
      <c r="P482" s="330"/>
      <c r="Q482" s="327"/>
      <c r="R482" s="327"/>
      <c r="S482" s="327"/>
      <c r="T482" s="327"/>
      <c r="U482" s="353"/>
      <c r="V482" s="327">
        <f t="shared" si="566"/>
        <v>974</v>
      </c>
      <c r="W482" s="327"/>
      <c r="X482" s="327"/>
      <c r="Y482" s="327"/>
      <c r="Z482" s="327"/>
      <c r="AA482" s="327"/>
      <c r="AB482" s="330"/>
      <c r="AC482" s="330"/>
      <c r="AD482" s="330"/>
      <c r="AE482" s="330"/>
      <c r="AF482" s="331"/>
      <c r="AG482" s="332"/>
      <c r="AI482" s="332"/>
      <c r="AN482" s="340"/>
      <c r="AO482" s="340"/>
      <c r="AP482" s="334"/>
      <c r="AQ482" s="334"/>
    </row>
    <row r="483" spans="1:43" s="333" customFormat="1" ht="15.9" customHeight="1" x14ac:dyDescent="0.3">
      <c r="A483" s="468"/>
      <c r="B483" s="423" t="s">
        <v>561</v>
      </c>
      <c r="C483" s="335">
        <v>44958</v>
      </c>
      <c r="D483" s="336">
        <v>29900</v>
      </c>
      <c r="E483" s="337">
        <v>3</v>
      </c>
      <c r="F483" s="338"/>
      <c r="G483" s="339">
        <f t="shared" si="561"/>
        <v>29900</v>
      </c>
      <c r="H483" s="327">
        <f t="shared" si="562"/>
        <v>1495</v>
      </c>
      <c r="I483" s="328"/>
      <c r="J483" s="263">
        <f t="shared" si="563"/>
        <v>46053</v>
      </c>
      <c r="K483" s="327">
        <f t="shared" si="564"/>
        <v>1037</v>
      </c>
      <c r="L483" s="327"/>
      <c r="M483" s="327">
        <f t="shared" si="565"/>
        <v>59</v>
      </c>
      <c r="N483" s="327"/>
      <c r="O483" s="327"/>
      <c r="P483" s="330"/>
      <c r="Q483" s="327"/>
      <c r="R483" s="327"/>
      <c r="S483" s="327"/>
      <c r="T483" s="327"/>
      <c r="U483" s="353"/>
      <c r="V483" s="327">
        <f t="shared" si="566"/>
        <v>1616</v>
      </c>
      <c r="W483" s="327"/>
      <c r="X483" s="327"/>
      <c r="Y483" s="327"/>
      <c r="Z483" s="327"/>
      <c r="AA483" s="327"/>
      <c r="AB483" s="330"/>
      <c r="AC483" s="330"/>
      <c r="AD483" s="330"/>
      <c r="AE483" s="330"/>
      <c r="AF483" s="331"/>
      <c r="AG483" s="332"/>
      <c r="AI483" s="332"/>
      <c r="AN483" s="340"/>
      <c r="AO483" s="340"/>
      <c r="AP483" s="334"/>
      <c r="AQ483" s="334"/>
    </row>
    <row r="484" spans="1:43" s="333" customFormat="1" ht="15.9" customHeight="1" x14ac:dyDescent="0.3">
      <c r="A484" s="468"/>
      <c r="B484" s="369" t="s">
        <v>566</v>
      </c>
      <c r="C484" s="335">
        <v>44991</v>
      </c>
      <c r="D484" s="336">
        <v>187978.01</v>
      </c>
      <c r="E484" s="337">
        <v>3</v>
      </c>
      <c r="F484" s="338"/>
      <c r="G484" s="339">
        <f t="shared" si="561"/>
        <v>187978.01</v>
      </c>
      <c r="H484" s="327">
        <f t="shared" si="562"/>
        <v>9399</v>
      </c>
      <c r="I484" s="328"/>
      <c r="J484" s="263">
        <f t="shared" si="563"/>
        <v>46086</v>
      </c>
      <c r="K484" s="327">
        <f t="shared" si="564"/>
        <v>1070</v>
      </c>
      <c r="L484" s="327"/>
      <c r="M484" s="327">
        <f t="shared" si="565"/>
        <v>26</v>
      </c>
      <c r="N484" s="327"/>
      <c r="O484" s="327"/>
      <c r="P484" s="330"/>
      <c r="Q484" s="327"/>
      <c r="R484" s="327"/>
      <c r="S484" s="327"/>
      <c r="T484" s="327"/>
      <c r="U484" s="353"/>
      <c r="V484" s="327">
        <f t="shared" si="566"/>
        <v>4339</v>
      </c>
      <c r="W484" s="327"/>
      <c r="X484" s="327"/>
      <c r="Y484" s="327"/>
      <c r="Z484" s="327"/>
      <c r="AA484" s="327"/>
      <c r="AB484" s="330"/>
      <c r="AC484" s="330"/>
      <c r="AD484" s="330"/>
      <c r="AE484" s="330"/>
      <c r="AF484" s="331"/>
      <c r="AG484" s="332"/>
      <c r="AI484" s="332"/>
      <c r="AN484" s="340"/>
      <c r="AO484" s="340"/>
      <c r="AP484" s="334"/>
      <c r="AQ484" s="334"/>
    </row>
    <row r="485" spans="1:43" s="333" customFormat="1" ht="15.9" customHeight="1" x14ac:dyDescent="0.3">
      <c r="A485" s="468"/>
      <c r="B485" s="369" t="s">
        <v>567</v>
      </c>
      <c r="C485" s="335">
        <v>45003</v>
      </c>
      <c r="D485" s="336">
        <v>65915.259999999995</v>
      </c>
      <c r="E485" s="337">
        <v>3</v>
      </c>
      <c r="F485" s="338"/>
      <c r="G485" s="339">
        <f t="shared" si="561"/>
        <v>65915.259999999995</v>
      </c>
      <c r="H485" s="327">
        <f t="shared" si="562"/>
        <v>3296</v>
      </c>
      <c r="I485" s="328"/>
      <c r="J485" s="263">
        <f t="shared" si="563"/>
        <v>46098</v>
      </c>
      <c r="K485" s="327">
        <f t="shared" si="564"/>
        <v>1082</v>
      </c>
      <c r="L485" s="327"/>
      <c r="M485" s="327">
        <f t="shared" si="565"/>
        <v>14</v>
      </c>
      <c r="N485" s="327"/>
      <c r="O485" s="327"/>
      <c r="P485" s="330"/>
      <c r="Q485" s="327"/>
      <c r="R485" s="327"/>
      <c r="S485" s="327"/>
      <c r="T485" s="327"/>
      <c r="U485" s="353"/>
      <c r="V485" s="327">
        <f t="shared" si="566"/>
        <v>810</v>
      </c>
      <c r="W485" s="327"/>
      <c r="X485" s="327"/>
      <c r="Y485" s="327"/>
      <c r="Z485" s="327"/>
      <c r="AA485" s="327"/>
      <c r="AB485" s="330"/>
      <c r="AC485" s="330"/>
      <c r="AD485" s="330"/>
      <c r="AE485" s="330"/>
      <c r="AF485" s="331"/>
      <c r="AG485" s="332"/>
      <c r="AI485" s="332"/>
      <c r="AN485" s="340"/>
      <c r="AO485" s="340"/>
      <c r="AP485" s="334"/>
      <c r="AQ485" s="334"/>
    </row>
    <row r="486" spans="1:43" s="333" customFormat="1" ht="15.9" customHeight="1" x14ac:dyDescent="0.3">
      <c r="A486" s="468"/>
      <c r="B486" s="369" t="s">
        <v>568</v>
      </c>
      <c r="C486" s="335">
        <v>45012</v>
      </c>
      <c r="D486" s="336">
        <v>57796.6</v>
      </c>
      <c r="E486" s="337">
        <v>3</v>
      </c>
      <c r="F486" s="338"/>
      <c r="G486" s="339">
        <f t="shared" si="561"/>
        <v>57796.6</v>
      </c>
      <c r="H486" s="327">
        <f t="shared" si="562"/>
        <v>2890</v>
      </c>
      <c r="I486" s="328"/>
      <c r="J486" s="263">
        <f t="shared" si="563"/>
        <v>46107</v>
      </c>
      <c r="K486" s="327">
        <f t="shared" si="564"/>
        <v>1091</v>
      </c>
      <c r="L486" s="327"/>
      <c r="M486" s="327">
        <f t="shared" si="565"/>
        <v>5</v>
      </c>
      <c r="N486" s="327"/>
      <c r="O486" s="327"/>
      <c r="P486" s="330"/>
      <c r="Q486" s="327"/>
      <c r="R486" s="327"/>
      <c r="S486" s="327"/>
      <c r="T486" s="327"/>
      <c r="U486" s="353"/>
      <c r="V486" s="327">
        <f t="shared" si="566"/>
        <v>252</v>
      </c>
      <c r="W486" s="327"/>
      <c r="X486" s="327"/>
      <c r="Y486" s="327"/>
      <c r="Z486" s="327"/>
      <c r="AA486" s="327"/>
      <c r="AB486" s="330"/>
      <c r="AC486" s="330"/>
      <c r="AD486" s="330"/>
      <c r="AE486" s="330"/>
      <c r="AF486" s="331"/>
      <c r="AG486" s="332"/>
      <c r="AI486" s="332"/>
      <c r="AN486" s="340"/>
      <c r="AO486" s="340"/>
      <c r="AP486" s="334"/>
      <c r="AQ486" s="334"/>
    </row>
    <row r="487" spans="1:43" s="333" customFormat="1" ht="15.9" customHeight="1" x14ac:dyDescent="0.3">
      <c r="A487" s="468"/>
      <c r="B487" s="418" t="s">
        <v>570</v>
      </c>
      <c r="C487" s="335">
        <v>45016</v>
      </c>
      <c r="D487" s="336">
        <v>76000</v>
      </c>
      <c r="E487" s="337">
        <v>6</v>
      </c>
      <c r="F487" s="338"/>
      <c r="G487" s="339">
        <f t="shared" si="561"/>
        <v>76000</v>
      </c>
      <c r="H487" s="327">
        <f t="shared" si="562"/>
        <v>3800</v>
      </c>
      <c r="I487" s="328"/>
      <c r="J487" s="263">
        <f t="shared" si="563"/>
        <v>47206</v>
      </c>
      <c r="K487" s="327">
        <f t="shared" si="564"/>
        <v>2190</v>
      </c>
      <c r="L487" s="327"/>
      <c r="M487" s="327">
        <f t="shared" si="565"/>
        <v>1</v>
      </c>
      <c r="N487" s="327"/>
      <c r="O487" s="327"/>
      <c r="P487" s="330"/>
      <c r="Q487" s="327"/>
      <c r="R487" s="327"/>
      <c r="S487" s="327"/>
      <c r="T487" s="327"/>
      <c r="U487" s="353"/>
      <c r="V487" s="327">
        <f t="shared" si="566"/>
        <v>33</v>
      </c>
      <c r="W487" s="327"/>
      <c r="X487" s="327"/>
      <c r="Y487" s="327"/>
      <c r="Z487" s="327"/>
      <c r="AA487" s="327"/>
      <c r="AB487" s="330"/>
      <c r="AC487" s="330"/>
      <c r="AD487" s="330"/>
      <c r="AE487" s="330"/>
      <c r="AF487" s="331"/>
      <c r="AG487" s="332"/>
      <c r="AI487" s="332"/>
      <c r="AN487" s="340"/>
      <c r="AO487" s="340"/>
      <c r="AP487" s="334"/>
      <c r="AQ487" s="334"/>
    </row>
    <row r="488" spans="1:43" s="333" customFormat="1" ht="15.9" customHeight="1" x14ac:dyDescent="0.3">
      <c r="A488" s="468"/>
      <c r="B488" s="424" t="s">
        <v>569</v>
      </c>
      <c r="C488" s="335">
        <v>45016</v>
      </c>
      <c r="D488" s="336">
        <f>58136.97-53899.69</f>
        <v>4237.2799999999988</v>
      </c>
      <c r="E488" s="337">
        <v>3</v>
      </c>
      <c r="F488" s="338"/>
      <c r="G488" s="339">
        <f t="shared" si="561"/>
        <v>4237.2799999999988</v>
      </c>
      <c r="H488" s="327">
        <f t="shared" si="562"/>
        <v>212</v>
      </c>
      <c r="I488" s="328"/>
      <c r="J488" s="263">
        <f t="shared" si="563"/>
        <v>46111</v>
      </c>
      <c r="K488" s="327">
        <f t="shared" si="564"/>
        <v>1095</v>
      </c>
      <c r="L488" s="327"/>
      <c r="M488" s="327">
        <f t="shared" si="565"/>
        <v>1</v>
      </c>
      <c r="N488" s="327"/>
      <c r="O488" s="327"/>
      <c r="P488" s="330"/>
      <c r="Q488" s="327"/>
      <c r="R488" s="327"/>
      <c r="S488" s="327"/>
      <c r="T488" s="327"/>
      <c r="U488" s="353"/>
      <c r="V488" s="327">
        <f t="shared" si="566"/>
        <v>4</v>
      </c>
      <c r="W488" s="327"/>
      <c r="X488" s="327"/>
      <c r="Y488" s="327"/>
      <c r="Z488" s="327"/>
      <c r="AA488" s="327"/>
      <c r="AB488" s="330"/>
      <c r="AC488" s="330"/>
      <c r="AD488" s="330"/>
      <c r="AE488" s="330"/>
      <c r="AF488" s="331"/>
      <c r="AG488" s="332"/>
      <c r="AI488" s="332"/>
      <c r="AN488" s="340"/>
      <c r="AO488" s="340"/>
      <c r="AP488" s="334"/>
      <c r="AQ488" s="334"/>
    </row>
    <row r="489" spans="1:43" s="333" customFormat="1" ht="15.9" customHeight="1" x14ac:dyDescent="0.3">
      <c r="A489" s="468"/>
      <c r="B489" s="416" t="s">
        <v>551</v>
      </c>
      <c r="C489" s="53">
        <v>44924</v>
      </c>
      <c r="D489" s="417">
        <v>25703.13</v>
      </c>
      <c r="E489" s="337">
        <v>3</v>
      </c>
      <c r="F489" s="338"/>
      <c r="G489" s="339">
        <f t="shared" ref="G489" si="567">D489</f>
        <v>25703.13</v>
      </c>
      <c r="H489" s="327">
        <f t="shared" ref="H489" si="568">ROUND(D489*5%,0)</f>
        <v>1285</v>
      </c>
      <c r="I489" s="328"/>
      <c r="J489" s="263">
        <f t="shared" ref="J489" si="569">C489+(E489*365)</f>
        <v>46019</v>
      </c>
      <c r="K489" s="327">
        <f t="shared" ref="K489" si="570">+J489-C489-M489+1</f>
        <v>1003</v>
      </c>
      <c r="L489" s="327"/>
      <c r="M489" s="327">
        <f t="shared" ref="M489" si="571">$V$3-C489+1</f>
        <v>93</v>
      </c>
      <c r="N489" s="327"/>
      <c r="O489" s="327"/>
      <c r="P489" s="330"/>
      <c r="Q489" s="327"/>
      <c r="R489" s="327"/>
      <c r="S489" s="327"/>
      <c r="T489" s="327"/>
      <c r="U489" s="353"/>
      <c r="V489" s="327">
        <f t="shared" ref="V489" si="572">+ROUND((G489-H489)*M489/K489,0)</f>
        <v>2264</v>
      </c>
      <c r="W489" s="327"/>
      <c r="X489" s="327"/>
      <c r="Y489" s="327"/>
      <c r="Z489" s="327"/>
      <c r="AA489" s="327"/>
      <c r="AB489" s="330"/>
      <c r="AC489" s="330"/>
      <c r="AD489" s="330"/>
      <c r="AE489" s="330"/>
      <c r="AF489" s="331"/>
      <c r="AG489" s="332"/>
      <c r="AI489" s="332"/>
      <c r="AN489" s="340"/>
      <c r="AO489" s="340"/>
      <c r="AP489" s="334"/>
      <c r="AQ489" s="334"/>
    </row>
    <row r="490" spans="1:43" s="333" customFormat="1" ht="15.9" customHeight="1" x14ac:dyDescent="0.3">
      <c r="A490" s="468"/>
      <c r="B490" s="416" t="s">
        <v>552</v>
      </c>
      <c r="C490" s="53">
        <v>44927</v>
      </c>
      <c r="D490" s="417">
        <v>52236.02</v>
      </c>
      <c r="E490" s="337">
        <v>3</v>
      </c>
      <c r="F490" s="338"/>
      <c r="G490" s="339">
        <f t="shared" ref="G490:G494" si="573">D490</f>
        <v>52236.02</v>
      </c>
      <c r="H490" s="327">
        <f t="shared" ref="H490:H494" si="574">ROUND(D490*5%,0)</f>
        <v>2612</v>
      </c>
      <c r="I490" s="328"/>
      <c r="J490" s="263">
        <f t="shared" ref="J490:J494" si="575">C490+(E490*365)</f>
        <v>46022</v>
      </c>
      <c r="K490" s="327">
        <f t="shared" ref="K490:K494" si="576">+J490-C490-M490+1</f>
        <v>1006</v>
      </c>
      <c r="L490" s="327"/>
      <c r="M490" s="327">
        <f t="shared" ref="M490:M494" si="577">$V$3-C490+1</f>
        <v>90</v>
      </c>
      <c r="N490" s="327"/>
      <c r="O490" s="327"/>
      <c r="P490" s="330"/>
      <c r="Q490" s="327"/>
      <c r="R490" s="327"/>
      <c r="S490" s="327"/>
      <c r="T490" s="327"/>
      <c r="U490" s="353"/>
      <c r="V490" s="327">
        <f t="shared" ref="V490:V494" si="578">+ROUND((G490-H490)*M490/K490,0)</f>
        <v>4440</v>
      </c>
      <c r="W490" s="327"/>
      <c r="X490" s="327"/>
      <c r="Y490" s="327"/>
      <c r="Z490" s="327"/>
      <c r="AA490" s="327"/>
      <c r="AB490" s="330"/>
      <c r="AC490" s="330"/>
      <c r="AD490" s="330"/>
      <c r="AE490" s="330"/>
      <c r="AF490" s="331"/>
      <c r="AG490" s="332"/>
      <c r="AI490" s="332"/>
      <c r="AN490" s="340"/>
      <c r="AO490" s="340"/>
      <c r="AP490" s="334"/>
      <c r="AQ490" s="334"/>
    </row>
    <row r="491" spans="1:43" ht="15.9" customHeight="1" x14ac:dyDescent="0.3">
      <c r="A491" s="468"/>
      <c r="B491" s="92" t="s">
        <v>565</v>
      </c>
      <c r="C491" s="335">
        <v>44979</v>
      </c>
      <c r="D491" s="336">
        <v>22510</v>
      </c>
      <c r="E491" s="414">
        <v>3</v>
      </c>
      <c r="F491" s="94"/>
      <c r="G491" s="339">
        <f t="shared" si="573"/>
        <v>22510</v>
      </c>
      <c r="H491" s="327">
        <f t="shared" si="574"/>
        <v>1126</v>
      </c>
      <c r="I491" s="328"/>
      <c r="J491" s="263">
        <f t="shared" si="575"/>
        <v>46074</v>
      </c>
      <c r="K491" s="327">
        <f t="shared" si="576"/>
        <v>1058</v>
      </c>
      <c r="L491" s="327"/>
      <c r="M491" s="327">
        <f t="shared" si="577"/>
        <v>38</v>
      </c>
      <c r="N491" s="327"/>
      <c r="O491" s="327"/>
      <c r="P491" s="330"/>
      <c r="Q491" s="327"/>
      <c r="R491" s="327"/>
      <c r="S491" s="327"/>
      <c r="T491" s="327"/>
      <c r="U491" s="353"/>
      <c r="V491" s="327">
        <f t="shared" si="578"/>
        <v>768</v>
      </c>
      <c r="W491" s="57"/>
      <c r="X491" s="57"/>
      <c r="Y491" s="57"/>
      <c r="Z491" s="57"/>
      <c r="AA491" s="57"/>
      <c r="AB491" s="80"/>
      <c r="AC491" s="80"/>
      <c r="AD491" s="80"/>
      <c r="AE491" s="80"/>
      <c r="AF491" s="59"/>
      <c r="AN491" s="152"/>
      <c r="AO491" s="152"/>
      <c r="AP491" s="101"/>
      <c r="AQ491" s="101"/>
    </row>
    <row r="492" spans="1:43" ht="15.9" customHeight="1" x14ac:dyDescent="0.3">
      <c r="A492" s="468"/>
      <c r="B492" s="92" t="s">
        <v>562</v>
      </c>
      <c r="C492" s="335">
        <v>44960</v>
      </c>
      <c r="D492" s="336">
        <v>176500</v>
      </c>
      <c r="E492" s="414">
        <v>3</v>
      </c>
      <c r="F492" s="94"/>
      <c r="G492" s="339">
        <f t="shared" si="573"/>
        <v>176500</v>
      </c>
      <c r="H492" s="327">
        <f t="shared" si="574"/>
        <v>8825</v>
      </c>
      <c r="I492" s="328"/>
      <c r="J492" s="263">
        <f t="shared" si="575"/>
        <v>46055</v>
      </c>
      <c r="K492" s="327">
        <f t="shared" si="576"/>
        <v>1039</v>
      </c>
      <c r="L492" s="327"/>
      <c r="M492" s="327">
        <f t="shared" si="577"/>
        <v>57</v>
      </c>
      <c r="N492" s="327"/>
      <c r="O492" s="327"/>
      <c r="P492" s="330"/>
      <c r="Q492" s="327"/>
      <c r="R492" s="327"/>
      <c r="S492" s="327"/>
      <c r="T492" s="327"/>
      <c r="U492" s="353"/>
      <c r="V492" s="327">
        <f t="shared" si="578"/>
        <v>9199</v>
      </c>
      <c r="W492" s="57"/>
      <c r="X492" s="57"/>
      <c r="Y492" s="57"/>
      <c r="Z492" s="57"/>
      <c r="AA492" s="57"/>
      <c r="AB492" s="80"/>
      <c r="AC492" s="80"/>
      <c r="AD492" s="80"/>
      <c r="AE492" s="80"/>
      <c r="AF492" s="59"/>
      <c r="AN492" s="152"/>
      <c r="AO492" s="152"/>
      <c r="AP492" s="101"/>
      <c r="AQ492" s="101"/>
    </row>
    <row r="493" spans="1:43" ht="15.9" customHeight="1" x14ac:dyDescent="0.3">
      <c r="A493" s="468"/>
      <c r="B493" s="92" t="s">
        <v>564</v>
      </c>
      <c r="C493" s="335">
        <v>44978</v>
      </c>
      <c r="D493" s="336">
        <v>28150</v>
      </c>
      <c r="E493" s="414">
        <v>3</v>
      </c>
      <c r="F493" s="94"/>
      <c r="G493" s="339">
        <f t="shared" si="573"/>
        <v>28150</v>
      </c>
      <c r="H493" s="327">
        <f t="shared" si="574"/>
        <v>1408</v>
      </c>
      <c r="I493" s="328"/>
      <c r="J493" s="263">
        <f t="shared" si="575"/>
        <v>46073</v>
      </c>
      <c r="K493" s="327">
        <f t="shared" si="576"/>
        <v>1057</v>
      </c>
      <c r="L493" s="327"/>
      <c r="M493" s="327">
        <f t="shared" si="577"/>
        <v>39</v>
      </c>
      <c r="N493" s="327"/>
      <c r="O493" s="327"/>
      <c r="P493" s="330"/>
      <c r="Q493" s="327"/>
      <c r="R493" s="327"/>
      <c r="S493" s="327"/>
      <c r="T493" s="327"/>
      <c r="U493" s="353"/>
      <c r="V493" s="327">
        <f t="shared" si="578"/>
        <v>987</v>
      </c>
      <c r="W493" s="57"/>
      <c r="X493" s="57"/>
      <c r="Y493" s="57"/>
      <c r="Z493" s="57"/>
      <c r="AA493" s="57"/>
      <c r="AB493" s="80"/>
      <c r="AC493" s="80"/>
      <c r="AD493" s="80"/>
      <c r="AE493" s="80"/>
      <c r="AF493" s="59"/>
      <c r="AN493" s="152"/>
      <c r="AO493" s="152"/>
      <c r="AP493" s="101"/>
      <c r="AQ493" s="101"/>
    </row>
    <row r="494" spans="1:43" ht="15.9" customHeight="1" x14ac:dyDescent="0.3">
      <c r="A494" s="468"/>
      <c r="B494" s="92" t="s">
        <v>564</v>
      </c>
      <c r="C494" s="335">
        <v>44979</v>
      </c>
      <c r="D494" s="336">
        <v>40880</v>
      </c>
      <c r="E494" s="414">
        <v>3</v>
      </c>
      <c r="F494" s="94"/>
      <c r="G494" s="339">
        <f t="shared" si="573"/>
        <v>40880</v>
      </c>
      <c r="H494" s="327">
        <f t="shared" si="574"/>
        <v>2044</v>
      </c>
      <c r="I494" s="328"/>
      <c r="J494" s="263">
        <f t="shared" si="575"/>
        <v>46074</v>
      </c>
      <c r="K494" s="327">
        <f t="shared" si="576"/>
        <v>1058</v>
      </c>
      <c r="L494" s="327"/>
      <c r="M494" s="327">
        <f t="shared" si="577"/>
        <v>38</v>
      </c>
      <c r="N494" s="327"/>
      <c r="O494" s="327"/>
      <c r="P494" s="330"/>
      <c r="Q494" s="327"/>
      <c r="R494" s="327"/>
      <c r="S494" s="327"/>
      <c r="T494" s="327"/>
      <c r="U494" s="353"/>
      <c r="V494" s="327">
        <f t="shared" si="578"/>
        <v>1395</v>
      </c>
      <c r="W494" s="57"/>
      <c r="X494" s="57"/>
      <c r="Y494" s="57"/>
      <c r="Z494" s="57"/>
      <c r="AA494" s="57"/>
      <c r="AB494" s="80"/>
      <c r="AC494" s="80"/>
      <c r="AD494" s="80"/>
      <c r="AE494" s="80"/>
      <c r="AF494" s="59"/>
      <c r="AN494" s="152"/>
      <c r="AO494" s="152"/>
      <c r="AP494" s="101"/>
      <c r="AQ494" s="101"/>
    </row>
    <row r="495" spans="1:43" ht="15.9" customHeight="1" x14ac:dyDescent="0.3">
      <c r="A495" s="468"/>
      <c r="B495" s="92"/>
      <c r="C495" s="335"/>
      <c r="D495" s="336"/>
      <c r="E495" s="414"/>
      <c r="F495" s="94"/>
      <c r="G495" s="56"/>
      <c r="H495" s="57"/>
      <c r="I495" s="58"/>
      <c r="J495" s="53"/>
      <c r="K495" s="150"/>
      <c r="L495" s="57"/>
      <c r="M495" s="57"/>
      <c r="N495" s="57"/>
      <c r="O495" s="57"/>
      <c r="P495" s="80"/>
      <c r="Q495" s="57"/>
      <c r="R495" s="57"/>
      <c r="S495" s="57"/>
      <c r="T495" s="80"/>
      <c r="U495" s="353"/>
      <c r="V495" s="57"/>
      <c r="W495" s="57"/>
      <c r="X495" s="57"/>
      <c r="Y495" s="57"/>
      <c r="Z495" s="57"/>
      <c r="AA495" s="57"/>
      <c r="AB495" s="80"/>
      <c r="AC495" s="80"/>
      <c r="AD495" s="80"/>
      <c r="AE495" s="80"/>
      <c r="AF495" s="59"/>
      <c r="AN495" s="152"/>
      <c r="AO495" s="152"/>
      <c r="AP495" s="101"/>
      <c r="AQ495" s="101"/>
    </row>
    <row r="496" spans="1:43" s="35" customFormat="1" ht="15.9" customHeight="1" x14ac:dyDescent="0.3">
      <c r="A496" s="468"/>
      <c r="B496" s="61" t="s">
        <v>2</v>
      </c>
      <c r="C496" s="123"/>
      <c r="D496" s="63">
        <f>SUM(D407:D494)</f>
        <v>7571786.3599999985</v>
      </c>
      <c r="E496" s="64"/>
      <c r="F496" s="63">
        <f>SUM(F407:F446)</f>
        <v>20434.420000000042</v>
      </c>
      <c r="G496" s="63">
        <f>SUM(G407:G494)</f>
        <v>7570818.9399999985</v>
      </c>
      <c r="H496" s="63">
        <f>SUM(H407:H494)</f>
        <v>378402</v>
      </c>
      <c r="I496" s="63"/>
      <c r="J496" s="63"/>
      <c r="K496" s="63"/>
      <c r="L496" s="63">
        <f>SUM(L407:L446)</f>
        <v>19466.579999999958</v>
      </c>
      <c r="M496" s="63"/>
      <c r="N496" s="63">
        <f t="shared" ref="N496:U496" si="579">SUM(N407:N470)</f>
        <v>23140</v>
      </c>
      <c r="O496" s="63">
        <f t="shared" si="579"/>
        <v>1143</v>
      </c>
      <c r="P496" s="63">
        <f t="shared" si="579"/>
        <v>0</v>
      </c>
      <c r="Q496" s="63">
        <f t="shared" si="579"/>
        <v>145515</v>
      </c>
      <c r="R496" s="63">
        <f t="shared" si="579"/>
        <v>162085.33333333334</v>
      </c>
      <c r="S496" s="63">
        <f t="shared" si="579"/>
        <v>189504.33333333334</v>
      </c>
      <c r="T496" s="63">
        <f t="shared" si="579"/>
        <v>201917.20905936067</v>
      </c>
      <c r="U496" s="350">
        <f t="shared" si="579"/>
        <v>368967.86867396586</v>
      </c>
      <c r="V496" s="63">
        <f>SUM(V407:V494)</f>
        <v>1357111</v>
      </c>
      <c r="W496" s="63">
        <f t="shared" ref="W496:AE496" si="580">SUM(W407:W470)</f>
        <v>0</v>
      </c>
      <c r="X496" s="63">
        <f t="shared" si="580"/>
        <v>0</v>
      </c>
      <c r="Y496" s="63">
        <f t="shared" si="580"/>
        <v>0</v>
      </c>
      <c r="Z496" s="63">
        <f t="shared" si="580"/>
        <v>0</v>
      </c>
      <c r="AA496" s="63">
        <f t="shared" si="580"/>
        <v>0</v>
      </c>
      <c r="AB496" s="63">
        <f t="shared" si="580"/>
        <v>0</v>
      </c>
      <c r="AC496" s="63">
        <f t="shared" si="580"/>
        <v>0</v>
      </c>
      <c r="AD496" s="63">
        <f t="shared" si="580"/>
        <v>0</v>
      </c>
      <c r="AE496" s="63">
        <f t="shared" si="580"/>
        <v>0</v>
      </c>
      <c r="AF496" s="59">
        <f>+D496-F496-SUM(N496:V496)-L496</f>
        <v>5082501.6156000048</v>
      </c>
      <c r="AG496" s="68">
        <f>AF496-AG470</f>
        <v>5082501.6156000048</v>
      </c>
      <c r="AI496" s="32"/>
      <c r="AP496" s="101"/>
    </row>
    <row r="497" spans="1:43" s="35" customFormat="1" ht="15.9" customHeight="1" x14ac:dyDescent="0.3">
      <c r="A497" s="154"/>
      <c r="B497" s="61"/>
      <c r="C497" s="121"/>
      <c r="D497" s="63"/>
      <c r="E497" s="64"/>
      <c r="F497" s="63"/>
      <c r="G497" s="63"/>
      <c r="H497" s="63"/>
      <c r="I497" s="124"/>
      <c r="J497" s="125"/>
      <c r="K497" s="124"/>
      <c r="L497" s="63"/>
      <c r="M497" s="63"/>
      <c r="N497" s="63"/>
      <c r="O497" s="63"/>
      <c r="P497" s="47"/>
      <c r="Q497" s="47"/>
      <c r="R497" s="47"/>
      <c r="S497" s="47"/>
      <c r="T497" s="47"/>
      <c r="U497" s="348"/>
      <c r="V497" s="47"/>
      <c r="W497" s="47"/>
      <c r="X497" s="47"/>
      <c r="Y497" s="47"/>
      <c r="Z497" s="47"/>
      <c r="AA497" s="47"/>
      <c r="AB497" s="47"/>
      <c r="AC497" s="47"/>
      <c r="AD497" s="47"/>
      <c r="AE497" s="47"/>
      <c r="AF497" s="59">
        <f t="shared" ref="AF497:AF505" si="581">+G497-H497-SUM(N497:AE497)-L497</f>
        <v>0</v>
      </c>
      <c r="AG497" s="68"/>
      <c r="AI497" s="32"/>
      <c r="AP497" s="101"/>
    </row>
    <row r="498" spans="1:43" s="35" customFormat="1" ht="15.9" customHeight="1" x14ac:dyDescent="0.3">
      <c r="A498" s="477" t="s">
        <v>306</v>
      </c>
      <c r="B498" s="478"/>
      <c r="C498" s="123"/>
      <c r="D498" s="124">
        <f>D496+D405+D373+D307+D168+D116+D56+D29</f>
        <v>6825214900.9680796</v>
      </c>
      <c r="E498" s="126"/>
      <c r="F498" s="124">
        <f>F496+F405+F373+F307+F168+F116+F56+F29</f>
        <v>396911155.43715328</v>
      </c>
      <c r="G498" s="124">
        <f>G496+G405+G373+G307+G168+G116+G56+G29</f>
        <v>6432611446.5309258</v>
      </c>
      <c r="H498" s="124">
        <f>H496+H405+H373+H307+H168+H116+H56+H29</f>
        <v>341319638</v>
      </c>
      <c r="I498" s="124"/>
      <c r="J498" s="124"/>
      <c r="K498" s="124"/>
      <c r="L498" s="124">
        <f>L496+L405+L373+L307+L168+L116+L56+L29</f>
        <v>2452060.0699999998</v>
      </c>
      <c r="M498" s="124"/>
      <c r="N498" s="124">
        <f>N496+N405+N373+N307+N168+N116+N56+N29</f>
        <v>82343432</v>
      </c>
      <c r="O498" s="124">
        <f>O496+O405+O373+O307+O168+O116+O56+O29</f>
        <v>61471847</v>
      </c>
      <c r="P498" s="124">
        <f>P496+P405+P373+P307+P168+P116+P56+P29</f>
        <v>57962806</v>
      </c>
      <c r="Q498" s="124">
        <f>Q496+Q405+Q373+Q307+Q168+Q116+Q56+Q29</f>
        <v>58067799</v>
      </c>
      <c r="R498" s="124">
        <f>R496+R405+R373+R307+R168+R116+R56+R29</f>
        <v>58010551.333333336</v>
      </c>
      <c r="S498" s="124">
        <f>S496+S405+S373+S307+S168+S116+S56+S29</f>
        <v>58155409.333333336</v>
      </c>
      <c r="T498" s="124">
        <f>T496+T405+T373+T307+T168+T116+T56+T29</f>
        <v>57539211.209059358</v>
      </c>
      <c r="U498" s="357">
        <f>U496+U405+U373+U307+U168+U116+U56+U29</f>
        <v>57920622.884158634</v>
      </c>
      <c r="V498" s="124">
        <f>V496+V405+V373+V307+V168+V116+V56+V29</f>
        <v>131789139.22376411</v>
      </c>
      <c r="W498" s="124">
        <f>W496+W405+W373+W307+W168+W116+W56+W29</f>
        <v>139924979.04392961</v>
      </c>
      <c r="X498" s="124">
        <f>X496+X405+X373+X307+X168+X116+X56+X29</f>
        <v>211485165.65600419</v>
      </c>
      <c r="Y498" s="124">
        <f>Y496+Y405+Y373+Y307+Y168+Y116+Y56+Y29</f>
        <v>211441740.20375884</v>
      </c>
      <c r="Z498" s="124">
        <f>Z496+Z405+Z373+Z307+Z168+Z116+Z56+Z29</f>
        <v>94347091.508866891</v>
      </c>
      <c r="AA498" s="124">
        <f>AA496+AA405+AA373+AA307+AA168+AA116+AA56+AA29</f>
        <v>94111249.508866891</v>
      </c>
      <c r="AB498" s="124">
        <f>AB496+AB405+AB373+AB307+AB168+AB116+AB56+AB29</f>
        <v>59372338</v>
      </c>
      <c r="AC498" s="124">
        <f>AC496+AC405+AC373+AC307+AC168+AC116+AC56+AC29</f>
        <v>58895134</v>
      </c>
      <c r="AD498" s="124"/>
      <c r="AE498" s="124">
        <f>AE496+AE405+AE373+AE307+AE168+AE116+AE56+AE29</f>
        <v>187821482</v>
      </c>
      <c r="AF498" s="59">
        <f t="shared" si="581"/>
        <v>4408179750.555851</v>
      </c>
      <c r="AG498" s="68"/>
      <c r="AI498" s="32"/>
      <c r="AP498" s="101"/>
    </row>
    <row r="499" spans="1:43" s="35" customFormat="1" ht="15.9" customHeight="1" x14ac:dyDescent="0.3">
      <c r="A499" s="127"/>
      <c r="B499" s="128"/>
      <c r="C499" s="46"/>
      <c r="D499" s="45"/>
      <c r="E499" s="129"/>
      <c r="F499" s="45"/>
      <c r="G499" s="45"/>
      <c r="H499" s="47"/>
      <c r="I499" s="130"/>
      <c r="J499" s="131"/>
      <c r="K499" s="130"/>
      <c r="L499" s="47"/>
      <c r="M499" s="47"/>
      <c r="N499" s="47"/>
      <c r="O499" s="47"/>
      <c r="P499" s="47"/>
      <c r="Q499" s="47"/>
      <c r="R499" s="47"/>
      <c r="S499" s="47"/>
      <c r="T499" s="47"/>
      <c r="U499" s="348"/>
      <c r="V499" s="47"/>
      <c r="W499" s="47"/>
      <c r="X499" s="47"/>
      <c r="Y499" s="47"/>
      <c r="Z499" s="47"/>
      <c r="AA499" s="47"/>
      <c r="AB499" s="47"/>
      <c r="AC499" s="47"/>
      <c r="AD499" s="47"/>
      <c r="AE499" s="47"/>
      <c r="AF499" s="59">
        <f t="shared" si="581"/>
        <v>0</v>
      </c>
      <c r="AG499" s="68"/>
      <c r="AI499" s="32"/>
      <c r="AP499" s="101"/>
    </row>
    <row r="500" spans="1:43" s="35" customFormat="1" ht="15.9" customHeight="1" x14ac:dyDescent="0.3">
      <c r="A500" s="479" t="s">
        <v>7</v>
      </c>
      <c r="B500" s="52" t="s">
        <v>266</v>
      </c>
      <c r="C500" s="121"/>
      <c r="D500" s="54">
        <v>6715408.5199999996</v>
      </c>
      <c r="E500" s="64"/>
      <c r="F500" s="63">
        <v>0</v>
      </c>
      <c r="G500" s="80">
        <f>D500-F500</f>
        <v>6715408.5199999996</v>
      </c>
      <c r="H500" s="57">
        <v>0</v>
      </c>
      <c r="I500" s="124">
        <v>0</v>
      </c>
      <c r="J500" s="124">
        <v>0</v>
      </c>
      <c r="K500" s="124">
        <v>0</v>
      </c>
      <c r="L500" s="63">
        <v>0</v>
      </c>
      <c r="M500" s="63"/>
      <c r="N500" s="63">
        <v>0</v>
      </c>
      <c r="O500" s="63">
        <v>0</v>
      </c>
      <c r="P500" s="63">
        <v>0</v>
      </c>
      <c r="Q500" s="63">
        <v>0</v>
      </c>
      <c r="R500" s="63">
        <v>0</v>
      </c>
      <c r="S500" s="63">
        <v>0</v>
      </c>
      <c r="T500" s="63">
        <v>0</v>
      </c>
      <c r="U500" s="350">
        <v>0</v>
      </c>
      <c r="V500" s="63">
        <v>0</v>
      </c>
      <c r="W500" s="63">
        <v>0</v>
      </c>
      <c r="X500" s="63">
        <v>0</v>
      </c>
      <c r="Y500" s="63">
        <v>0</v>
      </c>
      <c r="Z500" s="63">
        <v>0</v>
      </c>
      <c r="AA500" s="63">
        <v>0</v>
      </c>
      <c r="AB500" s="63">
        <v>0</v>
      </c>
      <c r="AC500" s="63">
        <v>0</v>
      </c>
      <c r="AD500" s="63"/>
      <c r="AE500" s="63">
        <v>0</v>
      </c>
      <c r="AF500" s="59">
        <f t="shared" si="581"/>
        <v>6715408.5199999996</v>
      </c>
      <c r="AG500" s="68"/>
      <c r="AI500" s="32"/>
      <c r="AP500" s="101"/>
      <c r="AQ500" s="101"/>
    </row>
    <row r="501" spans="1:43" s="35" customFormat="1" ht="15.9" customHeight="1" x14ac:dyDescent="0.3">
      <c r="A501" s="480"/>
      <c r="B501" s="52" t="s">
        <v>122</v>
      </c>
      <c r="C501" s="121">
        <v>41031</v>
      </c>
      <c r="D501" s="54">
        <v>10278592</v>
      </c>
      <c r="E501" s="64"/>
      <c r="F501" s="63">
        <v>0</v>
      </c>
      <c r="G501" s="80">
        <f>D501-F501</f>
        <v>10278592</v>
      </c>
      <c r="H501" s="63">
        <v>0</v>
      </c>
      <c r="I501" s="124">
        <v>0</v>
      </c>
      <c r="J501" s="124">
        <v>0</v>
      </c>
      <c r="K501" s="124">
        <v>0</v>
      </c>
      <c r="L501" s="63">
        <v>0</v>
      </c>
      <c r="M501" s="63"/>
      <c r="N501" s="63">
        <v>0</v>
      </c>
      <c r="O501" s="63">
        <v>0</v>
      </c>
      <c r="P501" s="63">
        <v>0</v>
      </c>
      <c r="Q501" s="63">
        <v>0</v>
      </c>
      <c r="R501" s="63">
        <v>0</v>
      </c>
      <c r="S501" s="63">
        <v>0</v>
      </c>
      <c r="T501" s="63">
        <v>0</v>
      </c>
      <c r="U501" s="350">
        <v>0</v>
      </c>
      <c r="V501" s="63">
        <v>0</v>
      </c>
      <c r="W501" s="63">
        <v>0</v>
      </c>
      <c r="X501" s="63">
        <v>0</v>
      </c>
      <c r="Y501" s="63">
        <v>0</v>
      </c>
      <c r="Z501" s="63">
        <v>0</v>
      </c>
      <c r="AA501" s="63">
        <v>0</v>
      </c>
      <c r="AB501" s="63">
        <v>0</v>
      </c>
      <c r="AC501" s="63">
        <v>0</v>
      </c>
      <c r="AD501" s="63"/>
      <c r="AE501" s="63">
        <v>0</v>
      </c>
      <c r="AF501" s="59">
        <f t="shared" si="581"/>
        <v>10278592</v>
      </c>
      <c r="AG501" s="68"/>
      <c r="AI501" s="32"/>
      <c r="AP501" s="101"/>
      <c r="AQ501" s="101"/>
    </row>
    <row r="502" spans="1:43" s="35" customFormat="1" ht="15.9" customHeight="1" x14ac:dyDescent="0.3">
      <c r="A502" s="480"/>
      <c r="B502" s="132" t="s">
        <v>123</v>
      </c>
      <c r="C502" s="121">
        <v>41060</v>
      </c>
      <c r="D502" s="54">
        <v>2416123</v>
      </c>
      <c r="E502" s="64"/>
      <c r="F502" s="63">
        <v>0</v>
      </c>
      <c r="G502" s="80">
        <f>D502-F502</f>
        <v>2416123</v>
      </c>
      <c r="H502" s="63">
        <v>0</v>
      </c>
      <c r="I502" s="124">
        <v>0</v>
      </c>
      <c r="J502" s="124">
        <v>0</v>
      </c>
      <c r="K502" s="124">
        <v>0</v>
      </c>
      <c r="L502" s="63">
        <v>0</v>
      </c>
      <c r="M502" s="63"/>
      <c r="N502" s="63">
        <v>0</v>
      </c>
      <c r="O502" s="63">
        <v>0</v>
      </c>
      <c r="P502" s="63">
        <v>0</v>
      </c>
      <c r="Q502" s="63">
        <v>0</v>
      </c>
      <c r="R502" s="63">
        <v>0</v>
      </c>
      <c r="S502" s="63">
        <v>0</v>
      </c>
      <c r="T502" s="63">
        <v>0</v>
      </c>
      <c r="U502" s="350">
        <v>0</v>
      </c>
      <c r="V502" s="63">
        <v>0</v>
      </c>
      <c r="W502" s="63">
        <v>0</v>
      </c>
      <c r="X502" s="63">
        <v>0</v>
      </c>
      <c r="Y502" s="63">
        <v>0</v>
      </c>
      <c r="Z502" s="63">
        <v>0</v>
      </c>
      <c r="AA502" s="63">
        <v>0</v>
      </c>
      <c r="AB502" s="63">
        <v>0</v>
      </c>
      <c r="AC502" s="63">
        <v>0</v>
      </c>
      <c r="AD502" s="63"/>
      <c r="AE502" s="63">
        <v>0</v>
      </c>
      <c r="AF502" s="59">
        <f t="shared" si="581"/>
        <v>2416123</v>
      </c>
      <c r="AG502" s="68"/>
      <c r="AI502" s="32"/>
      <c r="AP502" s="101"/>
      <c r="AQ502" s="101"/>
    </row>
    <row r="503" spans="1:43" s="35" customFormat="1" ht="15.9" customHeight="1" x14ac:dyDescent="0.3">
      <c r="A503" s="408"/>
      <c r="B503" s="409" t="s">
        <v>529</v>
      </c>
      <c r="C503" s="121">
        <v>44654</v>
      </c>
      <c r="D503" s="54">
        <v>38950500</v>
      </c>
      <c r="E503" s="64"/>
      <c r="F503" s="63">
        <v>0</v>
      </c>
      <c r="G503" s="80">
        <f>D503-F503</f>
        <v>38950500</v>
      </c>
      <c r="H503" s="63">
        <v>0</v>
      </c>
      <c r="I503" s="124">
        <v>0</v>
      </c>
      <c r="J503" s="124">
        <v>0</v>
      </c>
      <c r="K503" s="124">
        <v>0</v>
      </c>
      <c r="L503" s="63">
        <v>0</v>
      </c>
      <c r="M503" s="63"/>
      <c r="N503" s="63">
        <v>0</v>
      </c>
      <c r="O503" s="63">
        <v>0</v>
      </c>
      <c r="P503" s="63">
        <v>0</v>
      </c>
      <c r="Q503" s="63">
        <v>0</v>
      </c>
      <c r="R503" s="63">
        <v>0</v>
      </c>
      <c r="S503" s="63">
        <v>0</v>
      </c>
      <c r="T503" s="63">
        <v>0</v>
      </c>
      <c r="U503" s="350">
        <v>0</v>
      </c>
      <c r="V503" s="63">
        <v>0</v>
      </c>
      <c r="W503" s="63">
        <v>0</v>
      </c>
      <c r="X503" s="63">
        <v>0</v>
      </c>
      <c r="Y503" s="63">
        <v>0</v>
      </c>
      <c r="Z503" s="63">
        <v>0</v>
      </c>
      <c r="AA503" s="63">
        <v>0</v>
      </c>
      <c r="AB503" s="63">
        <v>0</v>
      </c>
      <c r="AC503" s="63">
        <v>0</v>
      </c>
      <c r="AD503" s="63"/>
      <c r="AE503" s="63">
        <v>0</v>
      </c>
      <c r="AF503" s="59">
        <f t="shared" ref="AF503" si="582">+G503-H503-SUM(N503:AE503)-L503</f>
        <v>38950500</v>
      </c>
      <c r="AG503" s="68"/>
      <c r="AI503" s="32"/>
      <c r="AP503" s="101"/>
      <c r="AQ503" s="101"/>
    </row>
    <row r="504" spans="1:43" s="35" customFormat="1" ht="15.9" customHeight="1" x14ac:dyDescent="0.3">
      <c r="A504" s="481" t="s">
        <v>346</v>
      </c>
      <c r="B504" s="482"/>
      <c r="C504" s="123"/>
      <c r="D504" s="63">
        <f>SUM(D500:D503)</f>
        <v>58360623.519999996</v>
      </c>
      <c r="E504" s="64"/>
      <c r="F504" s="63">
        <f>SUM(F500:F503)</f>
        <v>0</v>
      </c>
      <c r="G504" s="63">
        <f>SUM(G500:G503)</f>
        <v>58360623.519999996</v>
      </c>
      <c r="H504" s="63">
        <f>SUM(H500:H502)</f>
        <v>0</v>
      </c>
      <c r="I504" s="63"/>
      <c r="J504" s="63"/>
      <c r="K504" s="63"/>
      <c r="L504" s="63">
        <f>SUM(L500:L502)</f>
        <v>0</v>
      </c>
      <c r="M504" s="63"/>
      <c r="N504" s="63">
        <f t="shared" ref="N504:AE504" si="583">SUM(N500:N502)</f>
        <v>0</v>
      </c>
      <c r="O504" s="63">
        <f t="shared" si="583"/>
        <v>0</v>
      </c>
      <c r="P504" s="63">
        <f t="shared" si="583"/>
        <v>0</v>
      </c>
      <c r="Q504" s="63">
        <f t="shared" si="583"/>
        <v>0</v>
      </c>
      <c r="R504" s="63">
        <f t="shared" si="583"/>
        <v>0</v>
      </c>
      <c r="S504" s="63">
        <f t="shared" si="583"/>
        <v>0</v>
      </c>
      <c r="T504" s="63">
        <f t="shared" si="583"/>
        <v>0</v>
      </c>
      <c r="U504" s="350">
        <f t="shared" si="583"/>
        <v>0</v>
      </c>
      <c r="V504" s="63">
        <f t="shared" si="583"/>
        <v>0</v>
      </c>
      <c r="W504" s="63">
        <f t="shared" si="583"/>
        <v>0</v>
      </c>
      <c r="X504" s="63">
        <f t="shared" si="583"/>
        <v>0</v>
      </c>
      <c r="Y504" s="63">
        <f t="shared" si="583"/>
        <v>0</v>
      </c>
      <c r="Z504" s="63">
        <f t="shared" si="583"/>
        <v>0</v>
      </c>
      <c r="AA504" s="63">
        <f t="shared" si="583"/>
        <v>0</v>
      </c>
      <c r="AB504" s="63">
        <f t="shared" si="583"/>
        <v>0</v>
      </c>
      <c r="AC504" s="63">
        <f t="shared" si="583"/>
        <v>0</v>
      </c>
      <c r="AD504" s="63"/>
      <c r="AE504" s="63">
        <f t="shared" si="583"/>
        <v>0</v>
      </c>
      <c r="AF504" s="59">
        <f t="shared" si="581"/>
        <v>58360623.519999996</v>
      </c>
      <c r="AG504" s="68"/>
      <c r="AI504" s="32"/>
      <c r="AP504" s="101"/>
      <c r="AQ504" s="101"/>
    </row>
    <row r="505" spans="1:43" ht="15.9" customHeight="1" x14ac:dyDescent="0.3">
      <c r="A505" s="469" t="s">
        <v>3</v>
      </c>
      <c r="B505" s="470"/>
      <c r="C505" s="133"/>
      <c r="D505" s="124">
        <f>D496+D405+D373+D307+D168+D29+D116+D504+D56</f>
        <v>6883575524.48808</v>
      </c>
      <c r="E505" s="124">
        <f>E496+E405+E373+E307+E168+E29+E116+E504+E56</f>
        <v>0</v>
      </c>
      <c r="F505" s="124">
        <f>F496+F405+F373+F307+F168+F29+F116+F504+F56</f>
        <v>396911155.43715328</v>
      </c>
      <c r="G505" s="124">
        <f>G496+G405+G373+G307+G168+G29+G116+G504+G56</f>
        <v>6490972070.0509262</v>
      </c>
      <c r="H505" s="124">
        <f>H496+H405+H373+H307+H168+H29+H116+H504+H56</f>
        <v>341319638</v>
      </c>
      <c r="I505" s="124"/>
      <c r="J505" s="134"/>
      <c r="K505" s="54"/>
      <c r="L505" s="124">
        <f>L496+L405+L373+L307+L168+L29+L116+L504+L56</f>
        <v>2452060.0699999994</v>
      </c>
      <c r="M505" s="124"/>
      <c r="N505" s="124">
        <f>N496+N405+N373+N307+N168+N29+N116+N504+N56</f>
        <v>82343432</v>
      </c>
      <c r="O505" s="124">
        <f>O496+O405+O373+O307+O168+O29+O116+O504+O56</f>
        <v>61471847</v>
      </c>
      <c r="P505" s="124">
        <f>P496+P405+P373+P307+P168+P29+P116+P504+P56</f>
        <v>57962806</v>
      </c>
      <c r="Q505" s="124">
        <f>Q496+Q405+Q373+Q307+Q168+Q29+Q116+Q504+Q56</f>
        <v>58067799</v>
      </c>
      <c r="R505" s="124">
        <f>R496+R405+R373+R307+R168+R29+R116+R504+R56</f>
        <v>58010551.333333336</v>
      </c>
      <c r="S505" s="124">
        <f>S496+S405+S373+S307+S168+S29+S116+S504+S56</f>
        <v>58155409.333333336</v>
      </c>
      <c r="T505" s="124">
        <f>T496+T405+T373+T307+T168+T29+T116+T504+T56</f>
        <v>57539211.209059358</v>
      </c>
      <c r="U505" s="357">
        <f>U496+U405+U373+U307+U168+U29+U116+U504+U56</f>
        <v>57920622.884158634</v>
      </c>
      <c r="V505" s="124">
        <f>V496+V405+V373+V307+V168+V29+V116+V504+V56</f>
        <v>131789139.22376411</v>
      </c>
      <c r="W505" s="124">
        <f>W496+W405+W373+W307+W168+W29+W116+W504+W56</f>
        <v>139924979.04392958</v>
      </c>
      <c r="X505" s="124">
        <f>X496+X405+X373+X307+X168+X29+X116+X504+X56</f>
        <v>211485165.65600419</v>
      </c>
      <c r="Y505" s="124">
        <f>Y496+Y405+Y373+Y307+Y168+Y29+Y116+Y504+Y56</f>
        <v>211441740.20375884</v>
      </c>
      <c r="Z505" s="124">
        <f>Z496+Z405+Z373+Z307+Z168+Z29+Z116+Z504+Z56</f>
        <v>94347091.508866891</v>
      </c>
      <c r="AA505" s="124">
        <f>AA496+AA405+AA373+AA307+AA168+AA29+AA116+AA504+AA56</f>
        <v>94111249.508866891</v>
      </c>
      <c r="AB505" s="124">
        <f>AB496+AB405+AB373+AB307+AB168+AB29+AB116+AB504+AB56</f>
        <v>59372338</v>
      </c>
      <c r="AC505" s="124">
        <f>AC496+AC405+AC373+AC307+AC168+AC29+AC116+AC504+AC56</f>
        <v>58895134</v>
      </c>
      <c r="AD505" s="124"/>
      <c r="AE505" s="124">
        <f>AE496+AE405+AE373+AE307+AE168+AE29+AE116+AE504+AE56</f>
        <v>187821482</v>
      </c>
      <c r="AF505" s="59">
        <f t="shared" si="581"/>
        <v>4466540374.0758514</v>
      </c>
      <c r="AP505" s="101"/>
    </row>
    <row r="506" spans="1:43" s="32" customFormat="1" x14ac:dyDescent="0.25">
      <c r="A506" s="135"/>
      <c r="B506" s="41"/>
      <c r="C506" s="136"/>
      <c r="D506" s="41"/>
      <c r="E506" s="41"/>
      <c r="F506" s="41"/>
      <c r="G506" s="41"/>
      <c r="H506" s="41"/>
      <c r="I506" s="41"/>
      <c r="J506" s="41"/>
      <c r="K506" s="40"/>
      <c r="L506" s="40"/>
      <c r="M506" s="40"/>
      <c r="N506" s="41"/>
      <c r="O506" s="41"/>
      <c r="P506" s="41"/>
      <c r="Q506" s="41"/>
      <c r="R506" s="41"/>
      <c r="S506" s="41"/>
      <c r="T506" s="41"/>
      <c r="U506" s="358"/>
      <c r="V506" s="41"/>
      <c r="W506" s="41"/>
      <c r="X506" s="41"/>
      <c r="Y506" s="41"/>
      <c r="Z506" s="41"/>
      <c r="AA506" s="41"/>
      <c r="AB506" s="41"/>
      <c r="AC506" s="41"/>
      <c r="AD506" s="41"/>
      <c r="AE506" s="41"/>
      <c r="AP506" s="101"/>
    </row>
    <row r="507" spans="1:43" s="32" customFormat="1" x14ac:dyDescent="0.25">
      <c r="A507" s="135"/>
      <c r="B507" s="41"/>
      <c r="C507" s="136"/>
      <c r="D507" s="40"/>
      <c r="E507" s="40"/>
      <c r="F507" s="40"/>
      <c r="G507" s="40"/>
      <c r="H507" s="40"/>
      <c r="I507" s="41"/>
      <c r="J507" s="41"/>
      <c r="K507" s="40"/>
      <c r="L507" s="40"/>
      <c r="M507" s="40"/>
      <c r="N507" s="40"/>
      <c r="O507" s="40"/>
      <c r="P507" s="40"/>
      <c r="Q507" s="40"/>
      <c r="R507" s="40"/>
      <c r="S507" s="40"/>
      <c r="T507" s="40"/>
      <c r="U507" s="359"/>
      <c r="V507" s="40"/>
      <c r="W507" s="40"/>
      <c r="X507" s="40"/>
      <c r="Y507" s="40"/>
      <c r="Z507" s="40"/>
      <c r="AA507" s="40"/>
      <c r="AB507" s="40"/>
      <c r="AC507" s="40"/>
      <c r="AD507" s="40"/>
      <c r="AE507" s="40"/>
      <c r="AP507" s="101"/>
    </row>
    <row r="508" spans="1:43" s="32" customFormat="1" x14ac:dyDescent="0.25">
      <c r="A508" s="135"/>
      <c r="B508" s="41"/>
      <c r="C508" s="136"/>
      <c r="D508" s="41"/>
      <c r="E508" s="41"/>
      <c r="F508" s="41"/>
      <c r="G508" s="41"/>
      <c r="H508" s="41"/>
      <c r="I508" s="41"/>
      <c r="J508" s="41"/>
      <c r="K508" s="40"/>
      <c r="L508" s="40"/>
      <c r="M508" s="40"/>
      <c r="N508" s="41"/>
      <c r="O508" s="41"/>
      <c r="P508" s="41"/>
      <c r="Q508" s="41"/>
      <c r="R508" s="41"/>
      <c r="S508" s="41"/>
      <c r="T508" s="41"/>
      <c r="U508" s="358"/>
      <c r="V508" s="41"/>
      <c r="W508" s="41"/>
      <c r="X508" s="41"/>
      <c r="Y508" s="41"/>
      <c r="Z508" s="41"/>
      <c r="AA508" s="41"/>
      <c r="AB508" s="41"/>
      <c r="AC508" s="41"/>
      <c r="AD508" s="41"/>
      <c r="AE508" s="41"/>
      <c r="AP508" s="101"/>
    </row>
    <row r="509" spans="1:43" s="32" customFormat="1" x14ac:dyDescent="0.25">
      <c r="A509" s="135"/>
      <c r="B509" s="41"/>
      <c r="C509" s="136"/>
      <c r="D509" s="41"/>
      <c r="E509" s="41"/>
      <c r="F509" s="41" t="s">
        <v>396</v>
      </c>
      <c r="G509" s="41" t="s">
        <v>396</v>
      </c>
      <c r="H509" s="41"/>
      <c r="I509" s="41"/>
      <c r="J509" s="41"/>
      <c r="K509" s="40"/>
      <c r="L509" s="40"/>
      <c r="M509" s="40"/>
      <c r="N509" s="41"/>
      <c r="O509" s="41"/>
      <c r="P509" s="41"/>
      <c r="Q509" s="41"/>
      <c r="R509" s="41"/>
      <c r="S509" s="41"/>
      <c r="T509" s="41"/>
      <c r="U509" s="358"/>
      <c r="V509" s="41"/>
      <c r="W509" s="41"/>
      <c r="X509" s="41"/>
      <c r="Y509" s="41"/>
      <c r="Z509" s="41"/>
      <c r="AA509" s="41"/>
      <c r="AB509" s="41"/>
      <c r="AC509" s="41"/>
      <c r="AD509" s="41"/>
      <c r="AE509" s="41"/>
      <c r="AP509" s="101"/>
    </row>
    <row r="510" spans="1:43" s="32" customFormat="1" x14ac:dyDescent="0.25">
      <c r="A510" s="135"/>
      <c r="B510" s="41"/>
      <c r="C510" s="136"/>
      <c r="D510" s="41"/>
      <c r="E510" s="41"/>
      <c r="F510" s="41"/>
      <c r="G510" s="41"/>
      <c r="H510" s="41"/>
      <c r="I510" s="41"/>
      <c r="J510" s="41"/>
      <c r="K510" s="40"/>
      <c r="L510" s="40"/>
      <c r="M510" s="40"/>
      <c r="N510" s="41"/>
      <c r="O510" s="41"/>
      <c r="Q510" s="41"/>
      <c r="R510" s="41"/>
      <c r="S510" s="41"/>
      <c r="T510" s="41"/>
      <c r="U510" s="358"/>
      <c r="V510" s="41"/>
      <c r="W510" s="41"/>
      <c r="X510" s="41"/>
      <c r="Y510" s="41"/>
      <c r="Z510" s="41"/>
      <c r="AA510" s="41"/>
      <c r="AB510" s="41"/>
      <c r="AC510" s="41"/>
      <c r="AD510" s="41"/>
      <c r="AE510" s="41"/>
    </row>
    <row r="511" spans="1:43" s="32" customFormat="1" x14ac:dyDescent="0.25">
      <c r="A511" s="135"/>
      <c r="B511" s="41"/>
      <c r="C511" s="136"/>
      <c r="D511" s="41"/>
      <c r="E511" s="41"/>
      <c r="F511" s="41"/>
      <c r="G511" s="41"/>
      <c r="H511" s="41"/>
      <c r="I511" s="41"/>
      <c r="J511" s="41"/>
      <c r="K511" s="40"/>
      <c r="L511" s="40"/>
      <c r="M511" s="40"/>
      <c r="N511" s="41"/>
      <c r="O511" s="41"/>
      <c r="Q511" s="41"/>
      <c r="R511" s="41"/>
      <c r="S511" s="41"/>
      <c r="T511" s="41"/>
      <c r="U511" s="358"/>
      <c r="V511" s="41"/>
      <c r="W511" s="41"/>
      <c r="X511" s="41"/>
      <c r="Y511" s="41"/>
      <c r="Z511" s="41"/>
      <c r="AA511" s="41"/>
      <c r="AB511" s="41"/>
      <c r="AC511" s="41"/>
      <c r="AD511" s="41"/>
      <c r="AE511" s="41"/>
    </row>
  </sheetData>
  <autoFilter ref="A4:AQ511" xr:uid="{00000000-0001-0000-0800-000000000000}"/>
  <mergeCells count="42">
    <mergeCell ref="Q4:Q6"/>
    <mergeCell ref="R4:R6"/>
    <mergeCell ref="A407:A496"/>
    <mergeCell ref="A505:B505"/>
    <mergeCell ref="A31:A56"/>
    <mergeCell ref="A8:A29"/>
    <mergeCell ref="A58:A116"/>
    <mergeCell ref="A118:A168"/>
    <mergeCell ref="A170:A307"/>
    <mergeCell ref="A309:A373"/>
    <mergeCell ref="A375:A405"/>
    <mergeCell ref="A498:B498"/>
    <mergeCell ref="A500:A502"/>
    <mergeCell ref="A504:B504"/>
    <mergeCell ref="N4:N6"/>
    <mergeCell ref="P4:P6"/>
    <mergeCell ref="S4:S6"/>
    <mergeCell ref="T4:T6"/>
    <mergeCell ref="U4:U6"/>
    <mergeCell ref="AE4:AE6"/>
    <mergeCell ref="W4:W6"/>
    <mergeCell ref="X4:X6"/>
    <mergeCell ref="Y4:Y6"/>
    <mergeCell ref="Z4:Z6"/>
    <mergeCell ref="AA4:AA6"/>
    <mergeCell ref="AB4:AB6"/>
    <mergeCell ref="AC4:AC6"/>
    <mergeCell ref="V4:V6"/>
    <mergeCell ref="AD4:AD6"/>
    <mergeCell ref="A4:A6"/>
    <mergeCell ref="B4:B6"/>
    <mergeCell ref="C4:C6"/>
    <mergeCell ref="D4:D6"/>
    <mergeCell ref="E4:E6"/>
    <mergeCell ref="K4:K6"/>
    <mergeCell ref="L4:L6"/>
    <mergeCell ref="O4:O6"/>
    <mergeCell ref="F4:F6"/>
    <mergeCell ref="G4:G6"/>
    <mergeCell ref="H4:H6"/>
    <mergeCell ref="I4:I6"/>
    <mergeCell ref="J4:J6"/>
  </mergeCells>
  <printOptions horizontalCentered="1"/>
  <pageMargins left="0" right="0" top="0.78740157480314965" bottom="0.78740157480314965" header="0" footer="0"/>
  <pageSetup paperSize="8" scale="45" fitToHeight="4" orientation="landscape" r:id="rId1"/>
  <rowBreaks count="3" manualBreakCount="3">
    <brk id="116" max="31" man="1"/>
    <brk id="225" max="31" man="1"/>
    <brk id="335" max="31"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L23"/>
  <sheetViews>
    <sheetView showGridLines="0" workbookViewId="0">
      <selection activeCell="D20" sqref="D20"/>
    </sheetView>
  </sheetViews>
  <sheetFormatPr defaultRowHeight="14.4" x14ac:dyDescent="0.3"/>
  <cols>
    <col min="1" max="1" width="21.88671875" bestFit="1" customWidth="1"/>
    <col min="2" max="2" width="16.88671875" bestFit="1" customWidth="1"/>
    <col min="3" max="3" width="20.33203125" bestFit="1" customWidth="1"/>
    <col min="4" max="4" width="9.44140625" bestFit="1" customWidth="1"/>
    <col min="5" max="5" width="15.6640625" customWidth="1"/>
    <col min="6" max="7" width="15.33203125" customWidth="1"/>
    <col min="8" max="8" width="8.33203125" customWidth="1"/>
    <col min="9" max="9" width="15.6640625" customWidth="1"/>
    <col min="10" max="10" width="12.33203125" bestFit="1" customWidth="1"/>
  </cols>
  <sheetData>
    <row r="1" spans="1:10" x14ac:dyDescent="0.3">
      <c r="A1" s="92"/>
      <c r="B1" s="342" t="s">
        <v>464</v>
      </c>
      <c r="C1" s="3"/>
      <c r="F1" s="3"/>
      <c r="G1" s="3"/>
      <c r="H1" s="3"/>
      <c r="J1" s="259"/>
    </row>
    <row r="2" spans="1:10" ht="15" thickBot="1" x14ac:dyDescent="0.35">
      <c r="A2" s="92"/>
      <c r="C2" s="3"/>
      <c r="F2" s="260">
        <v>44286</v>
      </c>
      <c r="G2" s="260"/>
      <c r="H2" s="3"/>
      <c r="J2" s="259"/>
    </row>
    <row r="3" spans="1:10" s="315" customFormat="1" ht="43.8" thickBot="1" x14ac:dyDescent="0.35">
      <c r="A3" s="322" t="s">
        <v>402</v>
      </c>
      <c r="B3" s="310" t="s">
        <v>406</v>
      </c>
      <c r="C3" s="311" t="s">
        <v>407</v>
      </c>
      <c r="D3" s="311" t="s">
        <v>408</v>
      </c>
      <c r="E3" s="312" t="s">
        <v>409</v>
      </c>
      <c r="F3" s="312" t="s">
        <v>412</v>
      </c>
      <c r="G3" s="317" t="s">
        <v>448</v>
      </c>
      <c r="H3" s="313" t="s">
        <v>444</v>
      </c>
      <c r="I3" s="314" t="s">
        <v>410</v>
      </c>
    </row>
    <row r="4" spans="1:10" x14ac:dyDescent="0.3">
      <c r="A4" s="320" t="s">
        <v>451</v>
      </c>
      <c r="B4" s="170" t="s">
        <v>361</v>
      </c>
      <c r="C4" s="3">
        <v>43983</v>
      </c>
      <c r="D4">
        <v>3</v>
      </c>
      <c r="E4" s="171">
        <f>'Depreciation Co''s Act'!D426</f>
        <v>82500</v>
      </c>
      <c r="F4">
        <f>($F$2-C4)</f>
        <v>303</v>
      </c>
      <c r="G4" s="318" t="str">
        <f>IF(F4&gt;179,"YES","NO")</f>
        <v>YES</v>
      </c>
      <c r="H4">
        <f>ROUND(E4*5%,0)</f>
        <v>4125</v>
      </c>
      <c r="I4" s="176">
        <f>(E4-H4)*F4/(D4*365)</f>
        <v>21687.328767123287</v>
      </c>
      <c r="J4" s="319"/>
    </row>
    <row r="5" spans="1:10" x14ac:dyDescent="0.3">
      <c r="A5" s="320" t="s">
        <v>454</v>
      </c>
      <c r="B5" s="170" t="s">
        <v>361</v>
      </c>
      <c r="C5" s="3">
        <v>43995</v>
      </c>
      <c r="D5">
        <v>3</v>
      </c>
      <c r="E5" s="171">
        <f>'Depreciation Co''s Act'!D427</f>
        <v>11016.95</v>
      </c>
      <c r="F5">
        <f t="shared" ref="F5:F14" si="0">($F$2-C5)</f>
        <v>291</v>
      </c>
      <c r="G5" s="318" t="str">
        <f t="shared" ref="G5:G14" si="1">IF(F5&gt;179,"YES","NO")</f>
        <v>YES</v>
      </c>
      <c r="H5">
        <f t="shared" ref="H5:H14" si="2">ROUND(E5*5%,0)</f>
        <v>551</v>
      </c>
      <c r="I5" s="176">
        <f t="shared" ref="I5:I14" si="3">(E5-H5)*F5/(D5*365)</f>
        <v>2781.3620547945206</v>
      </c>
      <c r="J5" s="319"/>
    </row>
    <row r="6" spans="1:10" x14ac:dyDescent="0.3">
      <c r="A6" s="320" t="s">
        <v>455</v>
      </c>
      <c r="B6" s="170" t="s">
        <v>361</v>
      </c>
      <c r="C6" s="3">
        <v>44111</v>
      </c>
      <c r="D6">
        <v>3</v>
      </c>
      <c r="E6" s="171">
        <f>'Depreciation Co''s Act'!D428</f>
        <v>32627.119999999999</v>
      </c>
      <c r="F6">
        <f t="shared" si="0"/>
        <v>175</v>
      </c>
      <c r="G6" s="318" t="str">
        <f t="shared" si="1"/>
        <v>NO</v>
      </c>
      <c r="H6">
        <f t="shared" si="2"/>
        <v>1631</v>
      </c>
      <c r="I6" s="176">
        <f t="shared" si="3"/>
        <v>4953.7178082191776</v>
      </c>
      <c r="J6" s="319"/>
    </row>
    <row r="7" spans="1:10" x14ac:dyDescent="0.3">
      <c r="A7" s="320" t="s">
        <v>453</v>
      </c>
      <c r="B7" s="170" t="s">
        <v>361</v>
      </c>
      <c r="C7" s="3">
        <v>44112</v>
      </c>
      <c r="D7">
        <v>3</v>
      </c>
      <c r="E7" s="171">
        <f>'Depreciation Co''s Act'!D429</f>
        <v>40677.97</v>
      </c>
      <c r="F7">
        <f t="shared" si="0"/>
        <v>174</v>
      </c>
      <c r="G7" s="318" t="str">
        <f t="shared" si="1"/>
        <v>NO</v>
      </c>
      <c r="H7">
        <f t="shared" si="2"/>
        <v>2034</v>
      </c>
      <c r="I7" s="176">
        <f t="shared" si="3"/>
        <v>6140.6856438356162</v>
      </c>
      <c r="J7" s="319"/>
    </row>
    <row r="8" spans="1:10" x14ac:dyDescent="0.3">
      <c r="A8" s="320" t="s">
        <v>451</v>
      </c>
      <c r="B8" s="170" t="s">
        <v>361</v>
      </c>
      <c r="C8" s="3">
        <v>44121</v>
      </c>
      <c r="D8">
        <v>3</v>
      </c>
      <c r="E8" s="171">
        <f>'Depreciation Co''s Act'!D430</f>
        <v>78813.56</v>
      </c>
      <c r="F8">
        <f t="shared" si="0"/>
        <v>165</v>
      </c>
      <c r="G8" s="318" t="str">
        <f t="shared" si="1"/>
        <v>NO</v>
      </c>
      <c r="H8">
        <f t="shared" si="2"/>
        <v>3941</v>
      </c>
      <c r="I8" s="176">
        <f t="shared" si="3"/>
        <v>11282.166575342466</v>
      </c>
      <c r="J8" s="319"/>
    </row>
    <row r="9" spans="1:10" x14ac:dyDescent="0.3">
      <c r="A9" s="320" t="s">
        <v>453</v>
      </c>
      <c r="B9" s="170" t="s">
        <v>361</v>
      </c>
      <c r="C9" s="3">
        <v>44134</v>
      </c>
      <c r="D9">
        <v>3</v>
      </c>
      <c r="E9" s="171">
        <f>'Depreciation Co''s Act'!D431</f>
        <v>38135.589999999997</v>
      </c>
      <c r="F9">
        <f t="shared" si="0"/>
        <v>152</v>
      </c>
      <c r="G9" s="318" t="str">
        <f t="shared" si="1"/>
        <v>NO</v>
      </c>
      <c r="H9">
        <f t="shared" si="2"/>
        <v>1907</v>
      </c>
      <c r="I9" s="176">
        <f t="shared" si="3"/>
        <v>5028.9914885844746</v>
      </c>
      <c r="J9" s="319"/>
    </row>
    <row r="10" spans="1:10" x14ac:dyDescent="0.3">
      <c r="A10" s="320" t="s">
        <v>452</v>
      </c>
      <c r="B10" s="170" t="s">
        <v>361</v>
      </c>
      <c r="C10" s="3">
        <v>44136</v>
      </c>
      <c r="D10">
        <v>3</v>
      </c>
      <c r="E10" s="171">
        <f>'Depreciation Co''s Act'!D432</f>
        <v>42990</v>
      </c>
      <c r="F10">
        <f t="shared" si="0"/>
        <v>150</v>
      </c>
      <c r="G10" s="318" t="str">
        <f t="shared" si="1"/>
        <v>NO</v>
      </c>
      <c r="H10">
        <f t="shared" si="2"/>
        <v>2150</v>
      </c>
      <c r="I10" s="176">
        <f t="shared" si="3"/>
        <v>5594.5205479452052</v>
      </c>
      <c r="J10" s="319"/>
    </row>
    <row r="11" spans="1:10" x14ac:dyDescent="0.3">
      <c r="A11" s="320" t="s">
        <v>456</v>
      </c>
      <c r="B11" s="170" t="s">
        <v>361</v>
      </c>
      <c r="C11" s="3">
        <v>44137</v>
      </c>
      <c r="D11">
        <v>3</v>
      </c>
      <c r="E11" s="171">
        <f>'Depreciation Co''s Act'!D433</f>
        <v>25000</v>
      </c>
      <c r="F11">
        <f t="shared" si="0"/>
        <v>149</v>
      </c>
      <c r="G11" s="318" t="str">
        <f t="shared" si="1"/>
        <v>NO</v>
      </c>
      <c r="H11">
        <f t="shared" si="2"/>
        <v>1250</v>
      </c>
      <c r="I11" s="176">
        <f t="shared" si="3"/>
        <v>3231.7351598173518</v>
      </c>
      <c r="J11" s="319"/>
    </row>
    <row r="12" spans="1:10" x14ac:dyDescent="0.3">
      <c r="A12" s="320" t="s">
        <v>457</v>
      </c>
      <c r="B12" s="170" t="s">
        <v>361</v>
      </c>
      <c r="C12" s="3">
        <v>44160</v>
      </c>
      <c r="D12">
        <v>3</v>
      </c>
      <c r="E12" s="171">
        <f>'Depreciation Co''s Act'!D434</f>
        <v>47457.63</v>
      </c>
      <c r="F12">
        <f t="shared" si="0"/>
        <v>126</v>
      </c>
      <c r="G12" s="318" t="str">
        <f t="shared" si="1"/>
        <v>NO</v>
      </c>
      <c r="H12">
        <f t="shared" si="2"/>
        <v>2373</v>
      </c>
      <c r="I12" s="176">
        <f t="shared" si="3"/>
        <v>5187.8204383561642</v>
      </c>
      <c r="J12" s="319"/>
    </row>
    <row r="13" spans="1:10" x14ac:dyDescent="0.3">
      <c r="A13" s="320" t="s">
        <v>458</v>
      </c>
      <c r="B13" s="170" t="s">
        <v>361</v>
      </c>
      <c r="C13" s="3">
        <v>44203</v>
      </c>
      <c r="D13">
        <v>3</v>
      </c>
      <c r="E13" s="171">
        <f>'Depreciation Co''s Act'!D435</f>
        <v>43559.33</v>
      </c>
      <c r="F13">
        <f t="shared" si="0"/>
        <v>83</v>
      </c>
      <c r="G13" s="318" t="str">
        <f t="shared" si="1"/>
        <v>NO</v>
      </c>
      <c r="H13">
        <f t="shared" si="2"/>
        <v>2178</v>
      </c>
      <c r="I13" s="176">
        <f t="shared" si="3"/>
        <v>3136.6670228310504</v>
      </c>
      <c r="J13" s="319"/>
    </row>
    <row r="14" spans="1:10" x14ac:dyDescent="0.3">
      <c r="A14" s="320" t="s">
        <v>459</v>
      </c>
      <c r="B14" s="170" t="s">
        <v>361</v>
      </c>
      <c r="C14" s="3">
        <v>44247</v>
      </c>
      <c r="D14">
        <v>3</v>
      </c>
      <c r="E14" s="171">
        <f>'Depreciation Co''s Act'!D436</f>
        <v>92177.56</v>
      </c>
      <c r="F14">
        <f t="shared" si="0"/>
        <v>39</v>
      </c>
      <c r="G14" s="318" t="str">
        <f t="shared" si="1"/>
        <v>NO</v>
      </c>
      <c r="H14">
        <f t="shared" si="2"/>
        <v>4609</v>
      </c>
      <c r="I14" s="176">
        <f t="shared" si="3"/>
        <v>3118.8802191780819</v>
      </c>
      <c r="J14" s="319"/>
    </row>
    <row r="15" spans="1:10" ht="15" thickBot="1" x14ac:dyDescent="0.35">
      <c r="A15" s="321"/>
      <c r="B15" s="172"/>
      <c r="C15" s="173"/>
      <c r="D15" s="169"/>
      <c r="E15" s="174"/>
      <c r="F15" s="169"/>
      <c r="G15" s="169"/>
      <c r="H15" s="169"/>
      <c r="I15" s="177"/>
      <c r="J15" s="259"/>
    </row>
    <row r="16" spans="1:10" s="1" customFormat="1" x14ac:dyDescent="0.3">
      <c r="C16" s="307" t="s">
        <v>2</v>
      </c>
      <c r="D16"/>
      <c r="E16" s="308">
        <f>SUM(E4:E15)</f>
        <v>534955.71</v>
      </c>
      <c r="F16"/>
      <c r="G16"/>
      <c r="H16" s="308">
        <f>SUM(H4:H15)</f>
        <v>26749</v>
      </c>
      <c r="I16" s="308">
        <f>SUM(I4:I15)</f>
        <v>72143.875726027414</v>
      </c>
      <c r="J16" s="309"/>
    </row>
    <row r="19" spans="1:12" x14ac:dyDescent="0.3">
      <c r="A19" s="167" t="s">
        <v>450</v>
      </c>
      <c r="B19" s="167" t="s">
        <v>443</v>
      </c>
      <c r="C19" s="261">
        <v>44008</v>
      </c>
      <c r="D19" s="167">
        <v>5</v>
      </c>
      <c r="E19" s="167">
        <f>'Depreciation Co''s Act'!D53</f>
        <v>6107</v>
      </c>
      <c r="F19" s="167">
        <f t="shared" ref="F19:F20" si="4">($F$2-C19)</f>
        <v>278</v>
      </c>
      <c r="G19" s="167"/>
      <c r="H19" s="167">
        <f>ROUND(E19*5%,0)</f>
        <v>305</v>
      </c>
      <c r="I19" s="262">
        <f>(E19-H19)*F19/(D19*365)</f>
        <v>883.81150684931504</v>
      </c>
      <c r="J19" s="175">
        <f>I16+L19</f>
        <v>274061.08478538808</v>
      </c>
      <c r="L19">
        <f>'Depreciation Co''s Act'!T496</f>
        <v>201917.20905936067</v>
      </c>
    </row>
    <row r="20" spans="1:12" x14ac:dyDescent="0.3">
      <c r="A20" s="167" t="s">
        <v>449</v>
      </c>
      <c r="B20" s="167" t="s">
        <v>365</v>
      </c>
      <c r="C20" s="261">
        <v>44278</v>
      </c>
      <c r="D20" s="167">
        <v>5</v>
      </c>
      <c r="E20" s="167">
        <f>'Depreciation Co''s Act'!D18</f>
        <v>27969</v>
      </c>
      <c r="F20" s="167">
        <f t="shared" si="4"/>
        <v>8</v>
      </c>
      <c r="G20" s="167"/>
      <c r="H20" s="167">
        <f t="shared" ref="H20" si="5">ROUND(E20*5%,0)</f>
        <v>1398</v>
      </c>
      <c r="I20" s="262">
        <f t="shared" ref="I20" si="6">(E20-H20)*F20/(D20*365)</f>
        <v>116.47561643835617</v>
      </c>
    </row>
    <row r="23" spans="1:12" x14ac:dyDescent="0.3">
      <c r="J23" s="3"/>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3:L30"/>
  <sheetViews>
    <sheetView showGridLines="0" zoomScaleNormal="100" workbookViewId="0">
      <selection activeCell="G8" sqref="G8"/>
    </sheetView>
  </sheetViews>
  <sheetFormatPr defaultRowHeight="14.4" x14ac:dyDescent="0.3"/>
  <cols>
    <col min="2" max="2" width="20.44140625" customWidth="1"/>
    <col min="3" max="4" width="16.33203125" bestFit="1" customWidth="1"/>
    <col min="5" max="5" width="14.88671875" bestFit="1" customWidth="1"/>
    <col min="6" max="6" width="12.109375" customWidth="1"/>
    <col min="7" max="7" width="13.109375" customWidth="1"/>
    <col min="8" max="8" width="10" bestFit="1" customWidth="1"/>
    <col min="12" max="12" width="12" customWidth="1"/>
    <col min="13" max="13" width="31.33203125" customWidth="1"/>
  </cols>
  <sheetData>
    <row r="3" spans="2:12" x14ac:dyDescent="0.3">
      <c r="B3" s="1" t="s">
        <v>401</v>
      </c>
      <c r="C3" s="2" t="s">
        <v>436</v>
      </c>
    </row>
    <row r="5" spans="2:12" ht="15" thickBot="1" x14ac:dyDescent="0.35"/>
    <row r="6" spans="2:12" ht="15" thickBot="1" x14ac:dyDescent="0.35">
      <c r="B6" s="164"/>
      <c r="C6" s="483" t="s">
        <v>438</v>
      </c>
      <c r="D6" s="484"/>
      <c r="E6" s="485"/>
      <c r="F6" s="241" t="s">
        <v>439</v>
      </c>
      <c r="G6" s="242"/>
      <c r="H6" s="243"/>
      <c r="I6" s="239"/>
      <c r="J6" s="239"/>
      <c r="K6" s="239"/>
      <c r="L6" s="239"/>
    </row>
    <row r="7" spans="2:12" ht="27.6" x14ac:dyDescent="0.3">
      <c r="B7" s="165" t="s">
        <v>402</v>
      </c>
      <c r="C7" s="234" t="s">
        <v>438</v>
      </c>
      <c r="D7" s="235" t="s">
        <v>403</v>
      </c>
      <c r="E7" s="236" t="s">
        <v>404</v>
      </c>
      <c r="F7" s="237" t="s">
        <v>439</v>
      </c>
      <c r="G7" s="238" t="s">
        <v>405</v>
      </c>
      <c r="H7" s="240" t="s">
        <v>404</v>
      </c>
    </row>
    <row r="8" spans="2:12" x14ac:dyDescent="0.3">
      <c r="B8" s="166" t="s">
        <v>437</v>
      </c>
      <c r="C8" s="374">
        <f>'Depreciation Co''s Act'!D29</f>
        <v>455091.45</v>
      </c>
      <c r="D8" s="374">
        <v>194218</v>
      </c>
      <c r="E8" s="374">
        <f t="shared" ref="E8:E16" si="0">C8-D8</f>
        <v>260873.45</v>
      </c>
      <c r="F8" s="374">
        <f>'Depreciation Co''s Act'!U29</f>
        <v>5311.2897042716322</v>
      </c>
      <c r="G8" s="374">
        <v>116</v>
      </c>
      <c r="H8" s="374">
        <f t="shared" ref="H8:H17" si="1">F8-G8</f>
        <v>5195.2897042716322</v>
      </c>
    </row>
    <row r="9" spans="2:12" ht="15" customHeight="1" x14ac:dyDescent="0.3">
      <c r="B9" s="373" t="s">
        <v>351</v>
      </c>
      <c r="C9" s="374">
        <f>'Depreciation Co''s Act'!D56</f>
        <v>363582.86</v>
      </c>
      <c r="D9" s="374">
        <v>363582</v>
      </c>
      <c r="E9" s="374">
        <f t="shared" si="0"/>
        <v>0.85999999998603016</v>
      </c>
      <c r="F9" s="374">
        <f>'Depreciation Co''s Act'!U56</f>
        <v>20169.720098576123</v>
      </c>
      <c r="G9" s="374">
        <v>19893</v>
      </c>
      <c r="H9" s="374">
        <f t="shared" si="1"/>
        <v>276.72009857612284</v>
      </c>
    </row>
    <row r="10" spans="2:12" x14ac:dyDescent="0.3">
      <c r="B10" s="166" t="s">
        <v>440</v>
      </c>
      <c r="C10" s="374">
        <f>'Depreciation Co''s Act'!D116</f>
        <v>746834203.27000022</v>
      </c>
      <c r="D10" s="374">
        <v>210012676.38999999</v>
      </c>
      <c r="E10" s="374">
        <f t="shared" si="0"/>
        <v>536821526.88000023</v>
      </c>
      <c r="F10" s="374">
        <f>'Depreciation Co''s Act'!U116</f>
        <v>6572922</v>
      </c>
      <c r="G10" s="374">
        <f>'Depreciation Co''s Act'!U116</f>
        <v>6572922</v>
      </c>
      <c r="H10" s="374">
        <f t="shared" si="1"/>
        <v>0</v>
      </c>
      <c r="I10" s="168"/>
    </row>
    <row r="11" spans="2:12" x14ac:dyDescent="0.3">
      <c r="B11" s="166" t="s">
        <v>441</v>
      </c>
      <c r="C11" s="374">
        <f>'Depreciation Co''s Act'!D168</f>
        <v>143131827.90999997</v>
      </c>
      <c r="D11" s="374">
        <f>141650785+521450</f>
        <v>142172235</v>
      </c>
      <c r="E11" s="374">
        <f t="shared" si="0"/>
        <v>959592.90999996662</v>
      </c>
      <c r="F11" s="374">
        <f>'Depreciation Co''s Act'!U168</f>
        <v>9004270.4602957293</v>
      </c>
      <c r="G11" s="374">
        <v>8986878</v>
      </c>
      <c r="H11" s="374">
        <f t="shared" si="1"/>
        <v>17392.460295729339</v>
      </c>
    </row>
    <row r="12" spans="2:12" x14ac:dyDescent="0.3">
      <c r="B12" s="167" t="s">
        <v>368</v>
      </c>
      <c r="C12" s="374">
        <f>'Depreciation Co''s Act'!D307</f>
        <v>5835610722.6980801</v>
      </c>
      <c r="D12" s="374">
        <f>1215557918.41+659282255</f>
        <v>1874840173.4100001</v>
      </c>
      <c r="E12" s="374">
        <f t="shared" si="0"/>
        <v>3960770549.2880802</v>
      </c>
      <c r="F12" s="374">
        <f>'Depreciation Co''s Act'!U307</f>
        <v>40741569</v>
      </c>
      <c r="G12" s="374">
        <v>40908577</v>
      </c>
      <c r="H12" s="374">
        <f t="shared" si="1"/>
        <v>-167008</v>
      </c>
      <c r="I12" s="168"/>
    </row>
    <row r="13" spans="2:12" x14ac:dyDescent="0.3">
      <c r="B13" s="167" t="s">
        <v>369</v>
      </c>
      <c r="C13" s="375">
        <f>'Depreciation Co''s Act'!D373</f>
        <v>3078304.0800000005</v>
      </c>
      <c r="D13" s="375">
        <v>2338220</v>
      </c>
      <c r="E13" s="375">
        <f t="shared" si="0"/>
        <v>740084.08000000054</v>
      </c>
      <c r="F13" s="375">
        <f>'Depreciation Co''s Act'!U373</f>
        <v>46524</v>
      </c>
      <c r="G13" s="375">
        <v>17738</v>
      </c>
      <c r="H13" s="374">
        <f t="shared" si="1"/>
        <v>28786</v>
      </c>
    </row>
    <row r="14" spans="2:12" x14ac:dyDescent="0.3">
      <c r="B14" s="244" t="s">
        <v>442</v>
      </c>
      <c r="C14" s="376">
        <f>'Depreciation Co''s Act'!D405</f>
        <v>88169382.339999989</v>
      </c>
      <c r="D14" s="376">
        <f>8942441+4800000+11102165.53</f>
        <v>24844606.530000001</v>
      </c>
      <c r="E14" s="376">
        <f t="shared" si="0"/>
        <v>63324775.809999987</v>
      </c>
      <c r="F14" s="376">
        <f>'Depreciation Co''s Act'!U405</f>
        <v>1160888.5453860897</v>
      </c>
      <c r="G14" s="376">
        <v>832053</v>
      </c>
      <c r="H14" s="376">
        <f t="shared" si="1"/>
        <v>328835.54538608971</v>
      </c>
    </row>
    <row r="15" spans="2:12" x14ac:dyDescent="0.3">
      <c r="B15" s="167" t="s">
        <v>361</v>
      </c>
      <c r="C15" s="374">
        <f>'Depreciation Co''s Act'!D496</f>
        <v>7571786.3599999985</v>
      </c>
      <c r="D15" s="374">
        <f>1374435+782080.68+121204.51</f>
        <v>2277720.19</v>
      </c>
      <c r="E15" s="377">
        <f t="shared" si="0"/>
        <v>5294066.1699999981</v>
      </c>
      <c r="F15" s="374">
        <f>'Depreciation Co''s Act'!U496</f>
        <v>368967.86867396586</v>
      </c>
      <c r="G15" s="374">
        <f>F15</f>
        <v>368967.86867396586</v>
      </c>
      <c r="H15" s="374">
        <f t="shared" si="1"/>
        <v>0</v>
      </c>
    </row>
    <row r="16" spans="2:12" x14ac:dyDescent="0.3">
      <c r="B16" s="167" t="s">
        <v>7</v>
      </c>
      <c r="C16" s="374">
        <f>'Depreciation Co''s Act'!D504</f>
        <v>58360623.519999996</v>
      </c>
      <c r="D16" s="374">
        <v>19410124</v>
      </c>
      <c r="E16" s="377">
        <f t="shared" si="0"/>
        <v>38950499.519999996</v>
      </c>
      <c r="F16" s="374"/>
      <c r="G16" s="374"/>
      <c r="H16" s="374">
        <f t="shared" si="1"/>
        <v>0</v>
      </c>
    </row>
    <row r="17" spans="2:8" x14ac:dyDescent="0.3">
      <c r="B17" s="166" t="s">
        <v>2</v>
      </c>
      <c r="C17" s="374">
        <f t="shared" ref="C17:G17" si="2">SUM(C8:C16)</f>
        <v>6883575524.48808</v>
      </c>
      <c r="D17" s="374">
        <f t="shared" si="2"/>
        <v>2276453555.5200005</v>
      </c>
      <c r="E17" s="374">
        <f t="shared" si="2"/>
        <v>4607121968.9680815</v>
      </c>
      <c r="F17" s="374">
        <f t="shared" si="2"/>
        <v>57920622.884158634</v>
      </c>
      <c r="G17" s="374">
        <f t="shared" si="2"/>
        <v>57707144.868673965</v>
      </c>
      <c r="H17" s="374">
        <f t="shared" si="1"/>
        <v>213478.01548466831</v>
      </c>
    </row>
    <row r="18" spans="2:8" x14ac:dyDescent="0.3">
      <c r="B18" s="168"/>
    </row>
    <row r="19" spans="2:8" x14ac:dyDescent="0.3">
      <c r="B19" s="168"/>
    </row>
    <row r="20" spans="2:8" x14ac:dyDescent="0.3">
      <c r="B20" s="168"/>
    </row>
    <row r="21" spans="2:8" x14ac:dyDescent="0.3">
      <c r="B21" s="168"/>
    </row>
    <row r="22" spans="2:8" x14ac:dyDescent="0.3">
      <c r="B22" s="168"/>
    </row>
    <row r="23" spans="2:8" x14ac:dyDescent="0.3">
      <c r="B23" s="168"/>
    </row>
    <row r="24" spans="2:8" x14ac:dyDescent="0.3">
      <c r="B24" s="168"/>
    </row>
    <row r="25" spans="2:8" x14ac:dyDescent="0.3">
      <c r="B25" s="168"/>
    </row>
    <row r="26" spans="2:8" x14ac:dyDescent="0.3">
      <c r="B26" s="168"/>
    </row>
    <row r="27" spans="2:8" x14ac:dyDescent="0.3">
      <c r="B27" s="168"/>
    </row>
    <row r="28" spans="2:8" x14ac:dyDescent="0.3">
      <c r="B28" s="168"/>
    </row>
    <row r="29" spans="2:8" x14ac:dyDescent="0.3">
      <c r="B29" s="168"/>
    </row>
    <row r="30" spans="2:8" x14ac:dyDescent="0.3">
      <c r="B30" s="168"/>
    </row>
  </sheetData>
  <mergeCells count="1">
    <mergeCell ref="C6:E6"/>
  </mergeCells>
  <pageMargins left="0.7" right="0.7" top="0.75" bottom="0.75" header="0.3" footer="0.3"/>
  <pageSetup paperSize="9" orientation="portrait" horizontalDpi="300" verticalDpi="300"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G147"/>
  <sheetViews>
    <sheetView topLeftCell="A131" workbookViewId="0">
      <selection activeCell="A74" sqref="A74"/>
    </sheetView>
  </sheetViews>
  <sheetFormatPr defaultRowHeight="14.4" x14ac:dyDescent="0.3"/>
  <cols>
    <col min="2" max="2" width="43.5546875" customWidth="1"/>
    <col min="3" max="3" width="10.5546875" style="4" bestFit="1" customWidth="1"/>
    <col min="5" max="5" width="9.6640625" bestFit="1" customWidth="1"/>
    <col min="6" max="6" width="45.6640625" customWidth="1"/>
    <col min="7" max="7" width="10" style="141" bestFit="1" customWidth="1"/>
  </cols>
  <sheetData>
    <row r="1" spans="1:7" x14ac:dyDescent="0.3">
      <c r="B1" s="2" t="s">
        <v>180</v>
      </c>
      <c r="F1" s="2" t="s">
        <v>184</v>
      </c>
    </row>
    <row r="2" spans="1:7" x14ac:dyDescent="0.3">
      <c r="F2" t="s">
        <v>203</v>
      </c>
      <c r="G2" s="141">
        <v>32605</v>
      </c>
    </row>
    <row r="3" spans="1:7" x14ac:dyDescent="0.3">
      <c r="A3">
        <v>1</v>
      </c>
      <c r="B3" s="2" t="s">
        <v>173</v>
      </c>
      <c r="F3" t="s">
        <v>219</v>
      </c>
      <c r="G3" s="158">
        <v>823.47</v>
      </c>
    </row>
    <row r="4" spans="1:7" x14ac:dyDescent="0.3">
      <c r="B4" s="3" t="s">
        <v>174</v>
      </c>
      <c r="C4" s="5">
        <v>9407843</v>
      </c>
      <c r="E4" s="4"/>
      <c r="F4" t="s">
        <v>175</v>
      </c>
      <c r="G4" s="159">
        <f>G2-G3</f>
        <v>31781.53</v>
      </c>
    </row>
    <row r="5" spans="1:7" x14ac:dyDescent="0.3">
      <c r="B5" t="s">
        <v>219</v>
      </c>
      <c r="C5" s="6">
        <f>(C4*3.34%)*362/365</f>
        <v>311639.30998465756</v>
      </c>
      <c r="F5" t="s">
        <v>181</v>
      </c>
      <c r="G5" s="158">
        <f>G2*3.34%*8</f>
        <v>8712.0560000000005</v>
      </c>
    </row>
    <row r="6" spans="1:7" x14ac:dyDescent="0.3">
      <c r="B6" t="s">
        <v>175</v>
      </c>
      <c r="C6" s="4">
        <f>C4-C5</f>
        <v>9096203.6900153421</v>
      </c>
      <c r="F6" t="s">
        <v>177</v>
      </c>
      <c r="G6" s="160">
        <f>G4-G5</f>
        <v>23069.473999999998</v>
      </c>
    </row>
    <row r="7" spans="1:7" x14ac:dyDescent="0.3">
      <c r="B7" t="s">
        <v>181</v>
      </c>
      <c r="C7" s="9">
        <f>C4*3.34%*8</f>
        <v>2513775.6496000001</v>
      </c>
      <c r="F7" s="1" t="s">
        <v>183</v>
      </c>
      <c r="G7" s="161">
        <f>G3+G5</f>
        <v>9535.5259999999998</v>
      </c>
    </row>
    <row r="8" spans="1:7" x14ac:dyDescent="0.3">
      <c r="B8" t="s">
        <v>177</v>
      </c>
      <c r="C8" s="7">
        <f>C6-C7</f>
        <v>6582428.040415342</v>
      </c>
    </row>
    <row r="9" spans="1:7" ht="15" thickBot="1" x14ac:dyDescent="0.35">
      <c r="B9" s="1" t="s">
        <v>183</v>
      </c>
      <c r="C9" s="12">
        <f>C5+C7</f>
        <v>2825414.9595846576</v>
      </c>
      <c r="F9" t="s">
        <v>246</v>
      </c>
      <c r="G9" s="141">
        <v>39975</v>
      </c>
    </row>
    <row r="10" spans="1:7" x14ac:dyDescent="0.3">
      <c r="C10" s="5"/>
      <c r="F10" t="s">
        <v>221</v>
      </c>
      <c r="G10" s="158">
        <v>929.13</v>
      </c>
    </row>
    <row r="11" spans="1:7" x14ac:dyDescent="0.3">
      <c r="A11">
        <v>2</v>
      </c>
      <c r="B11" s="2" t="s">
        <v>182</v>
      </c>
      <c r="F11" t="s">
        <v>176</v>
      </c>
      <c r="G11" s="159">
        <f>G9-G10</f>
        <v>39045.870000000003</v>
      </c>
    </row>
    <row r="12" spans="1:7" x14ac:dyDescent="0.3">
      <c r="B12" s="3" t="s">
        <v>179</v>
      </c>
      <c r="C12" s="5">
        <v>55000</v>
      </c>
      <c r="F12" t="s">
        <v>189</v>
      </c>
      <c r="G12" s="158">
        <f>G9*3.34%*7</f>
        <v>9346.1549999999988</v>
      </c>
    </row>
    <row r="13" spans="1:7" x14ac:dyDescent="0.3">
      <c r="B13" t="s">
        <v>219</v>
      </c>
      <c r="C13" s="6">
        <f>(C12*3.34%)*10/365</f>
        <v>50.328767123287669</v>
      </c>
      <c r="F13" t="s">
        <v>177</v>
      </c>
      <c r="G13" s="160">
        <f>G11-G12</f>
        <v>29699.715000000004</v>
      </c>
    </row>
    <row r="14" spans="1:7" x14ac:dyDescent="0.3">
      <c r="B14" t="s">
        <v>175</v>
      </c>
      <c r="C14" s="4">
        <f>C12-C13</f>
        <v>54949.67123287671</v>
      </c>
      <c r="F14" s="1" t="s">
        <v>183</v>
      </c>
      <c r="G14" s="161">
        <f>G10+G12</f>
        <v>10275.284999999998</v>
      </c>
    </row>
    <row r="15" spans="1:7" x14ac:dyDescent="0.3">
      <c r="B15" t="s">
        <v>181</v>
      </c>
      <c r="C15" s="6">
        <f>C12*3.34%*8</f>
        <v>14696</v>
      </c>
    </row>
    <row r="16" spans="1:7" x14ac:dyDescent="0.3">
      <c r="B16" t="s">
        <v>177</v>
      </c>
      <c r="C16" s="10">
        <f>C14-C15</f>
        <v>40253.67123287671</v>
      </c>
      <c r="F16" t="s">
        <v>325</v>
      </c>
      <c r="G16" s="141">
        <v>5707</v>
      </c>
    </row>
    <row r="17" spans="1:7" ht="15" thickBot="1" x14ac:dyDescent="0.35">
      <c r="B17" s="1" t="s">
        <v>183</v>
      </c>
      <c r="C17" s="12">
        <f>C15+C13</f>
        <v>14746.328767123288</v>
      </c>
      <c r="F17" t="s">
        <v>326</v>
      </c>
      <c r="G17" s="158">
        <v>15</v>
      </c>
    </row>
    <row r="18" spans="1:7" ht="15" thickBot="1" x14ac:dyDescent="0.35">
      <c r="B18" s="2" t="s">
        <v>178</v>
      </c>
      <c r="C18" s="11">
        <f>C9+C17</f>
        <v>2840161.2883517807</v>
      </c>
      <c r="F18" t="s">
        <v>327</v>
      </c>
      <c r="G18" s="159">
        <f>G16-G17</f>
        <v>5692</v>
      </c>
    </row>
    <row r="19" spans="1:7" ht="15" thickTop="1" x14ac:dyDescent="0.3">
      <c r="B19" s="2"/>
      <c r="C19" s="5"/>
      <c r="F19" t="s">
        <v>328</v>
      </c>
      <c r="G19" s="158">
        <f>G16*6.63%*11</f>
        <v>4162.1151</v>
      </c>
    </row>
    <row r="20" spans="1:7" x14ac:dyDescent="0.3">
      <c r="F20" t="s">
        <v>177</v>
      </c>
      <c r="G20" s="160">
        <f>G18-G19</f>
        <v>1529.8849</v>
      </c>
    </row>
    <row r="21" spans="1:7" x14ac:dyDescent="0.3">
      <c r="A21">
        <v>3</v>
      </c>
      <c r="B21" s="2" t="s">
        <v>96</v>
      </c>
      <c r="F21" s="1" t="s">
        <v>183</v>
      </c>
      <c r="G21" s="161">
        <f>G17+G19</f>
        <v>4177.1151</v>
      </c>
    </row>
    <row r="22" spans="1:7" x14ac:dyDescent="0.3">
      <c r="B22" s="3" t="s">
        <v>174</v>
      </c>
      <c r="C22" s="4">
        <v>4078335</v>
      </c>
    </row>
    <row r="23" spans="1:7" x14ac:dyDescent="0.3">
      <c r="B23" t="s">
        <v>219</v>
      </c>
      <c r="C23" s="6">
        <f>(C22*3.34%)*362/365</f>
        <v>135096.80224109587</v>
      </c>
      <c r="F23" t="s">
        <v>344</v>
      </c>
      <c r="G23" s="141">
        <v>72441</v>
      </c>
    </row>
    <row r="24" spans="1:7" x14ac:dyDescent="0.3">
      <c r="B24" t="s">
        <v>175</v>
      </c>
      <c r="C24" s="4">
        <f>C22-C23</f>
        <v>3943238.1977589042</v>
      </c>
      <c r="F24" t="s">
        <v>219</v>
      </c>
      <c r="G24" s="158">
        <v>3080.87</v>
      </c>
    </row>
    <row r="25" spans="1:7" x14ac:dyDescent="0.3">
      <c r="B25" t="s">
        <v>181</v>
      </c>
      <c r="C25" s="9">
        <f>C22*3.34%*8</f>
        <v>1089731.112</v>
      </c>
      <c r="F25" t="s">
        <v>175</v>
      </c>
      <c r="G25" s="159">
        <f>G23-G24</f>
        <v>69360.13</v>
      </c>
    </row>
    <row r="26" spans="1:7" x14ac:dyDescent="0.3">
      <c r="B26" t="s">
        <v>177</v>
      </c>
      <c r="C26" s="7">
        <f>C24-C25</f>
        <v>2853507.085758904</v>
      </c>
      <c r="F26" t="s">
        <v>181</v>
      </c>
      <c r="G26" s="158">
        <f>G23*5.28%*8</f>
        <v>30599.078399999999</v>
      </c>
    </row>
    <row r="27" spans="1:7" ht="15" thickBot="1" x14ac:dyDescent="0.35">
      <c r="B27" s="1" t="s">
        <v>183</v>
      </c>
      <c r="C27" s="12">
        <f>C23+C25</f>
        <v>1224827.9142410958</v>
      </c>
      <c r="F27" t="s">
        <v>177</v>
      </c>
      <c r="G27" s="160">
        <f>G25-G26</f>
        <v>38761.051600000006</v>
      </c>
    </row>
    <row r="28" spans="1:7" x14ac:dyDescent="0.3">
      <c r="F28" s="1" t="s">
        <v>183</v>
      </c>
      <c r="G28" s="161">
        <f>G24+G26</f>
        <v>33679.948400000001</v>
      </c>
    </row>
    <row r="29" spans="1:7" x14ac:dyDescent="0.3">
      <c r="A29">
        <v>4</v>
      </c>
      <c r="B29" s="8" t="s">
        <v>184</v>
      </c>
    </row>
    <row r="30" spans="1:7" x14ac:dyDescent="0.3">
      <c r="B30" s="3" t="s">
        <v>185</v>
      </c>
      <c r="C30" s="4">
        <v>201797</v>
      </c>
      <c r="F30" t="s">
        <v>345</v>
      </c>
      <c r="G30" s="141">
        <v>9169</v>
      </c>
    </row>
    <row r="31" spans="1:7" x14ac:dyDescent="0.3">
      <c r="B31" t="s">
        <v>220</v>
      </c>
      <c r="C31" s="6">
        <f>C30*3.34%*305/366</f>
        <v>5616.6831666666667</v>
      </c>
      <c r="F31" t="s">
        <v>219</v>
      </c>
      <c r="G31" s="158">
        <v>383.03</v>
      </c>
    </row>
    <row r="32" spans="1:7" x14ac:dyDescent="0.3">
      <c r="B32" t="s">
        <v>186</v>
      </c>
      <c r="C32" s="4">
        <f>C30-C31</f>
        <v>196180.31683333335</v>
      </c>
      <c r="F32" t="s">
        <v>175</v>
      </c>
      <c r="G32" s="159">
        <f>G30-G31</f>
        <v>8785.9699999999993</v>
      </c>
    </row>
    <row r="33" spans="1:7" x14ac:dyDescent="0.3">
      <c r="B33" t="s">
        <v>187</v>
      </c>
      <c r="C33" s="6">
        <f>C30*3.34%*10</f>
        <v>67400.198000000004</v>
      </c>
      <c r="F33" t="s">
        <v>181</v>
      </c>
      <c r="G33" s="158">
        <f>G30*5.28%*8</f>
        <v>3872.9856</v>
      </c>
    </row>
    <row r="34" spans="1:7" x14ac:dyDescent="0.3">
      <c r="B34" t="s">
        <v>177</v>
      </c>
      <c r="C34" s="7">
        <f>C32-C33-1</f>
        <v>128779.11883333334</v>
      </c>
      <c r="F34" t="s">
        <v>177</v>
      </c>
      <c r="G34" s="160">
        <f>G32-G33</f>
        <v>4912.9843999999994</v>
      </c>
    </row>
    <row r="35" spans="1:7" ht="15" thickBot="1" x14ac:dyDescent="0.35">
      <c r="B35" s="1" t="s">
        <v>183</v>
      </c>
      <c r="C35" s="13">
        <f>C31+C33+1</f>
        <v>73017.881166666673</v>
      </c>
      <c r="F35" s="1" t="s">
        <v>183</v>
      </c>
      <c r="G35" s="161">
        <f>G31+G33</f>
        <v>4256.0155999999997</v>
      </c>
    </row>
    <row r="37" spans="1:7" x14ac:dyDescent="0.3">
      <c r="A37">
        <v>5</v>
      </c>
      <c r="B37" s="2" t="s">
        <v>184</v>
      </c>
      <c r="F37" s="2"/>
    </row>
    <row r="38" spans="1:7" x14ac:dyDescent="0.3">
      <c r="B38" t="s">
        <v>188</v>
      </c>
      <c r="C38" s="4">
        <v>21552</v>
      </c>
    </row>
    <row r="39" spans="1:7" x14ac:dyDescent="0.3">
      <c r="B39" t="s">
        <v>221</v>
      </c>
      <c r="C39" s="6">
        <f>C38*3.34%*318/365</f>
        <v>627.14548602739717</v>
      </c>
      <c r="G39" s="158"/>
    </row>
    <row r="40" spans="1:7" x14ac:dyDescent="0.3">
      <c r="B40" t="s">
        <v>176</v>
      </c>
      <c r="C40" s="4">
        <f>C38-C39</f>
        <v>20924.854513972601</v>
      </c>
      <c r="G40" s="159"/>
    </row>
    <row r="41" spans="1:7" x14ac:dyDescent="0.3">
      <c r="B41" t="s">
        <v>189</v>
      </c>
      <c r="C41" s="6">
        <f>C38*3.34%*7</f>
        <v>5038.8575999999994</v>
      </c>
      <c r="G41" s="158"/>
    </row>
    <row r="42" spans="1:7" x14ac:dyDescent="0.3">
      <c r="B42" t="s">
        <v>177</v>
      </c>
      <c r="C42" s="7">
        <f>C40-C41</f>
        <v>15885.996913972602</v>
      </c>
      <c r="G42" s="160"/>
    </row>
    <row r="43" spans="1:7" x14ac:dyDescent="0.3">
      <c r="B43" s="1" t="s">
        <v>183</v>
      </c>
      <c r="C43" s="14">
        <f>C39+C41</f>
        <v>5666.0030860273964</v>
      </c>
      <c r="F43" s="1"/>
      <c r="G43" s="161"/>
    </row>
    <row r="44" spans="1:7" ht="15" thickBot="1" x14ac:dyDescent="0.35">
      <c r="B44" s="2" t="s">
        <v>178</v>
      </c>
      <c r="C44" s="15">
        <f>C27+C35+C43</f>
        <v>1303511.79849379</v>
      </c>
    </row>
    <row r="45" spans="1:7" ht="15" thickTop="1" x14ac:dyDescent="0.3"/>
    <row r="47" spans="1:7" x14ac:dyDescent="0.3">
      <c r="A47">
        <v>7</v>
      </c>
      <c r="B47" s="2" t="s">
        <v>190</v>
      </c>
    </row>
    <row r="48" spans="1:7" x14ac:dyDescent="0.3">
      <c r="B48" t="s">
        <v>174</v>
      </c>
      <c r="C48" s="4">
        <v>3188864</v>
      </c>
    </row>
    <row r="49" spans="1:3" x14ac:dyDescent="0.3">
      <c r="B49" t="s">
        <v>219</v>
      </c>
      <c r="C49" s="6">
        <f>C48*3.34%*362/365</f>
        <v>105632.64890739726</v>
      </c>
    </row>
    <row r="50" spans="1:3" x14ac:dyDescent="0.3">
      <c r="B50" t="s">
        <v>175</v>
      </c>
      <c r="C50" s="4">
        <f>C48-C49</f>
        <v>3083231.3510926026</v>
      </c>
    </row>
    <row r="51" spans="1:3" x14ac:dyDescent="0.3">
      <c r="B51" t="s">
        <v>181</v>
      </c>
      <c r="C51" s="6">
        <f>C48*3.34%*8</f>
        <v>852064.4608</v>
      </c>
    </row>
    <row r="52" spans="1:3" x14ac:dyDescent="0.3">
      <c r="B52" t="s">
        <v>177</v>
      </c>
      <c r="C52" s="4">
        <f>C50-C51</f>
        <v>2231166.8902926026</v>
      </c>
    </row>
    <row r="53" spans="1:3" ht="15" thickBot="1" x14ac:dyDescent="0.35">
      <c r="B53" s="1" t="s">
        <v>183</v>
      </c>
      <c r="C53" s="12">
        <f>C49+C51</f>
        <v>957697.10970739729</v>
      </c>
    </row>
    <row r="55" spans="1:3" x14ac:dyDescent="0.3">
      <c r="A55">
        <v>8</v>
      </c>
      <c r="B55" s="2" t="s">
        <v>191</v>
      </c>
    </row>
    <row r="56" spans="1:3" x14ac:dyDescent="0.3">
      <c r="B56" t="s">
        <v>194</v>
      </c>
      <c r="C56" s="4">
        <v>36400</v>
      </c>
    </row>
    <row r="57" spans="1:3" x14ac:dyDescent="0.3">
      <c r="B57" t="s">
        <v>219</v>
      </c>
      <c r="C57" s="6">
        <f>C56*3.34%*327/365</f>
        <v>1089.1877260273973</v>
      </c>
    </row>
    <row r="58" spans="1:3" x14ac:dyDescent="0.3">
      <c r="B58" t="s">
        <v>175</v>
      </c>
      <c r="C58" s="4">
        <f>C56-C57</f>
        <v>35310.812273972602</v>
      </c>
    </row>
    <row r="59" spans="1:3" x14ac:dyDescent="0.3">
      <c r="B59" t="s">
        <v>181</v>
      </c>
      <c r="C59" s="6">
        <f>C56*3.34%*8</f>
        <v>9726.08</v>
      </c>
    </row>
    <row r="60" spans="1:3" x14ac:dyDescent="0.3">
      <c r="B60" t="s">
        <v>177</v>
      </c>
      <c r="C60" s="4">
        <f>C58-C59</f>
        <v>25584.732273972601</v>
      </c>
    </row>
    <row r="61" spans="1:3" ht="15" thickBot="1" x14ac:dyDescent="0.35">
      <c r="B61" s="1" t="s">
        <v>183</v>
      </c>
      <c r="C61" s="12">
        <f>C57+C59</f>
        <v>10815.267726027398</v>
      </c>
    </row>
    <row r="63" spans="1:3" x14ac:dyDescent="0.3">
      <c r="A63">
        <v>9</v>
      </c>
      <c r="B63" s="2" t="s">
        <v>192</v>
      </c>
    </row>
    <row r="64" spans="1:3" x14ac:dyDescent="0.3">
      <c r="B64" t="s">
        <v>195</v>
      </c>
      <c r="C64" s="4">
        <v>14000</v>
      </c>
    </row>
    <row r="65" spans="1:3" x14ac:dyDescent="0.3">
      <c r="B65" t="s">
        <v>219</v>
      </c>
      <c r="C65" s="6">
        <f>C64*3.34%*307/365</f>
        <v>393.29643835616434</v>
      </c>
    </row>
    <row r="66" spans="1:3" x14ac:dyDescent="0.3">
      <c r="B66" t="s">
        <v>175</v>
      </c>
      <c r="C66" s="4">
        <f>C64-C65</f>
        <v>13606.703561643835</v>
      </c>
    </row>
    <row r="67" spans="1:3" x14ac:dyDescent="0.3">
      <c r="B67" t="s">
        <v>181</v>
      </c>
      <c r="C67" s="6">
        <f>C64*3.34%*8</f>
        <v>3740.7999999999997</v>
      </c>
    </row>
    <row r="68" spans="1:3" x14ac:dyDescent="0.3">
      <c r="B68" t="s">
        <v>177</v>
      </c>
      <c r="C68" s="4">
        <f>C66-C67</f>
        <v>9865.9035616438359</v>
      </c>
    </row>
    <row r="69" spans="1:3" ht="15" thickBot="1" x14ac:dyDescent="0.35">
      <c r="B69" s="1" t="s">
        <v>183</v>
      </c>
      <c r="C69" s="12">
        <f>C65+C67</f>
        <v>4134.0964383561641</v>
      </c>
    </row>
    <row r="71" spans="1:3" x14ac:dyDescent="0.3">
      <c r="A71">
        <v>10</v>
      </c>
      <c r="B71" s="2" t="s">
        <v>193</v>
      </c>
    </row>
    <row r="72" spans="1:3" x14ac:dyDescent="0.3">
      <c r="B72" t="s">
        <v>195</v>
      </c>
      <c r="C72" s="4">
        <v>8400</v>
      </c>
    </row>
    <row r="73" spans="1:3" x14ac:dyDescent="0.3">
      <c r="B73" t="s">
        <v>219</v>
      </c>
      <c r="C73" s="6">
        <f>C72*3.34%*307/365</f>
        <v>235.97786301369862</v>
      </c>
    </row>
    <row r="74" spans="1:3" x14ac:dyDescent="0.3">
      <c r="B74" t="s">
        <v>175</v>
      </c>
      <c r="C74" s="4">
        <f>C72-C73</f>
        <v>8164.0221369863011</v>
      </c>
    </row>
    <row r="75" spans="1:3" x14ac:dyDescent="0.3">
      <c r="B75" t="s">
        <v>181</v>
      </c>
      <c r="C75" s="6">
        <f>C72*3.34%*8</f>
        <v>2244.48</v>
      </c>
    </row>
    <row r="76" spans="1:3" x14ac:dyDescent="0.3">
      <c r="B76" t="s">
        <v>177</v>
      </c>
      <c r="C76" s="4">
        <f>C74-C75</f>
        <v>5919.5421369863016</v>
      </c>
    </row>
    <row r="77" spans="1:3" ht="15" thickBot="1" x14ac:dyDescent="0.35">
      <c r="B77" s="1" t="s">
        <v>183</v>
      </c>
      <c r="C77" s="12">
        <f>C73+C75</f>
        <v>2480.4578630136984</v>
      </c>
    </row>
    <row r="79" spans="1:3" x14ac:dyDescent="0.3">
      <c r="A79">
        <v>11</v>
      </c>
      <c r="B79" s="2" t="s">
        <v>196</v>
      </c>
    </row>
    <row r="80" spans="1:3" x14ac:dyDescent="0.3">
      <c r="B80" t="s">
        <v>197</v>
      </c>
      <c r="C80" s="4">
        <v>5200</v>
      </c>
    </row>
    <row r="81" spans="1:7" x14ac:dyDescent="0.3">
      <c r="B81" t="s">
        <v>219</v>
      </c>
      <c r="C81" s="6">
        <f>C80*3.34%*288/365</f>
        <v>137.04065753424658</v>
      </c>
    </row>
    <row r="82" spans="1:7" x14ac:dyDescent="0.3">
      <c r="B82" t="s">
        <v>175</v>
      </c>
      <c r="C82" s="4">
        <f>C80-C81</f>
        <v>5062.9593424657533</v>
      </c>
    </row>
    <row r="83" spans="1:7" x14ac:dyDescent="0.3">
      <c r="B83" t="s">
        <v>181</v>
      </c>
      <c r="C83" s="6">
        <f>C80*3.34%*8</f>
        <v>1389.44</v>
      </c>
    </row>
    <row r="84" spans="1:7" x14ac:dyDescent="0.3">
      <c r="B84" t="s">
        <v>177</v>
      </c>
      <c r="C84" s="4">
        <f>C82-C83+1</f>
        <v>3674.5193424657532</v>
      </c>
    </row>
    <row r="85" spans="1:7" ht="15" thickBot="1" x14ac:dyDescent="0.35">
      <c r="B85" s="1" t="s">
        <v>183</v>
      </c>
      <c r="C85" s="12">
        <f>C81+C83-1</f>
        <v>1525.4806575342466</v>
      </c>
    </row>
    <row r="87" spans="1:7" x14ac:dyDescent="0.3">
      <c r="A87">
        <v>12</v>
      </c>
      <c r="B87" s="2" t="s">
        <v>198</v>
      </c>
    </row>
    <row r="88" spans="1:7" x14ac:dyDescent="0.3">
      <c r="B88" t="s">
        <v>199</v>
      </c>
      <c r="C88" s="4">
        <v>5200</v>
      </c>
    </row>
    <row r="89" spans="1:7" x14ac:dyDescent="0.3">
      <c r="B89" t="s">
        <v>219</v>
      </c>
      <c r="C89" s="6">
        <f>C88*3.34%*257/365</f>
        <v>122.28975342465753</v>
      </c>
    </row>
    <row r="90" spans="1:7" x14ac:dyDescent="0.3">
      <c r="B90" t="s">
        <v>175</v>
      </c>
      <c r="C90" s="4">
        <f>C88-C89</f>
        <v>5077.7102465753424</v>
      </c>
    </row>
    <row r="91" spans="1:7" x14ac:dyDescent="0.3">
      <c r="B91" t="s">
        <v>181</v>
      </c>
      <c r="C91" s="6">
        <f>C88*3.34%*8</f>
        <v>1389.44</v>
      </c>
    </row>
    <row r="92" spans="1:7" x14ac:dyDescent="0.3">
      <c r="B92" t="s">
        <v>177</v>
      </c>
      <c r="C92" s="4">
        <f>C90-C91</f>
        <v>3688.2702465753423</v>
      </c>
    </row>
    <row r="93" spans="1:7" ht="15" thickBot="1" x14ac:dyDescent="0.35">
      <c r="B93" s="1" t="s">
        <v>183</v>
      </c>
      <c r="C93" s="12">
        <f>C89+C91</f>
        <v>1511.7297534246577</v>
      </c>
    </row>
    <row r="94" spans="1:7" s="1" customFormat="1" ht="15" thickBot="1" x14ac:dyDescent="0.35">
      <c r="B94" s="1" t="s">
        <v>178</v>
      </c>
      <c r="C94" s="11">
        <f>C53+C61+C69+C77+C85+C93</f>
        <v>978164.14214575349</v>
      </c>
      <c r="G94" s="162"/>
    </row>
    <row r="95" spans="1:7" s="1" customFormat="1" ht="15" thickTop="1" x14ac:dyDescent="0.3">
      <c r="C95" s="5"/>
      <c r="G95" s="162"/>
    </row>
    <row r="97" spans="1:3" x14ac:dyDescent="0.3">
      <c r="A97">
        <v>13</v>
      </c>
      <c r="B97" s="16" t="s">
        <v>106</v>
      </c>
    </row>
    <row r="98" spans="1:3" x14ac:dyDescent="0.3">
      <c r="B98" t="s">
        <v>174</v>
      </c>
      <c r="C98" s="4">
        <v>1384777</v>
      </c>
    </row>
    <row r="99" spans="1:3" x14ac:dyDescent="0.3">
      <c r="B99" t="s">
        <v>219</v>
      </c>
      <c r="C99" s="6">
        <f>C98*3.34%*362/365</f>
        <v>45871.402059178086</v>
      </c>
    </row>
    <row r="100" spans="1:3" x14ac:dyDescent="0.3">
      <c r="B100" t="s">
        <v>175</v>
      </c>
      <c r="C100" s="4">
        <f>C98-C99</f>
        <v>1338905.5979408219</v>
      </c>
    </row>
    <row r="101" spans="1:3" x14ac:dyDescent="0.3">
      <c r="B101" t="s">
        <v>181</v>
      </c>
      <c r="C101" s="6">
        <f>C98*3.34%*8</f>
        <v>370012.41440000001</v>
      </c>
    </row>
    <row r="102" spans="1:3" x14ac:dyDescent="0.3">
      <c r="B102" t="s">
        <v>177</v>
      </c>
      <c r="C102" s="6">
        <f>C100-C101-1</f>
        <v>968892.18354082189</v>
      </c>
    </row>
    <row r="103" spans="1:3" ht="15" thickBot="1" x14ac:dyDescent="0.35">
      <c r="B103" s="1" t="s">
        <v>183</v>
      </c>
      <c r="C103" s="12">
        <f>C99+C101+1</f>
        <v>415884.81645917811</v>
      </c>
    </row>
    <row r="105" spans="1:3" x14ac:dyDescent="0.3">
      <c r="A105">
        <v>14</v>
      </c>
      <c r="B105" s="16" t="s">
        <v>201</v>
      </c>
    </row>
    <row r="106" spans="1:3" x14ac:dyDescent="0.3">
      <c r="B106" t="s">
        <v>200</v>
      </c>
      <c r="C106" s="4">
        <v>147754</v>
      </c>
    </row>
    <row r="107" spans="1:3" x14ac:dyDescent="0.3">
      <c r="B107" t="s">
        <v>219</v>
      </c>
      <c r="C107" s="6">
        <f>C106*3.34%*306/365</f>
        <v>4137.27392219178</v>
      </c>
    </row>
    <row r="108" spans="1:3" x14ac:dyDescent="0.3">
      <c r="B108" t="s">
        <v>175</v>
      </c>
      <c r="C108" s="4">
        <f>C106-C107</f>
        <v>143616.72607780821</v>
      </c>
    </row>
    <row r="109" spans="1:3" x14ac:dyDescent="0.3">
      <c r="B109" t="s">
        <v>181</v>
      </c>
      <c r="C109" s="6">
        <f>C106*3.34%*8</f>
        <v>39479.868799999997</v>
      </c>
    </row>
    <row r="110" spans="1:3" x14ac:dyDescent="0.3">
      <c r="B110" t="s">
        <v>177</v>
      </c>
      <c r="C110" s="6">
        <f>C108-C109</f>
        <v>104136.85727780822</v>
      </c>
    </row>
    <row r="111" spans="1:3" ht="15" thickBot="1" x14ac:dyDescent="0.35">
      <c r="B111" s="1" t="s">
        <v>183</v>
      </c>
      <c r="C111" s="13">
        <f>C107+C109</f>
        <v>43617.142722191777</v>
      </c>
    </row>
    <row r="112" spans="1:3" ht="15" thickBot="1" x14ac:dyDescent="0.35">
      <c r="B112" s="1" t="s">
        <v>178</v>
      </c>
      <c r="C112" s="11">
        <f>C103+C111</f>
        <v>459501.95918136986</v>
      </c>
    </row>
    <row r="113" spans="1:6" ht="15" thickTop="1" x14ac:dyDescent="0.3"/>
    <row r="114" spans="1:6" x14ac:dyDescent="0.3">
      <c r="A114">
        <v>15</v>
      </c>
      <c r="B114" s="16" t="s">
        <v>107</v>
      </c>
    </row>
    <row r="115" spans="1:6" x14ac:dyDescent="0.3">
      <c r="B115" t="s">
        <v>202</v>
      </c>
      <c r="C115" s="4">
        <v>1495085</v>
      </c>
    </row>
    <row r="116" spans="1:6" x14ac:dyDescent="0.3">
      <c r="B116" t="s">
        <v>219</v>
      </c>
      <c r="C116" s="6">
        <f>C115*3.34%*362/365</f>
        <v>49525.407446575337</v>
      </c>
    </row>
    <row r="117" spans="1:6" x14ac:dyDescent="0.3">
      <c r="B117" t="s">
        <v>175</v>
      </c>
      <c r="C117" s="4">
        <f>C115-C116</f>
        <v>1445559.5925534246</v>
      </c>
    </row>
    <row r="118" spans="1:6" x14ac:dyDescent="0.3">
      <c r="B118" t="s">
        <v>181</v>
      </c>
      <c r="C118" s="6">
        <f>C115*3.34%*8</f>
        <v>399486.712</v>
      </c>
    </row>
    <row r="119" spans="1:6" x14ac:dyDescent="0.3">
      <c r="B119" t="s">
        <v>177</v>
      </c>
      <c r="C119" s="6">
        <f>C117-C118</f>
        <v>1046072.8805534246</v>
      </c>
    </row>
    <row r="120" spans="1:6" ht="15" thickBot="1" x14ac:dyDescent="0.35">
      <c r="B120" s="1" t="s">
        <v>183</v>
      </c>
      <c r="C120" s="13">
        <f>C116+C118</f>
        <v>449012.11944657535</v>
      </c>
    </row>
    <row r="121" spans="1:6" x14ac:dyDescent="0.3">
      <c r="F121" s="4"/>
    </row>
    <row r="122" spans="1:6" x14ac:dyDescent="0.3">
      <c r="A122">
        <v>16</v>
      </c>
      <c r="B122" s="16" t="s">
        <v>107</v>
      </c>
      <c r="F122" s="4"/>
    </row>
    <row r="123" spans="1:6" x14ac:dyDescent="0.3">
      <c r="B123" t="s">
        <v>203</v>
      </c>
      <c r="C123" s="4">
        <v>32605</v>
      </c>
      <c r="D123" s="3"/>
    </row>
    <row r="124" spans="1:6" x14ac:dyDescent="0.3">
      <c r="B124" t="s">
        <v>219</v>
      </c>
      <c r="C124" s="6">
        <f>C123*3.34%*276/365</f>
        <v>823.46830684931513</v>
      </c>
      <c r="E124" s="17"/>
      <c r="F124" s="4"/>
    </row>
    <row r="125" spans="1:6" x14ac:dyDescent="0.3">
      <c r="B125" t="s">
        <v>175</v>
      </c>
      <c r="C125" s="4">
        <f>C123-C124</f>
        <v>31781.531693150686</v>
      </c>
    </row>
    <row r="126" spans="1:6" x14ac:dyDescent="0.3">
      <c r="B126" t="s">
        <v>181</v>
      </c>
      <c r="C126" s="6">
        <f>C123*3.34%*8</f>
        <v>8712.0560000000005</v>
      </c>
    </row>
    <row r="127" spans="1:6" x14ac:dyDescent="0.3">
      <c r="B127" t="s">
        <v>177</v>
      </c>
      <c r="C127" s="6">
        <f>C125-C126</f>
        <v>23069.475693150685</v>
      </c>
    </row>
    <row r="128" spans="1:6" ht="15" thickBot="1" x14ac:dyDescent="0.35">
      <c r="B128" s="1" t="s">
        <v>183</v>
      </c>
      <c r="C128" s="13">
        <f>C124+C126</f>
        <v>9535.5243068493164</v>
      </c>
      <c r="D128" s="4"/>
    </row>
    <row r="129" spans="1:5" ht="15" thickBot="1" x14ac:dyDescent="0.35">
      <c r="B129" s="1" t="s">
        <v>178</v>
      </c>
      <c r="C129" s="11">
        <f>C120+C128</f>
        <v>458547.64375342469</v>
      </c>
      <c r="D129">
        <v>476752</v>
      </c>
      <c r="E129" s="19">
        <f>D129-C129-17064</f>
        <v>1140.3562465753057</v>
      </c>
    </row>
    <row r="130" spans="1:5" ht="15" thickTop="1" x14ac:dyDescent="0.3"/>
    <row r="131" spans="1:5" x14ac:dyDescent="0.3">
      <c r="A131">
        <v>17</v>
      </c>
      <c r="B131" s="16" t="s">
        <v>222</v>
      </c>
    </row>
    <row r="132" spans="1:5" x14ac:dyDescent="0.3">
      <c r="B132" t="s">
        <v>174</v>
      </c>
      <c r="C132" s="4">
        <v>1816918</v>
      </c>
    </row>
    <row r="133" spans="1:5" x14ac:dyDescent="0.3">
      <c r="B133" t="s">
        <v>219</v>
      </c>
      <c r="C133" s="6">
        <f>C132*3.34%*362/365</f>
        <v>60186.279875068489</v>
      </c>
    </row>
    <row r="134" spans="1:5" x14ac:dyDescent="0.3">
      <c r="B134" t="s">
        <v>175</v>
      </c>
      <c r="C134" s="4">
        <f>C132-C133</f>
        <v>1756731.7201249315</v>
      </c>
    </row>
    <row r="135" spans="1:5" x14ac:dyDescent="0.3">
      <c r="B135" t="s">
        <v>181</v>
      </c>
      <c r="C135" s="6">
        <f>C132*3.34%*8</f>
        <v>485480.48959999997</v>
      </c>
    </row>
    <row r="136" spans="1:5" x14ac:dyDescent="0.3">
      <c r="B136" t="s">
        <v>177</v>
      </c>
      <c r="C136" s="6">
        <f>C134-C135</f>
        <v>1271251.2305249316</v>
      </c>
    </row>
    <row r="137" spans="1:5" ht="15" thickBot="1" x14ac:dyDescent="0.35">
      <c r="B137" s="1" t="s">
        <v>183</v>
      </c>
      <c r="C137" s="13">
        <f>C133+C135</f>
        <v>545666.76947506843</v>
      </c>
    </row>
    <row r="139" spans="1:5" x14ac:dyDescent="0.3">
      <c r="B139" s="16" t="s">
        <v>222</v>
      </c>
    </row>
    <row r="140" spans="1:5" x14ac:dyDescent="0.3">
      <c r="B140" t="s">
        <v>246</v>
      </c>
      <c r="C140" s="4">
        <v>39975</v>
      </c>
    </row>
    <row r="141" spans="1:5" x14ac:dyDescent="0.3">
      <c r="B141" t="s">
        <v>221</v>
      </c>
      <c r="C141" s="6">
        <f>C140*3.34%*254/365</f>
        <v>929.12852054794519</v>
      </c>
    </row>
    <row r="142" spans="1:5" x14ac:dyDescent="0.3">
      <c r="B142" t="s">
        <v>175</v>
      </c>
      <c r="C142" s="4">
        <f>C140-C141</f>
        <v>39045.871479452057</v>
      </c>
    </row>
    <row r="143" spans="1:5" x14ac:dyDescent="0.3">
      <c r="B143" t="s">
        <v>181</v>
      </c>
      <c r="C143" s="6">
        <f>C140*3.34%*7</f>
        <v>9346.1549999999988</v>
      </c>
    </row>
    <row r="144" spans="1:5" x14ac:dyDescent="0.3">
      <c r="B144" t="s">
        <v>177</v>
      </c>
      <c r="C144" s="6">
        <f>C142-C143</f>
        <v>29699.716479452058</v>
      </c>
    </row>
    <row r="145" spans="2:3" ht="15" thickBot="1" x14ac:dyDescent="0.35">
      <c r="B145" s="1" t="s">
        <v>183</v>
      </c>
      <c r="C145" s="13">
        <f>C141+C143</f>
        <v>10275.283520547944</v>
      </c>
    </row>
    <row r="146" spans="2:3" ht="15" thickBot="1" x14ac:dyDescent="0.35">
      <c r="B146" s="1" t="s">
        <v>178</v>
      </c>
      <c r="C146" s="11">
        <f>C137+C145</f>
        <v>555942.05299561634</v>
      </c>
    </row>
    <row r="147" spans="2:3" ht="15" thickTop="1" x14ac:dyDescent="0.3"/>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2:C33"/>
  <sheetViews>
    <sheetView workbookViewId="0">
      <selection activeCell="A19" sqref="A19"/>
    </sheetView>
  </sheetViews>
  <sheetFormatPr defaultRowHeight="14.4" x14ac:dyDescent="0.3"/>
  <cols>
    <col min="2" max="2" width="44.5546875" bestFit="1" customWidth="1"/>
    <col min="3" max="3" width="10.88671875" customWidth="1"/>
  </cols>
  <sheetData>
    <row r="2" spans="1:3" x14ac:dyDescent="0.3">
      <c r="A2">
        <v>1</v>
      </c>
      <c r="B2" s="16" t="s">
        <v>268</v>
      </c>
      <c r="C2" s="4"/>
    </row>
    <row r="3" spans="1:3" x14ac:dyDescent="0.3">
      <c r="B3" t="s">
        <v>202</v>
      </c>
      <c r="C3" s="4">
        <v>40004794</v>
      </c>
    </row>
    <row r="4" spans="1:3" x14ac:dyDescent="0.3">
      <c r="B4" t="s">
        <v>219</v>
      </c>
      <c r="C4" s="6">
        <f>C3*4.75%*362/365</f>
        <v>1884609.4050136989</v>
      </c>
    </row>
    <row r="5" spans="1:3" x14ac:dyDescent="0.3">
      <c r="B5" t="s">
        <v>175</v>
      </c>
      <c r="C5" s="4">
        <f>C3-C4</f>
        <v>38120184.594986305</v>
      </c>
    </row>
    <row r="6" spans="1:3" x14ac:dyDescent="0.3">
      <c r="B6" t="s">
        <v>181</v>
      </c>
      <c r="C6" s="6">
        <f>C3*4.75%*8</f>
        <v>15201821.720000001</v>
      </c>
    </row>
    <row r="7" spans="1:3" x14ac:dyDescent="0.3">
      <c r="B7" t="s">
        <v>177</v>
      </c>
      <c r="C7" s="6">
        <f>C5-C6</f>
        <v>22918362.874986306</v>
      </c>
    </row>
    <row r="8" spans="1:3" ht="15" thickBot="1" x14ac:dyDescent="0.35">
      <c r="B8" s="1" t="s">
        <v>183</v>
      </c>
      <c r="C8" s="13">
        <f>C4+C6</f>
        <v>17086431.125013698</v>
      </c>
    </row>
    <row r="11" spans="1:3" x14ac:dyDescent="0.3">
      <c r="A11">
        <v>2</v>
      </c>
      <c r="B11" s="16" t="s">
        <v>268</v>
      </c>
      <c r="C11" s="4"/>
    </row>
    <row r="12" spans="1:3" x14ac:dyDescent="0.3">
      <c r="B12" t="s">
        <v>226</v>
      </c>
      <c r="C12" s="4">
        <v>227511</v>
      </c>
    </row>
    <row r="13" spans="1:3" x14ac:dyDescent="0.3">
      <c r="B13" t="s">
        <v>219</v>
      </c>
      <c r="C13" s="6">
        <f>C12*4.75%*290/365</f>
        <v>8586.2028082191791</v>
      </c>
    </row>
    <row r="14" spans="1:3" x14ac:dyDescent="0.3">
      <c r="B14" t="s">
        <v>175</v>
      </c>
      <c r="C14" s="4">
        <f>C12-C13</f>
        <v>218924.79719178082</v>
      </c>
    </row>
    <row r="15" spans="1:3" x14ac:dyDescent="0.3">
      <c r="B15" t="s">
        <v>181</v>
      </c>
      <c r="C15" s="6">
        <f>C12*4.75%*8</f>
        <v>86454.180000000008</v>
      </c>
    </row>
    <row r="16" spans="1:3" x14ac:dyDescent="0.3">
      <c r="B16" t="s">
        <v>177</v>
      </c>
      <c r="C16" s="6">
        <f>C14-C15</f>
        <v>132470.61719178082</v>
      </c>
    </row>
    <row r="17" spans="1:3" ht="15" thickBot="1" x14ac:dyDescent="0.35">
      <c r="B17" s="1" t="s">
        <v>183</v>
      </c>
      <c r="C17" s="13">
        <f>C13+C15</f>
        <v>95040.38280821919</v>
      </c>
    </row>
    <row r="19" spans="1:3" x14ac:dyDescent="0.3">
      <c r="A19">
        <v>3</v>
      </c>
      <c r="B19" s="16" t="s">
        <v>267</v>
      </c>
      <c r="C19" s="4"/>
    </row>
    <row r="20" spans="1:3" x14ac:dyDescent="0.3">
      <c r="B20" t="s">
        <v>227</v>
      </c>
      <c r="C20" s="4">
        <v>18025</v>
      </c>
    </row>
    <row r="21" spans="1:3" x14ac:dyDescent="0.3">
      <c r="B21" t="s">
        <v>219</v>
      </c>
      <c r="C21" s="6">
        <f>C20*4.75%*305/365</f>
        <v>715.44434931506851</v>
      </c>
    </row>
    <row r="22" spans="1:3" x14ac:dyDescent="0.3">
      <c r="B22" t="s">
        <v>175</v>
      </c>
      <c r="C22" s="4">
        <f>C20-C21</f>
        <v>17309.555650684932</v>
      </c>
    </row>
    <row r="23" spans="1:3" x14ac:dyDescent="0.3">
      <c r="B23" t="s">
        <v>181</v>
      </c>
      <c r="C23" s="6">
        <f>C20*4.75%*8</f>
        <v>6849.5</v>
      </c>
    </row>
    <row r="24" spans="1:3" x14ac:dyDescent="0.3">
      <c r="B24" t="s">
        <v>177</v>
      </c>
      <c r="C24" s="6">
        <f>C22-C23</f>
        <v>10460.055650684932</v>
      </c>
    </row>
    <row r="25" spans="1:3" ht="15" thickBot="1" x14ac:dyDescent="0.35">
      <c r="B25" s="1" t="s">
        <v>183</v>
      </c>
      <c r="C25" s="13">
        <f>C21+C23</f>
        <v>7564.9443493150684</v>
      </c>
    </row>
    <row r="27" spans="1:3" x14ac:dyDescent="0.3">
      <c r="A27">
        <v>4</v>
      </c>
      <c r="B27" s="16" t="s">
        <v>267</v>
      </c>
      <c r="C27" s="4"/>
    </row>
    <row r="28" spans="1:3" x14ac:dyDescent="0.3">
      <c r="B28" t="s">
        <v>228</v>
      </c>
      <c r="C28" s="4">
        <v>18025</v>
      </c>
    </row>
    <row r="29" spans="1:3" x14ac:dyDescent="0.3">
      <c r="B29" t="s">
        <v>219</v>
      </c>
      <c r="C29" s="6">
        <f>C28*4.75%*296/365</f>
        <v>694.33287671232881</v>
      </c>
    </row>
    <row r="30" spans="1:3" x14ac:dyDescent="0.3">
      <c r="B30" t="s">
        <v>175</v>
      </c>
      <c r="C30" s="4">
        <f>C28-C29</f>
        <v>17330.667123287672</v>
      </c>
    </row>
    <row r="31" spans="1:3" x14ac:dyDescent="0.3">
      <c r="B31" t="s">
        <v>181</v>
      </c>
      <c r="C31" s="6">
        <f>C28*4.75%*8</f>
        <v>6849.5</v>
      </c>
    </row>
    <row r="32" spans="1:3" x14ac:dyDescent="0.3">
      <c r="B32" t="s">
        <v>177</v>
      </c>
      <c r="C32" s="6">
        <f>C30-C31</f>
        <v>10481.167123287672</v>
      </c>
    </row>
    <row r="33" spans="2:3" ht="15" thickBot="1" x14ac:dyDescent="0.35">
      <c r="B33" s="1" t="s">
        <v>183</v>
      </c>
      <c r="C33" s="13">
        <f>C29+C31</f>
        <v>7543.8328767123285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sheetPr>
  <dimension ref="A2:F308"/>
  <sheetViews>
    <sheetView topLeftCell="A289" workbookViewId="0">
      <selection activeCell="A19" sqref="A19"/>
    </sheetView>
  </sheetViews>
  <sheetFormatPr defaultRowHeight="14.4" x14ac:dyDescent="0.3"/>
  <cols>
    <col min="2" max="2" width="44.5546875" bestFit="1" customWidth="1"/>
    <col min="3" max="3" width="15" bestFit="1" customWidth="1"/>
    <col min="4" max="4" width="10" bestFit="1" customWidth="1"/>
    <col min="5" max="5" width="44.5546875" bestFit="1" customWidth="1"/>
    <col min="6" max="6" width="10" bestFit="1" customWidth="1"/>
  </cols>
  <sheetData>
    <row r="2" spans="1:6" x14ac:dyDescent="0.3">
      <c r="A2">
        <v>1</v>
      </c>
      <c r="B2" s="16" t="s">
        <v>229</v>
      </c>
      <c r="C2" s="4"/>
      <c r="E2" s="16" t="s">
        <v>279</v>
      </c>
      <c r="F2" s="4"/>
    </row>
    <row r="3" spans="1:6" x14ac:dyDescent="0.3">
      <c r="B3" t="s">
        <v>174</v>
      </c>
      <c r="C3" s="4">
        <v>323901106</v>
      </c>
      <c r="E3" t="s">
        <v>281</v>
      </c>
      <c r="F3" s="4">
        <v>1975218</v>
      </c>
    </row>
    <row r="4" spans="1:6" x14ac:dyDescent="0.3">
      <c r="B4" t="s">
        <v>219</v>
      </c>
      <c r="C4" s="6">
        <f>C3*5.28%*362/365</f>
        <v>16961414.190798905</v>
      </c>
      <c r="E4" t="s">
        <v>221</v>
      </c>
      <c r="F4" s="6">
        <f>F3*4.75%*247/365</f>
        <v>63491.082698630133</v>
      </c>
    </row>
    <row r="5" spans="1:6" x14ac:dyDescent="0.3">
      <c r="B5" t="s">
        <v>175</v>
      </c>
      <c r="C5" s="4">
        <f>C3-C4</f>
        <v>306939691.80920112</v>
      </c>
      <c r="E5" t="s">
        <v>176</v>
      </c>
      <c r="F5" s="4">
        <f>F3-F4</f>
        <v>1911726.9173013698</v>
      </c>
    </row>
    <row r="6" spans="1:6" x14ac:dyDescent="0.3">
      <c r="B6" t="s">
        <v>181</v>
      </c>
      <c r="C6" s="6">
        <f>C3*5.28%*8</f>
        <v>136815827.1744</v>
      </c>
      <c r="E6" t="s">
        <v>189</v>
      </c>
      <c r="F6" s="6">
        <f>F3*4.75%*7</f>
        <v>656759.98499999999</v>
      </c>
    </row>
    <row r="7" spans="1:6" x14ac:dyDescent="0.3">
      <c r="B7" t="s">
        <v>177</v>
      </c>
      <c r="C7" s="6">
        <f>C5-C6</f>
        <v>170123864.63480112</v>
      </c>
      <c r="E7" t="s">
        <v>177</v>
      </c>
      <c r="F7" s="6">
        <f>F5-F6</f>
        <v>1254966.93230137</v>
      </c>
    </row>
    <row r="8" spans="1:6" ht="15" thickBot="1" x14ac:dyDescent="0.35">
      <c r="B8" s="1" t="s">
        <v>183</v>
      </c>
      <c r="C8" s="13">
        <f>C4+C6</f>
        <v>153777241.36519891</v>
      </c>
      <c r="E8" s="1" t="s">
        <v>183</v>
      </c>
      <c r="F8" s="13">
        <f>F4+F6</f>
        <v>720251.06769863016</v>
      </c>
    </row>
    <row r="10" spans="1:6" x14ac:dyDescent="0.3">
      <c r="A10">
        <v>2</v>
      </c>
      <c r="B10" s="16" t="s">
        <v>211</v>
      </c>
      <c r="C10" s="4"/>
      <c r="E10" s="16" t="s">
        <v>280</v>
      </c>
      <c r="F10" s="4"/>
    </row>
    <row r="11" spans="1:6" x14ac:dyDescent="0.3">
      <c r="B11" t="s">
        <v>231</v>
      </c>
      <c r="C11" s="4">
        <v>52568</v>
      </c>
      <c r="E11" t="s">
        <v>265</v>
      </c>
      <c r="F11" s="4">
        <v>177559</v>
      </c>
    </row>
    <row r="12" spans="1:6" x14ac:dyDescent="0.3">
      <c r="B12" t="s">
        <v>219</v>
      </c>
      <c r="C12" s="6">
        <f>C11*5.28%*359/365</f>
        <v>2729.9642564383562</v>
      </c>
      <c r="E12" t="s">
        <v>221</v>
      </c>
      <c r="F12" s="6">
        <f>F11*4.75%*270/365</f>
        <v>6238.8881506849311</v>
      </c>
    </row>
    <row r="13" spans="1:6" x14ac:dyDescent="0.3">
      <c r="B13" t="s">
        <v>175</v>
      </c>
      <c r="C13" s="4">
        <f>C11-C12</f>
        <v>49838.035743561646</v>
      </c>
      <c r="E13" t="s">
        <v>176</v>
      </c>
      <c r="F13" s="4">
        <f>F11-F12</f>
        <v>171320.11184931506</v>
      </c>
    </row>
    <row r="14" spans="1:6" x14ac:dyDescent="0.3">
      <c r="B14" t="s">
        <v>181</v>
      </c>
      <c r="C14" s="6">
        <f>C11*5.28%*8</f>
        <v>22204.7232</v>
      </c>
      <c r="E14" t="s">
        <v>189</v>
      </c>
      <c r="F14" s="6">
        <f>F11*4.75%*7+1</f>
        <v>59039.3675</v>
      </c>
    </row>
    <row r="15" spans="1:6" x14ac:dyDescent="0.3">
      <c r="B15" t="s">
        <v>177</v>
      </c>
      <c r="C15" s="6">
        <f>C13-C14</f>
        <v>27633.312543561646</v>
      </c>
      <c r="E15" t="s">
        <v>177</v>
      </c>
      <c r="F15" s="6">
        <f>F13-F14</f>
        <v>112280.74434931506</v>
      </c>
    </row>
    <row r="16" spans="1:6" ht="15" thickBot="1" x14ac:dyDescent="0.35">
      <c r="B16" s="1" t="s">
        <v>183</v>
      </c>
      <c r="C16" s="13">
        <f>C12+C14</f>
        <v>24934.687456438358</v>
      </c>
      <c r="E16" s="1" t="s">
        <v>183</v>
      </c>
      <c r="F16" s="13">
        <f>F12+F14</f>
        <v>65278.255650684929</v>
      </c>
    </row>
    <row r="17" spans="1:6" x14ac:dyDescent="0.3">
      <c r="E17" t="s">
        <v>178</v>
      </c>
      <c r="F17" s="4">
        <f>F16+F8</f>
        <v>785529.32334931509</v>
      </c>
    </row>
    <row r="18" spans="1:6" x14ac:dyDescent="0.3">
      <c r="A18">
        <v>3</v>
      </c>
      <c r="B18" s="16" t="s">
        <v>230</v>
      </c>
      <c r="C18" s="4"/>
    </row>
    <row r="19" spans="1:6" x14ac:dyDescent="0.3">
      <c r="B19" t="s">
        <v>232</v>
      </c>
      <c r="C19" s="4">
        <v>83914</v>
      </c>
      <c r="F19" s="4"/>
    </row>
    <row r="20" spans="1:6" x14ac:dyDescent="0.3">
      <c r="B20" t="s">
        <v>219</v>
      </c>
      <c r="C20" s="6">
        <f>C19*5.28%*337/365</f>
        <v>4090.7730147945203</v>
      </c>
    </row>
    <row r="21" spans="1:6" x14ac:dyDescent="0.3">
      <c r="B21" t="s">
        <v>175</v>
      </c>
      <c r="C21" s="4">
        <f>C19-C20</f>
        <v>79823.226985205474</v>
      </c>
    </row>
    <row r="22" spans="1:6" x14ac:dyDescent="0.3">
      <c r="B22" t="s">
        <v>181</v>
      </c>
      <c r="C22" s="6">
        <f>C19*5.28%*8</f>
        <v>35445.2736</v>
      </c>
    </row>
    <row r="23" spans="1:6" x14ac:dyDescent="0.3">
      <c r="B23" t="s">
        <v>177</v>
      </c>
      <c r="C23" s="6">
        <f>C21-C22</f>
        <v>44377.953385205474</v>
      </c>
    </row>
    <row r="24" spans="1:6" ht="15" thickBot="1" x14ac:dyDescent="0.35">
      <c r="B24" s="1" t="s">
        <v>183</v>
      </c>
      <c r="C24" s="13">
        <f>C20+C22</f>
        <v>39536.046614794519</v>
      </c>
    </row>
    <row r="26" spans="1:6" x14ac:dyDescent="0.3">
      <c r="A26">
        <v>4</v>
      </c>
      <c r="B26" s="16" t="s">
        <v>233</v>
      </c>
      <c r="C26" s="4"/>
    </row>
    <row r="27" spans="1:6" x14ac:dyDescent="0.3">
      <c r="B27" t="s">
        <v>234</v>
      </c>
      <c r="C27" s="4">
        <v>36290</v>
      </c>
    </row>
    <row r="28" spans="1:6" x14ac:dyDescent="0.3">
      <c r="B28" t="s">
        <v>219</v>
      </c>
      <c r="C28" s="6">
        <f>C27*5.28%*295/365</f>
        <v>1548.6384657534247</v>
      </c>
    </row>
    <row r="29" spans="1:6" x14ac:dyDescent="0.3">
      <c r="B29" t="s">
        <v>175</v>
      </c>
      <c r="C29" s="4">
        <f>C27-C28</f>
        <v>34741.361534246578</v>
      </c>
    </row>
    <row r="30" spans="1:6" x14ac:dyDescent="0.3">
      <c r="B30" t="s">
        <v>181</v>
      </c>
      <c r="C30" s="6">
        <f>C27*5.28%*8</f>
        <v>15328.896000000001</v>
      </c>
    </row>
    <row r="31" spans="1:6" x14ac:dyDescent="0.3">
      <c r="B31" t="s">
        <v>177</v>
      </c>
      <c r="C31" s="6">
        <f>C29-C30</f>
        <v>19412.465534246578</v>
      </c>
    </row>
    <row r="32" spans="1:6" ht="15" thickBot="1" x14ac:dyDescent="0.35">
      <c r="B32" s="1" t="s">
        <v>183</v>
      </c>
      <c r="C32" s="13">
        <f>C28+C30</f>
        <v>16877.534465753426</v>
      </c>
    </row>
    <row r="34" spans="1:3" x14ac:dyDescent="0.3">
      <c r="A34">
        <v>5</v>
      </c>
      <c r="B34" s="16" t="s">
        <v>214</v>
      </c>
      <c r="C34" s="4"/>
    </row>
    <row r="35" spans="1:3" x14ac:dyDescent="0.3">
      <c r="B35" t="s">
        <v>235</v>
      </c>
      <c r="C35" s="4">
        <v>99954</v>
      </c>
    </row>
    <row r="36" spans="1:3" x14ac:dyDescent="0.3">
      <c r="B36" t="s">
        <v>219</v>
      </c>
      <c r="C36" s="6">
        <f>C35*5.28%*266/365</f>
        <v>3846.1203813698635</v>
      </c>
    </row>
    <row r="37" spans="1:3" x14ac:dyDescent="0.3">
      <c r="B37" t="s">
        <v>175</v>
      </c>
      <c r="C37" s="4">
        <f>C35-C36</f>
        <v>96107.879618630133</v>
      </c>
    </row>
    <row r="38" spans="1:3" x14ac:dyDescent="0.3">
      <c r="B38" t="s">
        <v>181</v>
      </c>
      <c r="C38" s="6">
        <f>C35*5.28%*8</f>
        <v>42220.569600000003</v>
      </c>
    </row>
    <row r="39" spans="1:3" x14ac:dyDescent="0.3">
      <c r="B39" t="s">
        <v>177</v>
      </c>
      <c r="C39" s="6">
        <f>C37-C38</f>
        <v>53887.310018630131</v>
      </c>
    </row>
    <row r="40" spans="1:3" ht="15" thickBot="1" x14ac:dyDescent="0.35">
      <c r="B40" s="1" t="s">
        <v>183</v>
      </c>
      <c r="C40" s="13">
        <f>C36+C38</f>
        <v>46066.689981369869</v>
      </c>
    </row>
    <row r="42" spans="1:3" x14ac:dyDescent="0.3">
      <c r="A42">
        <v>6</v>
      </c>
      <c r="B42" s="16" t="s">
        <v>215</v>
      </c>
      <c r="C42" s="4"/>
    </row>
    <row r="43" spans="1:3" x14ac:dyDescent="0.3">
      <c r="B43" t="s">
        <v>236</v>
      </c>
      <c r="C43" s="4">
        <v>68676</v>
      </c>
    </row>
    <row r="44" spans="1:3" x14ac:dyDescent="0.3">
      <c r="B44" t="s">
        <v>219</v>
      </c>
      <c r="C44" s="6">
        <f>C43*5.28%*268/365</f>
        <v>2662.4462202739728</v>
      </c>
    </row>
    <row r="45" spans="1:3" x14ac:dyDescent="0.3">
      <c r="B45" t="s">
        <v>175</v>
      </c>
      <c r="C45" s="4">
        <f>C43-C44</f>
        <v>66013.553779726033</v>
      </c>
    </row>
    <row r="46" spans="1:3" x14ac:dyDescent="0.3">
      <c r="B46" t="s">
        <v>181</v>
      </c>
      <c r="C46" s="6">
        <f>C43*5.28%*8</f>
        <v>29008.742399999999</v>
      </c>
    </row>
    <row r="47" spans="1:3" x14ac:dyDescent="0.3">
      <c r="B47" t="s">
        <v>177</v>
      </c>
      <c r="C47" s="6">
        <f>C45-C46</f>
        <v>37004.81137972603</v>
      </c>
    </row>
    <row r="48" spans="1:3" ht="15" thickBot="1" x14ac:dyDescent="0.35">
      <c r="B48" s="1" t="s">
        <v>183</v>
      </c>
      <c r="C48" s="13">
        <f>C44+C46</f>
        <v>31671.188620273973</v>
      </c>
    </row>
    <row r="50" spans="1:3" x14ac:dyDescent="0.3">
      <c r="A50">
        <v>7</v>
      </c>
      <c r="B50" s="16" t="s">
        <v>216</v>
      </c>
      <c r="C50" s="4"/>
    </row>
    <row r="51" spans="1:3" x14ac:dyDescent="0.3">
      <c r="B51" t="s">
        <v>237</v>
      </c>
      <c r="C51" s="4">
        <v>613265</v>
      </c>
    </row>
    <row r="52" spans="1:3" x14ac:dyDescent="0.3">
      <c r="B52" t="s">
        <v>219</v>
      </c>
      <c r="C52" s="6">
        <f>C51*5.28%*210/365</f>
        <v>18629.814575342465</v>
      </c>
    </row>
    <row r="53" spans="1:3" x14ac:dyDescent="0.3">
      <c r="B53" t="s">
        <v>175</v>
      </c>
      <c r="C53" s="4">
        <f>C51-C52</f>
        <v>594635.18542465754</v>
      </c>
    </row>
    <row r="54" spans="1:3" x14ac:dyDescent="0.3">
      <c r="B54" t="s">
        <v>181</v>
      </c>
      <c r="C54" s="6">
        <f>C51*5.28%*8</f>
        <v>259043.136</v>
      </c>
    </row>
    <row r="55" spans="1:3" x14ac:dyDescent="0.3">
      <c r="B55" t="s">
        <v>177</v>
      </c>
      <c r="C55" s="6">
        <f>C53-C54</f>
        <v>335592.04942465754</v>
      </c>
    </row>
    <row r="56" spans="1:3" ht="15" thickBot="1" x14ac:dyDescent="0.35">
      <c r="B56" s="1" t="s">
        <v>183</v>
      </c>
      <c r="C56" s="13">
        <f>C52+C54</f>
        <v>277672.95057534246</v>
      </c>
    </row>
    <row r="58" spans="1:3" x14ac:dyDescent="0.3">
      <c r="A58">
        <v>8</v>
      </c>
      <c r="B58" s="16" t="s">
        <v>217</v>
      </c>
      <c r="C58" s="4"/>
    </row>
    <row r="59" spans="1:3" x14ac:dyDescent="0.3">
      <c r="B59" t="s">
        <v>238</v>
      </c>
      <c r="C59" s="4">
        <v>53877</v>
      </c>
    </row>
    <row r="60" spans="1:3" x14ac:dyDescent="0.3">
      <c r="B60" t="s">
        <v>219</v>
      </c>
      <c r="C60" s="6">
        <f>C59*5.28%*176/365</f>
        <v>1371.693659178082</v>
      </c>
    </row>
    <row r="61" spans="1:3" x14ac:dyDescent="0.3">
      <c r="B61" t="s">
        <v>175</v>
      </c>
      <c r="C61" s="4">
        <f>C59-C60</f>
        <v>52505.306340821917</v>
      </c>
    </row>
    <row r="62" spans="1:3" x14ac:dyDescent="0.3">
      <c r="B62" t="s">
        <v>181</v>
      </c>
      <c r="C62" s="6">
        <f>C59*5.28%*8</f>
        <v>22757.644799999998</v>
      </c>
    </row>
    <row r="63" spans="1:3" x14ac:dyDescent="0.3">
      <c r="B63" t="s">
        <v>177</v>
      </c>
      <c r="C63" s="6">
        <f>C61-C62</f>
        <v>29747.661540821919</v>
      </c>
    </row>
    <row r="64" spans="1:3" ht="15" thickBot="1" x14ac:dyDescent="0.35">
      <c r="B64" s="1" t="s">
        <v>183</v>
      </c>
      <c r="C64" s="13">
        <f>C60+C62</f>
        <v>24129.338459178081</v>
      </c>
    </row>
    <row r="66" spans="1:3" x14ac:dyDescent="0.3">
      <c r="A66">
        <v>9</v>
      </c>
      <c r="B66" s="16" t="s">
        <v>218</v>
      </c>
      <c r="C66" s="4"/>
    </row>
    <row r="67" spans="1:3" x14ac:dyDescent="0.3">
      <c r="B67" t="s">
        <v>239</v>
      </c>
      <c r="C67" s="4">
        <v>177910</v>
      </c>
    </row>
    <row r="68" spans="1:3" x14ac:dyDescent="0.3">
      <c r="B68" t="s">
        <v>219</v>
      </c>
      <c r="C68" s="6">
        <f>C67*5.28%*163/365</f>
        <v>4194.9715726027389</v>
      </c>
    </row>
    <row r="69" spans="1:3" x14ac:dyDescent="0.3">
      <c r="B69" t="s">
        <v>175</v>
      </c>
      <c r="C69" s="4">
        <f>C67-C68</f>
        <v>173715.02842739725</v>
      </c>
    </row>
    <row r="70" spans="1:3" x14ac:dyDescent="0.3">
      <c r="B70" t="s">
        <v>181</v>
      </c>
      <c r="C70" s="4">
        <f>C67*5.28%*8</f>
        <v>75149.183999999994</v>
      </c>
    </row>
    <row r="71" spans="1:3" x14ac:dyDescent="0.3">
      <c r="B71" t="s">
        <v>177</v>
      </c>
      <c r="C71" s="18">
        <f>C69-C70</f>
        <v>98565.844427397256</v>
      </c>
    </row>
    <row r="72" spans="1:3" ht="15" thickBot="1" x14ac:dyDescent="0.35">
      <c r="B72" s="1" t="s">
        <v>183</v>
      </c>
      <c r="C72" s="12">
        <f>C68+C70</f>
        <v>79344.155572602729</v>
      </c>
    </row>
    <row r="74" spans="1:3" x14ac:dyDescent="0.3">
      <c r="A74">
        <v>10</v>
      </c>
      <c r="B74" s="16" t="s">
        <v>215</v>
      </c>
      <c r="C74" s="4"/>
    </row>
    <row r="75" spans="1:3" x14ac:dyDescent="0.3">
      <c r="B75" t="s">
        <v>240</v>
      </c>
      <c r="C75" s="4">
        <v>32189</v>
      </c>
    </row>
    <row r="76" spans="1:3" x14ac:dyDescent="0.3">
      <c r="B76" t="s">
        <v>219</v>
      </c>
      <c r="C76" s="6">
        <f>C75*5.28%*100/365</f>
        <v>465.63813698630133</v>
      </c>
    </row>
    <row r="77" spans="1:3" x14ac:dyDescent="0.3">
      <c r="B77" t="s">
        <v>175</v>
      </c>
      <c r="C77" s="4">
        <f>C75-C76</f>
        <v>31723.361863013699</v>
      </c>
    </row>
    <row r="78" spans="1:3" x14ac:dyDescent="0.3">
      <c r="B78" t="s">
        <v>181</v>
      </c>
      <c r="C78" s="4">
        <f>C75*5.28%*8</f>
        <v>13596.633599999999</v>
      </c>
    </row>
    <row r="79" spans="1:3" x14ac:dyDescent="0.3">
      <c r="B79" t="s">
        <v>177</v>
      </c>
      <c r="C79" s="18">
        <f>C77-C78</f>
        <v>18126.728263013698</v>
      </c>
    </row>
    <row r="80" spans="1:3" ht="15" thickBot="1" x14ac:dyDescent="0.35">
      <c r="B80" s="1" t="s">
        <v>183</v>
      </c>
      <c r="C80" s="12">
        <f>C76+C78</f>
        <v>14062.2717369863</v>
      </c>
    </row>
    <row r="81" spans="1:3" ht="15" thickBot="1" x14ac:dyDescent="0.35">
      <c r="B81" s="1" t="s">
        <v>178</v>
      </c>
      <c r="C81" s="20">
        <f>C80+C72+C64+C56+C48+C40+C32+C8+C16+C24</f>
        <v>154331536.22868165</v>
      </c>
    </row>
    <row r="82" spans="1:3" ht="15" thickTop="1" x14ac:dyDescent="0.3"/>
    <row r="83" spans="1:3" x14ac:dyDescent="0.3">
      <c r="A83">
        <v>1</v>
      </c>
      <c r="B83" s="16" t="s">
        <v>241</v>
      </c>
      <c r="C83" s="4"/>
    </row>
    <row r="84" spans="1:3" x14ac:dyDescent="0.3">
      <c r="B84" t="s">
        <v>242</v>
      </c>
      <c r="C84" s="4">
        <v>37202446</v>
      </c>
    </row>
    <row r="85" spans="1:3" x14ac:dyDescent="0.3">
      <c r="B85" t="s">
        <v>219</v>
      </c>
      <c r="C85" s="6">
        <f>C84*5.28%*290/365</f>
        <v>1560668.0908273975</v>
      </c>
    </row>
    <row r="86" spans="1:3" x14ac:dyDescent="0.3">
      <c r="B86" t="s">
        <v>175</v>
      </c>
      <c r="C86" s="4">
        <f>C84-C85</f>
        <v>35641777.909172602</v>
      </c>
    </row>
    <row r="87" spans="1:3" x14ac:dyDescent="0.3">
      <c r="B87" t="s">
        <v>181</v>
      </c>
      <c r="C87" s="4">
        <f>C84*5.28%*8</f>
        <v>15714313.190400001</v>
      </c>
    </row>
    <row r="88" spans="1:3" x14ac:dyDescent="0.3">
      <c r="B88" t="s">
        <v>177</v>
      </c>
      <c r="C88" s="18">
        <f>C86-C87</f>
        <v>19927464.718772601</v>
      </c>
    </row>
    <row r="89" spans="1:3" ht="15" thickBot="1" x14ac:dyDescent="0.35">
      <c r="B89" s="1" t="s">
        <v>183</v>
      </c>
      <c r="C89" s="12">
        <f>C85+C87</f>
        <v>17274981.281227399</v>
      </c>
    </row>
    <row r="91" spans="1:3" x14ac:dyDescent="0.3">
      <c r="A91">
        <v>2</v>
      </c>
      <c r="B91" s="16" t="s">
        <v>210</v>
      </c>
      <c r="C91" s="4"/>
    </row>
    <row r="92" spans="1:3" x14ac:dyDescent="0.3">
      <c r="B92" t="s">
        <v>243</v>
      </c>
      <c r="C92" s="4">
        <v>649180</v>
      </c>
    </row>
    <row r="93" spans="1:3" x14ac:dyDescent="0.3">
      <c r="B93" t="s">
        <v>221</v>
      </c>
      <c r="C93" s="6">
        <f>C92*5.28%*99/365</f>
        <v>9296.9690301369865</v>
      </c>
    </row>
    <row r="94" spans="1:3" x14ac:dyDescent="0.3">
      <c r="B94" t="s">
        <v>176</v>
      </c>
      <c r="C94" s="4">
        <f>C92-C93</f>
        <v>639883.03096986306</v>
      </c>
    </row>
    <row r="95" spans="1:3" x14ac:dyDescent="0.3">
      <c r="B95" t="s">
        <v>189</v>
      </c>
      <c r="C95" s="4">
        <f>C92*5.28%*7</f>
        <v>239936.92799999999</v>
      </c>
    </row>
    <row r="96" spans="1:3" x14ac:dyDescent="0.3">
      <c r="B96" t="s">
        <v>177</v>
      </c>
      <c r="C96" s="18">
        <f>C94-C95</f>
        <v>399946.1029698631</v>
      </c>
    </row>
    <row r="97" spans="1:3" ht="15" thickBot="1" x14ac:dyDescent="0.35">
      <c r="B97" s="1" t="s">
        <v>183</v>
      </c>
      <c r="C97" s="12">
        <f>C93+C95</f>
        <v>249233.89703013698</v>
      </c>
    </row>
    <row r="98" spans="1:3" ht="15" thickBot="1" x14ac:dyDescent="0.35">
      <c r="B98" s="1" t="s">
        <v>178</v>
      </c>
      <c r="C98" s="20">
        <f>C97+C89</f>
        <v>17524215.178257536</v>
      </c>
    </row>
    <row r="99" spans="1:3" ht="15" thickTop="1" x14ac:dyDescent="0.3"/>
    <row r="100" spans="1:3" x14ac:dyDescent="0.3">
      <c r="A100">
        <v>1</v>
      </c>
      <c r="B100" s="16" t="s">
        <v>244</v>
      </c>
      <c r="C100" s="4"/>
    </row>
    <row r="101" spans="1:3" x14ac:dyDescent="0.3">
      <c r="B101" t="s">
        <v>174</v>
      </c>
      <c r="C101" s="4">
        <v>44338054</v>
      </c>
    </row>
    <row r="102" spans="1:3" x14ac:dyDescent="0.3">
      <c r="B102" t="s">
        <v>219</v>
      </c>
      <c r="C102" s="6">
        <f>C101*5.28%*362/365</f>
        <v>2321807.7505052052</v>
      </c>
    </row>
    <row r="103" spans="1:3" x14ac:dyDescent="0.3">
      <c r="B103" t="s">
        <v>175</v>
      </c>
      <c r="C103" s="4">
        <f>C101-C102</f>
        <v>42016246.249494791</v>
      </c>
    </row>
    <row r="104" spans="1:3" x14ac:dyDescent="0.3">
      <c r="B104" t="s">
        <v>181</v>
      </c>
      <c r="C104" s="4">
        <f>C101*5.28%*8</f>
        <v>18728394.009599999</v>
      </c>
    </row>
    <row r="105" spans="1:3" x14ac:dyDescent="0.3">
      <c r="B105" t="s">
        <v>177</v>
      </c>
      <c r="C105" s="18">
        <f>C103-C104</f>
        <v>23287852.239894792</v>
      </c>
    </row>
    <row r="106" spans="1:3" ht="15" thickBot="1" x14ac:dyDescent="0.35">
      <c r="B106" s="1" t="s">
        <v>183</v>
      </c>
      <c r="C106" s="12">
        <f>C102+C104</f>
        <v>21050201.760105204</v>
      </c>
    </row>
    <row r="108" spans="1:3" x14ac:dyDescent="0.3">
      <c r="A108">
        <v>2</v>
      </c>
      <c r="B108" s="16" t="s">
        <v>244</v>
      </c>
      <c r="C108" s="4"/>
    </row>
    <row r="109" spans="1:3" x14ac:dyDescent="0.3">
      <c r="B109" t="s">
        <v>245</v>
      </c>
      <c r="C109" s="4">
        <v>72441</v>
      </c>
    </row>
    <row r="110" spans="1:3" x14ac:dyDescent="0.3">
      <c r="B110" t="s">
        <v>219</v>
      </c>
      <c r="C110" s="6">
        <f>C109*5.28%*294/365</f>
        <v>3080.8661128767121</v>
      </c>
    </row>
    <row r="111" spans="1:3" x14ac:dyDescent="0.3">
      <c r="B111" t="s">
        <v>175</v>
      </c>
      <c r="C111" s="4">
        <f>C109-C110</f>
        <v>69360.133887123287</v>
      </c>
    </row>
    <row r="112" spans="1:3" x14ac:dyDescent="0.3">
      <c r="B112" t="s">
        <v>181</v>
      </c>
      <c r="C112" s="4">
        <f>C109*5.28%*8</f>
        <v>30599.078399999999</v>
      </c>
    </row>
    <row r="113" spans="1:3" x14ac:dyDescent="0.3">
      <c r="B113" t="s">
        <v>177</v>
      </c>
      <c r="C113" s="18">
        <f>C111-C112</f>
        <v>38761.055487123289</v>
      </c>
    </row>
    <row r="114" spans="1:3" ht="15" thickBot="1" x14ac:dyDescent="0.35">
      <c r="B114" s="1" t="s">
        <v>183</v>
      </c>
      <c r="C114" s="12">
        <f>C110+C112</f>
        <v>33679.944512876711</v>
      </c>
    </row>
    <row r="115" spans="1:3" ht="15" thickBot="1" x14ac:dyDescent="0.35">
      <c r="B115" s="1" t="s">
        <v>178</v>
      </c>
      <c r="C115" s="20">
        <f>C114+C106</f>
        <v>21083881.704618081</v>
      </c>
    </row>
    <row r="116" spans="1:3" ht="15" thickTop="1" x14ac:dyDescent="0.3"/>
    <row r="117" spans="1:3" x14ac:dyDescent="0.3">
      <c r="A117">
        <v>1</v>
      </c>
      <c r="B117" s="16" t="s">
        <v>247</v>
      </c>
    </row>
    <row r="118" spans="1:3" x14ac:dyDescent="0.3">
      <c r="B118" t="s">
        <v>174</v>
      </c>
      <c r="C118" s="4">
        <v>19911593</v>
      </c>
    </row>
    <row r="119" spans="1:3" x14ac:dyDescent="0.3">
      <c r="B119" t="s">
        <v>219</v>
      </c>
      <c r="C119" s="6">
        <f>C118*5.28%*362/365</f>
        <v>1042691.0245610957</v>
      </c>
    </row>
    <row r="120" spans="1:3" x14ac:dyDescent="0.3">
      <c r="B120" t="s">
        <v>175</v>
      </c>
      <c r="C120" s="4">
        <f>C118-C119</f>
        <v>18868901.975438904</v>
      </c>
    </row>
    <row r="121" spans="1:3" x14ac:dyDescent="0.3">
      <c r="B121" t="s">
        <v>181</v>
      </c>
      <c r="C121" s="6">
        <f>C118*5.28%*8</f>
        <v>8410656.8831999991</v>
      </c>
    </row>
    <row r="122" spans="1:3" x14ac:dyDescent="0.3">
      <c r="B122" t="s">
        <v>177</v>
      </c>
      <c r="C122" s="21">
        <f>C120-C121</f>
        <v>10458245.092238905</v>
      </c>
    </row>
    <row r="123" spans="1:3" ht="15" thickBot="1" x14ac:dyDescent="0.35">
      <c r="B123" s="1" t="s">
        <v>183</v>
      </c>
      <c r="C123" s="12">
        <f>C119+C121</f>
        <v>9453347.9077610951</v>
      </c>
    </row>
    <row r="124" spans="1:3" x14ac:dyDescent="0.3">
      <c r="C124" s="4"/>
    </row>
    <row r="125" spans="1:3" x14ac:dyDescent="0.3">
      <c r="A125">
        <v>2</v>
      </c>
      <c r="B125" s="2" t="s">
        <v>247</v>
      </c>
      <c r="C125" s="4"/>
    </row>
    <row r="126" spans="1:3" x14ac:dyDescent="0.3">
      <c r="B126" t="s">
        <v>248</v>
      </c>
      <c r="C126" s="4">
        <v>18706</v>
      </c>
    </row>
    <row r="127" spans="1:3" x14ac:dyDescent="0.3">
      <c r="B127" t="s">
        <v>219</v>
      </c>
      <c r="C127" s="6">
        <f>C126*5.28%*230/365</f>
        <v>622.37168219178079</v>
      </c>
    </row>
    <row r="128" spans="1:3" x14ac:dyDescent="0.3">
      <c r="B128" t="s">
        <v>175</v>
      </c>
      <c r="C128" s="4">
        <f>C126-C127</f>
        <v>18083.628317808219</v>
      </c>
    </row>
    <row r="129" spans="1:5" x14ac:dyDescent="0.3">
      <c r="B129" t="s">
        <v>181</v>
      </c>
      <c r="C129" s="4">
        <f>C126*5.28%*8</f>
        <v>7901.4143999999997</v>
      </c>
    </row>
    <row r="130" spans="1:5" x14ac:dyDescent="0.3">
      <c r="B130" t="s">
        <v>177</v>
      </c>
      <c r="C130" s="6">
        <f>C128-C129</f>
        <v>10182.21391780822</v>
      </c>
    </row>
    <row r="131" spans="1:5" ht="15" thickBot="1" x14ac:dyDescent="0.35">
      <c r="B131" s="1" t="s">
        <v>183</v>
      </c>
      <c r="C131" s="13">
        <f>C127+C129</f>
        <v>8523.7860821917802</v>
      </c>
    </row>
    <row r="132" spans="1:5" ht="15" thickBot="1" x14ac:dyDescent="0.35">
      <c r="B132" s="1" t="s">
        <v>178</v>
      </c>
      <c r="C132" s="20">
        <f>C123+C131</f>
        <v>9461871.6938432865</v>
      </c>
    </row>
    <row r="133" spans="1:5" ht="15" thickTop="1" x14ac:dyDescent="0.3"/>
    <row r="134" spans="1:5" x14ac:dyDescent="0.3">
      <c r="A134">
        <v>1</v>
      </c>
      <c r="B134" s="2" t="s">
        <v>19</v>
      </c>
    </row>
    <row r="135" spans="1:5" x14ac:dyDescent="0.3">
      <c r="B135" t="s">
        <v>174</v>
      </c>
      <c r="C135" s="4">
        <v>14843455</v>
      </c>
    </row>
    <row r="136" spans="1:5" x14ac:dyDescent="0.3">
      <c r="B136" t="s">
        <v>219</v>
      </c>
      <c r="C136" s="6">
        <f>C135*5.28%*362/365</f>
        <v>777292.77119999996</v>
      </c>
    </row>
    <row r="137" spans="1:5" x14ac:dyDescent="0.3">
      <c r="B137" t="s">
        <v>175</v>
      </c>
      <c r="C137" s="4">
        <f>C135-C136</f>
        <v>14066162.228800001</v>
      </c>
    </row>
    <row r="138" spans="1:5" x14ac:dyDescent="0.3">
      <c r="B138" t="s">
        <v>181</v>
      </c>
      <c r="C138" s="4">
        <f>C135*5.28%*8</f>
        <v>6269875.392</v>
      </c>
    </row>
    <row r="139" spans="1:5" x14ac:dyDescent="0.3">
      <c r="B139" t="s">
        <v>177</v>
      </c>
      <c r="C139" s="6">
        <f>C137-C138</f>
        <v>7796286.8368000006</v>
      </c>
    </row>
    <row r="140" spans="1:5" ht="15" thickBot="1" x14ac:dyDescent="0.35">
      <c r="B140" s="1" t="s">
        <v>183</v>
      </c>
      <c r="C140" s="13">
        <f>C136+C138</f>
        <v>7047168.1632000003</v>
      </c>
    </row>
    <row r="142" spans="1:5" x14ac:dyDescent="0.3">
      <c r="A142">
        <v>2</v>
      </c>
      <c r="B142" s="2" t="s">
        <v>19</v>
      </c>
    </row>
    <row r="143" spans="1:5" x14ac:dyDescent="0.3">
      <c r="B143" t="s">
        <v>249</v>
      </c>
      <c r="C143" s="4">
        <v>487711</v>
      </c>
      <c r="E143" s="3"/>
    </row>
    <row r="144" spans="1:5" x14ac:dyDescent="0.3">
      <c r="B144" t="s">
        <v>219</v>
      </c>
      <c r="C144" s="6">
        <f>C143*5.28%*165/365</f>
        <v>11640.926663013699</v>
      </c>
      <c r="E144" s="3"/>
    </row>
    <row r="145" spans="1:5" x14ac:dyDescent="0.3">
      <c r="B145" t="s">
        <v>175</v>
      </c>
      <c r="C145" s="4">
        <f>C143-C144</f>
        <v>476070.0733369863</v>
      </c>
      <c r="E145" s="17"/>
    </row>
    <row r="146" spans="1:5" x14ac:dyDescent="0.3">
      <c r="B146" t="s">
        <v>181</v>
      </c>
      <c r="C146" s="4">
        <f>C143*5.28%*8+1</f>
        <v>206010.12640000001</v>
      </c>
      <c r="E146" s="3"/>
    </row>
    <row r="147" spans="1:5" x14ac:dyDescent="0.3">
      <c r="B147" t="s">
        <v>177</v>
      </c>
      <c r="C147" s="6">
        <f>C145-C146</f>
        <v>270059.94693698629</v>
      </c>
      <c r="E147" s="3"/>
    </row>
    <row r="148" spans="1:5" ht="15" thickBot="1" x14ac:dyDescent="0.35">
      <c r="B148" s="1" t="s">
        <v>183</v>
      </c>
      <c r="C148" s="13">
        <f>C144+C146</f>
        <v>217651.05306301371</v>
      </c>
    </row>
    <row r="149" spans="1:5" ht="15" thickBot="1" x14ac:dyDescent="0.35">
      <c r="B149" s="1" t="s">
        <v>178</v>
      </c>
      <c r="C149" s="22">
        <f>C140+C148</f>
        <v>7264819.2162630139</v>
      </c>
      <c r="E149" s="4"/>
    </row>
    <row r="150" spans="1:5" ht="15" thickTop="1" x14ac:dyDescent="0.3"/>
    <row r="151" spans="1:5" x14ac:dyDescent="0.3">
      <c r="A151">
        <v>1</v>
      </c>
      <c r="B151" s="2" t="s">
        <v>250</v>
      </c>
    </row>
    <row r="152" spans="1:5" x14ac:dyDescent="0.3">
      <c r="B152" t="s">
        <v>174</v>
      </c>
      <c r="C152" s="23">
        <v>15616960.279999999</v>
      </c>
    </row>
    <row r="153" spans="1:5" x14ac:dyDescent="0.3">
      <c r="B153" t="s">
        <v>219</v>
      </c>
      <c r="C153" s="6">
        <f>C152*5.28%*362/365</f>
        <v>817798.16988440556</v>
      </c>
    </row>
    <row r="154" spans="1:5" x14ac:dyDescent="0.3">
      <c r="B154" t="s">
        <v>175</v>
      </c>
      <c r="C154" s="4">
        <f>C152-C153</f>
        <v>14799162.110115593</v>
      </c>
    </row>
    <row r="155" spans="1:5" x14ac:dyDescent="0.3">
      <c r="B155" t="s">
        <v>181</v>
      </c>
      <c r="C155" s="6">
        <f>C152*5.28%*8+1</f>
        <v>6596605.0222720001</v>
      </c>
    </row>
    <row r="156" spans="1:5" x14ac:dyDescent="0.3">
      <c r="B156" t="s">
        <v>177</v>
      </c>
      <c r="C156" s="6">
        <f>C154-C155</f>
        <v>8202557.0878435932</v>
      </c>
    </row>
    <row r="157" spans="1:5" ht="15" thickBot="1" x14ac:dyDescent="0.35">
      <c r="B157" s="1" t="s">
        <v>183</v>
      </c>
      <c r="C157" s="13">
        <f>C153+C155</f>
        <v>7414403.1921564061</v>
      </c>
    </row>
    <row r="159" spans="1:5" x14ac:dyDescent="0.3">
      <c r="A159">
        <v>2</v>
      </c>
      <c r="B159" s="2" t="s">
        <v>250</v>
      </c>
    </row>
    <row r="160" spans="1:5" x14ac:dyDescent="0.3">
      <c r="B160" t="s">
        <v>251</v>
      </c>
      <c r="C160" s="4">
        <v>20740</v>
      </c>
    </row>
    <row r="161" spans="1:3" x14ac:dyDescent="0.3">
      <c r="B161" t="s">
        <v>219</v>
      </c>
      <c r="C161" s="6">
        <f>C160*5.28%*250/365</f>
        <v>750.04931506849312</v>
      </c>
    </row>
    <row r="162" spans="1:3" x14ac:dyDescent="0.3">
      <c r="B162" t="s">
        <v>175</v>
      </c>
      <c r="C162" s="4">
        <f>C160-C161</f>
        <v>19989.950684931508</v>
      </c>
    </row>
    <row r="163" spans="1:3" x14ac:dyDescent="0.3">
      <c r="B163" t="s">
        <v>181</v>
      </c>
      <c r="C163" s="4">
        <f>C160*5.28%*8</f>
        <v>8760.5759999999991</v>
      </c>
    </row>
    <row r="164" spans="1:3" x14ac:dyDescent="0.3">
      <c r="B164" t="s">
        <v>177</v>
      </c>
      <c r="C164" s="6">
        <f>C162-C163</f>
        <v>11229.374684931508</v>
      </c>
    </row>
    <row r="165" spans="1:3" ht="15" thickBot="1" x14ac:dyDescent="0.35">
      <c r="B165" s="1" t="s">
        <v>183</v>
      </c>
      <c r="C165" s="12">
        <f>C161+C163</f>
        <v>9510.6253150684915</v>
      </c>
    </row>
    <row r="166" spans="1:3" ht="15" thickBot="1" x14ac:dyDescent="0.35">
      <c r="B166" s="1" t="s">
        <v>178</v>
      </c>
      <c r="C166" s="24">
        <f>C157+C165</f>
        <v>7423913.8174714744</v>
      </c>
    </row>
    <row r="167" spans="1:3" ht="15" thickTop="1" x14ac:dyDescent="0.3"/>
    <row r="168" spans="1:3" x14ac:dyDescent="0.3">
      <c r="A168">
        <v>1</v>
      </c>
      <c r="B168" s="2" t="s">
        <v>252</v>
      </c>
    </row>
    <row r="169" spans="1:3" x14ac:dyDescent="0.3">
      <c r="B169" t="s">
        <v>174</v>
      </c>
      <c r="C169">
        <v>114968</v>
      </c>
    </row>
    <row r="170" spans="1:3" x14ac:dyDescent="0.3">
      <c r="B170" t="s">
        <v>219</v>
      </c>
      <c r="C170" s="6">
        <f>C169*4.75%*362/365</f>
        <v>5416.0952328767125</v>
      </c>
    </row>
    <row r="171" spans="1:3" x14ac:dyDescent="0.3">
      <c r="B171" t="s">
        <v>175</v>
      </c>
      <c r="C171" s="4">
        <f>C169-C170</f>
        <v>109551.90476712328</v>
      </c>
    </row>
    <row r="172" spans="1:3" x14ac:dyDescent="0.3">
      <c r="B172" t="s">
        <v>181</v>
      </c>
      <c r="C172" s="6">
        <f>C169*4.75%*8</f>
        <v>43687.840000000004</v>
      </c>
    </row>
    <row r="173" spans="1:3" x14ac:dyDescent="0.3">
      <c r="B173" t="s">
        <v>177</v>
      </c>
      <c r="C173" s="6">
        <f>C171-C172</f>
        <v>65864.064767123287</v>
      </c>
    </row>
    <row r="174" spans="1:3" ht="15" thickBot="1" x14ac:dyDescent="0.35">
      <c r="B174" s="1" t="s">
        <v>183</v>
      </c>
      <c r="C174" s="12">
        <f>C170+C172</f>
        <v>49103.935232876713</v>
      </c>
    </row>
    <row r="176" spans="1:3" x14ac:dyDescent="0.3">
      <c r="A176">
        <v>2</v>
      </c>
      <c r="B176" s="2" t="s">
        <v>252</v>
      </c>
    </row>
    <row r="177" spans="1:3" x14ac:dyDescent="0.3">
      <c r="B177" t="s">
        <v>253</v>
      </c>
      <c r="C177">
        <v>120356</v>
      </c>
    </row>
    <row r="178" spans="1:3" x14ac:dyDescent="0.3">
      <c r="B178" t="s">
        <v>219</v>
      </c>
      <c r="C178" s="6">
        <f>C177*4.75%*316/365</f>
        <v>4949.4344109589047</v>
      </c>
    </row>
    <row r="179" spans="1:3" x14ac:dyDescent="0.3">
      <c r="B179" t="s">
        <v>175</v>
      </c>
      <c r="C179" s="4">
        <f>C177-C178</f>
        <v>115406.5655890411</v>
      </c>
    </row>
    <row r="180" spans="1:3" x14ac:dyDescent="0.3">
      <c r="B180" t="s">
        <v>181</v>
      </c>
      <c r="C180" s="6">
        <f>C177*4.75%*8</f>
        <v>45735.28</v>
      </c>
    </row>
    <row r="181" spans="1:3" x14ac:dyDescent="0.3">
      <c r="B181" t="s">
        <v>177</v>
      </c>
      <c r="C181" s="6">
        <f>C179-C180</f>
        <v>69671.285589041101</v>
      </c>
    </row>
    <row r="182" spans="1:3" ht="15" thickBot="1" x14ac:dyDescent="0.35">
      <c r="B182" s="1" t="s">
        <v>183</v>
      </c>
      <c r="C182" s="12">
        <f>C178+C180</f>
        <v>50684.714410958906</v>
      </c>
    </row>
    <row r="183" spans="1:3" ht="15" thickBot="1" x14ac:dyDescent="0.35">
      <c r="B183" s="1" t="s">
        <v>178</v>
      </c>
      <c r="C183" s="11">
        <f>C174+C182</f>
        <v>99788.649643835612</v>
      </c>
    </row>
    <row r="184" spans="1:3" ht="15" thickTop="1" x14ac:dyDescent="0.3"/>
    <row r="185" spans="1:3" x14ac:dyDescent="0.3">
      <c r="A185">
        <v>1</v>
      </c>
      <c r="B185" s="2" t="s">
        <v>254</v>
      </c>
    </row>
    <row r="186" spans="1:3" x14ac:dyDescent="0.3">
      <c r="B186" t="s">
        <v>195</v>
      </c>
      <c r="C186">
        <v>43026</v>
      </c>
    </row>
    <row r="187" spans="1:3" x14ac:dyDescent="0.3">
      <c r="B187" t="s">
        <v>219</v>
      </c>
      <c r="C187" s="6">
        <f>C186*4.75%*307/365</f>
        <v>1718.9771095890412</v>
      </c>
    </row>
    <row r="188" spans="1:3" x14ac:dyDescent="0.3">
      <c r="B188" t="s">
        <v>175</v>
      </c>
      <c r="C188" s="4">
        <f>C186-C187</f>
        <v>41307.022890410961</v>
      </c>
    </row>
    <row r="189" spans="1:3" x14ac:dyDescent="0.3">
      <c r="B189" t="s">
        <v>181</v>
      </c>
      <c r="C189" s="6">
        <f>C186*4.75%*8</f>
        <v>16349.880000000001</v>
      </c>
    </row>
    <row r="190" spans="1:3" x14ac:dyDescent="0.3">
      <c r="B190" t="s">
        <v>177</v>
      </c>
      <c r="C190" s="6">
        <f>C188-C189</f>
        <v>24957.14289041096</v>
      </c>
    </row>
    <row r="191" spans="1:3" ht="15" thickBot="1" x14ac:dyDescent="0.35">
      <c r="B191" s="1" t="s">
        <v>183</v>
      </c>
      <c r="C191" s="12">
        <f>C187+C189</f>
        <v>18068.857109589044</v>
      </c>
    </row>
    <row r="193" spans="1:3" x14ac:dyDescent="0.3">
      <c r="A193">
        <v>2</v>
      </c>
      <c r="B193" s="2" t="s">
        <v>255</v>
      </c>
    </row>
    <row r="194" spans="1:3" x14ac:dyDescent="0.3">
      <c r="B194" t="s">
        <v>256</v>
      </c>
      <c r="C194">
        <v>108555</v>
      </c>
    </row>
    <row r="195" spans="1:3" x14ac:dyDescent="0.3">
      <c r="B195" t="s">
        <v>219</v>
      </c>
      <c r="C195" s="6">
        <f>C194*4.75%*217/365</f>
        <v>3065.5634589041097</v>
      </c>
    </row>
    <row r="196" spans="1:3" x14ac:dyDescent="0.3">
      <c r="B196" t="s">
        <v>175</v>
      </c>
      <c r="C196" s="4">
        <f>C194-C195</f>
        <v>105489.43654109589</v>
      </c>
    </row>
    <row r="197" spans="1:3" x14ac:dyDescent="0.3">
      <c r="B197" t="s">
        <v>181</v>
      </c>
      <c r="C197" s="6">
        <f>C194*4.75%*8</f>
        <v>41250.9</v>
      </c>
    </row>
    <row r="198" spans="1:3" x14ac:dyDescent="0.3">
      <c r="B198" t="s">
        <v>177</v>
      </c>
      <c r="C198" s="6">
        <f>C196-C197</f>
        <v>64238.536541095884</v>
      </c>
    </row>
    <row r="199" spans="1:3" ht="15" thickBot="1" x14ac:dyDescent="0.35">
      <c r="B199" s="1" t="s">
        <v>183</v>
      </c>
      <c r="C199" s="12">
        <f>C195+C197</f>
        <v>44316.463458904109</v>
      </c>
    </row>
    <row r="201" spans="1:3" x14ac:dyDescent="0.3">
      <c r="A201">
        <v>3</v>
      </c>
      <c r="B201" s="2" t="s">
        <v>255</v>
      </c>
    </row>
    <row r="202" spans="1:3" x14ac:dyDescent="0.3">
      <c r="B202" t="s">
        <v>258</v>
      </c>
      <c r="C202">
        <v>215864</v>
      </c>
    </row>
    <row r="203" spans="1:3" x14ac:dyDescent="0.3">
      <c r="B203" t="s">
        <v>219</v>
      </c>
      <c r="C203" s="6">
        <f>C202*4.75%*199/365</f>
        <v>5590.2861917808223</v>
      </c>
    </row>
    <row r="204" spans="1:3" x14ac:dyDescent="0.3">
      <c r="B204" t="s">
        <v>175</v>
      </c>
      <c r="C204" s="4">
        <f>C202-C203</f>
        <v>210273.71380821918</v>
      </c>
    </row>
    <row r="205" spans="1:3" x14ac:dyDescent="0.3">
      <c r="B205" t="s">
        <v>181</v>
      </c>
      <c r="C205" s="6">
        <f>C202*4.75%*8</f>
        <v>82028.320000000007</v>
      </c>
    </row>
    <row r="206" spans="1:3" x14ac:dyDescent="0.3">
      <c r="B206" t="s">
        <v>177</v>
      </c>
      <c r="C206" s="6">
        <f>C204-C205</f>
        <v>128245.39380821917</v>
      </c>
    </row>
    <row r="207" spans="1:3" ht="15" thickBot="1" x14ac:dyDescent="0.35">
      <c r="B207" s="1" t="s">
        <v>183</v>
      </c>
      <c r="C207" s="12">
        <f>C203+C205</f>
        <v>87618.606191780826</v>
      </c>
    </row>
    <row r="209" spans="1:3" x14ac:dyDescent="0.3">
      <c r="A209">
        <v>4</v>
      </c>
      <c r="B209" s="2" t="s">
        <v>255</v>
      </c>
    </row>
    <row r="210" spans="1:3" x14ac:dyDescent="0.3">
      <c r="B210" t="s">
        <v>257</v>
      </c>
      <c r="C210">
        <v>291753</v>
      </c>
    </row>
    <row r="211" spans="1:3" x14ac:dyDescent="0.3">
      <c r="B211" t="s">
        <v>219</v>
      </c>
      <c r="C211" s="6">
        <f>C210*4.75%*11/365</f>
        <v>417.64641780821921</v>
      </c>
    </row>
    <row r="212" spans="1:3" x14ac:dyDescent="0.3">
      <c r="B212" t="s">
        <v>175</v>
      </c>
      <c r="C212" s="4">
        <f>C210-C211</f>
        <v>291335.3535821918</v>
      </c>
    </row>
    <row r="213" spans="1:3" x14ac:dyDescent="0.3">
      <c r="B213" t="s">
        <v>181</v>
      </c>
      <c r="C213" s="6">
        <f>C210*4.75%*8</f>
        <v>110866.14</v>
      </c>
    </row>
    <row r="214" spans="1:3" x14ac:dyDescent="0.3">
      <c r="B214" t="s">
        <v>177</v>
      </c>
      <c r="C214" s="6">
        <f>C212-C213</f>
        <v>180469.21358219179</v>
      </c>
    </row>
    <row r="215" spans="1:3" ht="15" thickBot="1" x14ac:dyDescent="0.35">
      <c r="B215" s="1" t="s">
        <v>183</v>
      </c>
      <c r="C215" s="12">
        <f>C211+C213</f>
        <v>111283.78641780822</v>
      </c>
    </row>
    <row r="217" spans="1:3" x14ac:dyDescent="0.3">
      <c r="A217">
        <v>5</v>
      </c>
      <c r="B217" s="2" t="s">
        <v>208</v>
      </c>
    </row>
    <row r="218" spans="1:3" x14ac:dyDescent="0.3">
      <c r="B218" t="s">
        <v>256</v>
      </c>
      <c r="C218">
        <v>35300</v>
      </c>
    </row>
    <row r="219" spans="1:3" x14ac:dyDescent="0.3">
      <c r="B219" t="s">
        <v>219</v>
      </c>
      <c r="C219" s="6">
        <f>C218*4.75%*217/365</f>
        <v>996.86232876712324</v>
      </c>
    </row>
    <row r="220" spans="1:3" x14ac:dyDescent="0.3">
      <c r="B220" t="s">
        <v>175</v>
      </c>
      <c r="C220" s="4">
        <f>C218-C219</f>
        <v>34303.137671232878</v>
      </c>
    </row>
    <row r="221" spans="1:3" x14ac:dyDescent="0.3">
      <c r="B221" t="s">
        <v>181</v>
      </c>
      <c r="C221" s="6">
        <f>C218*4.75%*8</f>
        <v>13414</v>
      </c>
    </row>
    <row r="222" spans="1:3" x14ac:dyDescent="0.3">
      <c r="B222" t="s">
        <v>177</v>
      </c>
      <c r="C222" s="6">
        <f>C220-C221</f>
        <v>20889.137671232878</v>
      </c>
    </row>
    <row r="223" spans="1:3" ht="15" thickBot="1" x14ac:dyDescent="0.35">
      <c r="B223" s="1" t="s">
        <v>183</v>
      </c>
      <c r="C223" s="12">
        <f>C219+C221</f>
        <v>14410.862328767123</v>
      </c>
    </row>
    <row r="224" spans="1:3" ht="15" thickBot="1" x14ac:dyDescent="0.35">
      <c r="B224" s="1" t="s">
        <v>178</v>
      </c>
      <c r="C224" s="24">
        <f>C191+C199+C207+C215+C223</f>
        <v>275698.57550684933</v>
      </c>
    </row>
    <row r="225" spans="1:3" ht="15" thickTop="1" x14ac:dyDescent="0.3"/>
    <row r="226" spans="1:3" x14ac:dyDescent="0.3">
      <c r="A226">
        <v>1</v>
      </c>
      <c r="B226" s="2" t="s">
        <v>259</v>
      </c>
    </row>
    <row r="227" spans="1:3" x14ac:dyDescent="0.3">
      <c r="B227" t="s">
        <v>262</v>
      </c>
      <c r="C227" s="4">
        <v>111273</v>
      </c>
    </row>
    <row r="228" spans="1:3" x14ac:dyDescent="0.3">
      <c r="B228" t="s">
        <v>219</v>
      </c>
      <c r="C228" s="6">
        <f>C227*5.28%*269/365</f>
        <v>4329.9525304109584</v>
      </c>
    </row>
    <row r="229" spans="1:3" x14ac:dyDescent="0.3">
      <c r="B229" t="s">
        <v>175</v>
      </c>
      <c r="C229" s="4">
        <f>C227-C228</f>
        <v>106943.04746958904</v>
      </c>
    </row>
    <row r="230" spans="1:3" x14ac:dyDescent="0.3">
      <c r="B230" t="s">
        <v>181</v>
      </c>
      <c r="C230" s="6">
        <f>C227*5.28%*8</f>
        <v>47001.715199999999</v>
      </c>
    </row>
    <row r="231" spans="1:3" x14ac:dyDescent="0.3">
      <c r="B231" t="s">
        <v>177</v>
      </c>
      <c r="C231" s="6">
        <f>C229-C230</f>
        <v>59941.332269589046</v>
      </c>
    </row>
    <row r="232" spans="1:3" ht="15" thickBot="1" x14ac:dyDescent="0.35">
      <c r="B232" s="1" t="s">
        <v>183</v>
      </c>
      <c r="C232" s="12">
        <f>C228+C230</f>
        <v>51331.667730410954</v>
      </c>
    </row>
    <row r="234" spans="1:3" x14ac:dyDescent="0.3">
      <c r="A234">
        <v>2</v>
      </c>
      <c r="B234" s="2" t="s">
        <v>259</v>
      </c>
    </row>
    <row r="235" spans="1:3" x14ac:dyDescent="0.3">
      <c r="B235" t="s">
        <v>261</v>
      </c>
      <c r="C235" s="4">
        <v>111273</v>
      </c>
    </row>
    <row r="236" spans="1:3" x14ac:dyDescent="0.3">
      <c r="B236" t="s">
        <v>219</v>
      </c>
      <c r="C236" s="6">
        <f>C235*5.28%*133/365</f>
        <v>2140.8315484931509</v>
      </c>
    </row>
    <row r="237" spans="1:3" x14ac:dyDescent="0.3">
      <c r="B237" t="s">
        <v>175</v>
      </c>
      <c r="C237" s="4">
        <f>C235-C236</f>
        <v>109132.16845150685</v>
      </c>
    </row>
    <row r="238" spans="1:3" x14ac:dyDescent="0.3">
      <c r="B238" t="s">
        <v>181</v>
      </c>
      <c r="C238" s="6">
        <f>C235*5.28%*8</f>
        <v>47001.715199999999</v>
      </c>
    </row>
    <row r="239" spans="1:3" x14ac:dyDescent="0.3">
      <c r="B239" t="s">
        <v>177</v>
      </c>
      <c r="C239" s="6">
        <f>C237-C238</f>
        <v>62130.453251506849</v>
      </c>
    </row>
    <row r="240" spans="1:3" ht="15" thickBot="1" x14ac:dyDescent="0.35">
      <c r="B240" s="1" t="s">
        <v>183</v>
      </c>
      <c r="C240" s="12">
        <f>C236+C238</f>
        <v>49142.546748493151</v>
      </c>
    </row>
    <row r="242" spans="1:3" x14ac:dyDescent="0.3">
      <c r="A242">
        <v>3</v>
      </c>
      <c r="B242" s="2" t="s">
        <v>259</v>
      </c>
    </row>
    <row r="243" spans="1:3" x14ac:dyDescent="0.3">
      <c r="B243" t="s">
        <v>240</v>
      </c>
      <c r="C243" s="4">
        <v>111575</v>
      </c>
    </row>
    <row r="244" spans="1:3" x14ac:dyDescent="0.3">
      <c r="B244" t="s">
        <v>219</v>
      </c>
      <c r="C244" s="6">
        <f>C243*5.28%*100/365</f>
        <v>1614.0164383561644</v>
      </c>
    </row>
    <row r="245" spans="1:3" x14ac:dyDescent="0.3">
      <c r="B245" t="s">
        <v>175</v>
      </c>
      <c r="C245" s="4">
        <f>C243-C244</f>
        <v>109960.98356164384</v>
      </c>
    </row>
    <row r="246" spans="1:3" x14ac:dyDescent="0.3">
      <c r="B246" t="s">
        <v>181</v>
      </c>
      <c r="C246" s="6">
        <f>C243*5.28%*8</f>
        <v>47129.279999999999</v>
      </c>
    </row>
    <row r="247" spans="1:3" x14ac:dyDescent="0.3">
      <c r="B247" t="s">
        <v>177</v>
      </c>
      <c r="C247" s="6">
        <f>C245-C246</f>
        <v>62831.703561643837</v>
      </c>
    </row>
    <row r="248" spans="1:3" ht="15" thickBot="1" x14ac:dyDescent="0.35">
      <c r="B248" s="1" t="s">
        <v>183</v>
      </c>
      <c r="C248" s="12">
        <f>C244+C246</f>
        <v>48743.296438356163</v>
      </c>
    </row>
    <row r="250" spans="1:3" x14ac:dyDescent="0.3">
      <c r="A250">
        <v>4</v>
      </c>
      <c r="B250" s="2" t="s">
        <v>259</v>
      </c>
    </row>
    <row r="251" spans="1:3" x14ac:dyDescent="0.3">
      <c r="B251" t="s">
        <v>260</v>
      </c>
      <c r="C251" s="4">
        <v>111575</v>
      </c>
    </row>
    <row r="252" spans="1:3" x14ac:dyDescent="0.3">
      <c r="B252" t="s">
        <v>219</v>
      </c>
      <c r="C252" s="6">
        <f>C251*5.28%*9/365</f>
        <v>145.2614794520548</v>
      </c>
    </row>
    <row r="253" spans="1:3" x14ac:dyDescent="0.3">
      <c r="B253" t="s">
        <v>175</v>
      </c>
      <c r="C253" s="4">
        <f>C251-C252</f>
        <v>111429.73852054795</v>
      </c>
    </row>
    <row r="254" spans="1:3" x14ac:dyDescent="0.3">
      <c r="B254" t="s">
        <v>181</v>
      </c>
      <c r="C254" s="4">
        <f>C251*5.28%*8</f>
        <v>47129.279999999999</v>
      </c>
    </row>
    <row r="255" spans="1:3" x14ac:dyDescent="0.3">
      <c r="B255" t="s">
        <v>177</v>
      </c>
      <c r="C255" s="6">
        <f>C253-C254</f>
        <v>64300.458520547953</v>
      </c>
    </row>
    <row r="256" spans="1:3" ht="15" thickBot="1" x14ac:dyDescent="0.35">
      <c r="B256" s="1" t="s">
        <v>183</v>
      </c>
      <c r="C256" s="12">
        <f>C252+C254</f>
        <v>47274.541479452055</v>
      </c>
    </row>
    <row r="257" spans="1:3" ht="15" thickBot="1" x14ac:dyDescent="0.35">
      <c r="B257" s="1" t="s">
        <v>178</v>
      </c>
      <c r="C257" s="11">
        <f>C232+C240+C248+C256</f>
        <v>196492.0523967123</v>
      </c>
    </row>
    <row r="258" spans="1:3" ht="15" thickTop="1" x14ac:dyDescent="0.3"/>
    <row r="259" spans="1:3" x14ac:dyDescent="0.3">
      <c r="A259">
        <v>1</v>
      </c>
      <c r="B259" s="2" t="s">
        <v>263</v>
      </c>
    </row>
    <row r="260" spans="1:3" x14ac:dyDescent="0.3">
      <c r="B260" t="s">
        <v>265</v>
      </c>
      <c r="C260" s="4">
        <v>647818</v>
      </c>
    </row>
    <row r="261" spans="1:3" x14ac:dyDescent="0.3">
      <c r="B261" t="s">
        <v>221</v>
      </c>
      <c r="C261" s="6">
        <f>C260*5.28%*270/365</f>
        <v>25302.173720547944</v>
      </c>
    </row>
    <row r="262" spans="1:3" x14ac:dyDescent="0.3">
      <c r="B262" t="s">
        <v>176</v>
      </c>
      <c r="C262" s="4">
        <f>C260-C261</f>
        <v>622515.82627945207</v>
      </c>
    </row>
    <row r="263" spans="1:3" x14ac:dyDescent="0.3">
      <c r="B263" t="s">
        <v>189</v>
      </c>
      <c r="C263" s="4">
        <f>C260*5.28%*7-1</f>
        <v>239432.53279999999</v>
      </c>
    </row>
    <row r="264" spans="1:3" x14ac:dyDescent="0.3">
      <c r="B264" t="s">
        <v>177</v>
      </c>
      <c r="C264" s="6">
        <f>C262-C263</f>
        <v>383083.29347945208</v>
      </c>
    </row>
    <row r="265" spans="1:3" ht="15" thickBot="1" x14ac:dyDescent="0.35">
      <c r="B265" s="1" t="s">
        <v>183</v>
      </c>
      <c r="C265" s="12">
        <f>C261+C263</f>
        <v>264734.70652054792</v>
      </c>
    </row>
    <row r="267" spans="1:3" x14ac:dyDescent="0.3">
      <c r="A267">
        <v>2</v>
      </c>
      <c r="B267" s="2" t="s">
        <v>263</v>
      </c>
    </row>
    <row r="268" spans="1:3" x14ac:dyDescent="0.3">
      <c r="B268" t="s">
        <v>264</v>
      </c>
      <c r="C268" s="4">
        <v>83722</v>
      </c>
    </row>
    <row r="269" spans="1:3" x14ac:dyDescent="0.3">
      <c r="B269" t="s">
        <v>221</v>
      </c>
      <c r="C269" s="6">
        <f>C268*5.28%*123/365</f>
        <v>1489.655224109589</v>
      </c>
    </row>
    <row r="270" spans="1:3" x14ac:dyDescent="0.3">
      <c r="B270" t="s">
        <v>176</v>
      </c>
      <c r="C270" s="4">
        <f>C268-C269</f>
        <v>82232.344775890408</v>
      </c>
    </row>
    <row r="271" spans="1:3" x14ac:dyDescent="0.3">
      <c r="B271" t="s">
        <v>189</v>
      </c>
      <c r="C271" s="4">
        <f>C268*5.28%*7</f>
        <v>30943.6512</v>
      </c>
    </row>
    <row r="272" spans="1:3" x14ac:dyDescent="0.3">
      <c r="B272" t="s">
        <v>177</v>
      </c>
      <c r="C272" s="6">
        <f>C270-C271</f>
        <v>51288.693575890407</v>
      </c>
    </row>
    <row r="273" spans="1:3" ht="15" thickBot="1" x14ac:dyDescent="0.35">
      <c r="B273" s="1" t="s">
        <v>183</v>
      </c>
      <c r="C273" s="12">
        <f>C269+C271</f>
        <v>32433.306424109589</v>
      </c>
    </row>
    <row r="274" spans="1:3" ht="15" thickBot="1" x14ac:dyDescent="0.35">
      <c r="B274" s="1" t="s">
        <v>178</v>
      </c>
      <c r="C274" s="11">
        <f>C265+C273</f>
        <v>297168.01294465753</v>
      </c>
    </row>
    <row r="275" spans="1:3" ht="15" thickTop="1" x14ac:dyDescent="0.3"/>
    <row r="276" spans="1:3" x14ac:dyDescent="0.3">
      <c r="A276">
        <v>1</v>
      </c>
      <c r="B276" s="25" t="s">
        <v>271</v>
      </c>
      <c r="C276" s="26"/>
    </row>
    <row r="277" spans="1:3" x14ac:dyDescent="0.3">
      <c r="B277" s="26" t="s">
        <v>274</v>
      </c>
      <c r="C277" s="27">
        <v>13488</v>
      </c>
    </row>
    <row r="278" spans="1:3" x14ac:dyDescent="0.3">
      <c r="B278" s="26" t="s">
        <v>219</v>
      </c>
      <c r="C278" s="28">
        <f>C277*4.75%*161/365</f>
        <v>282.60131506849319</v>
      </c>
    </row>
    <row r="279" spans="1:3" x14ac:dyDescent="0.3">
      <c r="B279" s="26" t="s">
        <v>175</v>
      </c>
      <c r="C279" s="27">
        <f>C277-C278</f>
        <v>13205.398684931506</v>
      </c>
    </row>
    <row r="280" spans="1:3" x14ac:dyDescent="0.3">
      <c r="B280" s="26" t="s">
        <v>181</v>
      </c>
      <c r="C280" s="27">
        <f>C277*4.75%*8</f>
        <v>5125.4400000000005</v>
      </c>
    </row>
    <row r="281" spans="1:3" x14ac:dyDescent="0.3">
      <c r="B281" s="26" t="s">
        <v>177</v>
      </c>
      <c r="C281" s="28">
        <f>C279-C280</f>
        <v>8079.9586849315056</v>
      </c>
    </row>
    <row r="282" spans="1:3" ht="15" thickBot="1" x14ac:dyDescent="0.35">
      <c r="B282" s="29" t="s">
        <v>183</v>
      </c>
      <c r="C282" s="30">
        <f>C278+C280</f>
        <v>5408.0413150684935</v>
      </c>
    </row>
    <row r="283" spans="1:3" x14ac:dyDescent="0.3">
      <c r="B283" s="26"/>
      <c r="C283" s="26"/>
    </row>
    <row r="284" spans="1:3" x14ac:dyDescent="0.3">
      <c r="A284">
        <v>2</v>
      </c>
      <c r="B284" s="25" t="s">
        <v>271</v>
      </c>
      <c r="C284" s="26"/>
    </row>
    <row r="285" spans="1:3" x14ac:dyDescent="0.3">
      <c r="B285" s="26" t="s">
        <v>275</v>
      </c>
      <c r="C285" s="27">
        <v>9169</v>
      </c>
    </row>
    <row r="286" spans="1:3" x14ac:dyDescent="0.3">
      <c r="B286" s="26" t="s">
        <v>221</v>
      </c>
      <c r="C286" s="28">
        <f>C285*4.75%*321/365</f>
        <v>383.02555479452059</v>
      </c>
    </row>
    <row r="287" spans="1:3" x14ac:dyDescent="0.3">
      <c r="B287" s="26" t="s">
        <v>176</v>
      </c>
      <c r="C287" s="27">
        <f>C285-C286</f>
        <v>8785.9744452054802</v>
      </c>
    </row>
    <row r="288" spans="1:3" x14ac:dyDescent="0.3">
      <c r="B288" s="26" t="s">
        <v>189</v>
      </c>
      <c r="C288" s="27">
        <f>C285*4.75%*7</f>
        <v>3048.6925000000001</v>
      </c>
    </row>
    <row r="289" spans="1:4" x14ac:dyDescent="0.3">
      <c r="B289" s="26" t="s">
        <v>177</v>
      </c>
      <c r="C289" s="28">
        <f>C287-C288</f>
        <v>5737.28194520548</v>
      </c>
    </row>
    <row r="290" spans="1:4" ht="15" thickBot="1" x14ac:dyDescent="0.35">
      <c r="B290" s="29" t="s">
        <v>183</v>
      </c>
      <c r="C290" s="30">
        <f>C286+C288</f>
        <v>3431.7180547945209</v>
      </c>
      <c r="D290" s="4"/>
    </row>
    <row r="291" spans="1:4" x14ac:dyDescent="0.3">
      <c r="B291" s="1"/>
      <c r="C291" s="5"/>
    </row>
    <row r="292" spans="1:4" x14ac:dyDescent="0.3">
      <c r="A292">
        <v>1</v>
      </c>
      <c r="B292" s="2" t="s">
        <v>269</v>
      </c>
    </row>
    <row r="293" spans="1:4" x14ac:dyDescent="0.3">
      <c r="B293" t="s">
        <v>276</v>
      </c>
      <c r="C293" s="4">
        <v>18500</v>
      </c>
    </row>
    <row r="294" spans="1:4" x14ac:dyDescent="0.3">
      <c r="B294" t="s">
        <v>221</v>
      </c>
      <c r="C294" s="6">
        <f>C293*4.75%*204/365</f>
        <v>491.13698630136986</v>
      </c>
    </row>
    <row r="295" spans="1:4" x14ac:dyDescent="0.3">
      <c r="B295" t="s">
        <v>176</v>
      </c>
      <c r="C295" s="4">
        <f>C293-C294</f>
        <v>18008.863013698628</v>
      </c>
    </row>
    <row r="296" spans="1:4" x14ac:dyDescent="0.3">
      <c r="B296" t="s">
        <v>189</v>
      </c>
      <c r="C296" s="4">
        <f>C293*4.75%*7</f>
        <v>6151.25</v>
      </c>
    </row>
    <row r="297" spans="1:4" x14ac:dyDescent="0.3">
      <c r="B297" t="s">
        <v>177</v>
      </c>
      <c r="C297" s="6">
        <f>C295-C296</f>
        <v>11857.613013698628</v>
      </c>
    </row>
    <row r="298" spans="1:4" ht="15" thickBot="1" x14ac:dyDescent="0.35">
      <c r="B298" s="1" t="s">
        <v>183</v>
      </c>
      <c r="C298" s="12">
        <f>C294+C296</f>
        <v>6642.3869863013697</v>
      </c>
    </row>
    <row r="300" spans="1:4" x14ac:dyDescent="0.3">
      <c r="A300">
        <v>2</v>
      </c>
      <c r="B300" s="2" t="s">
        <v>277</v>
      </c>
    </row>
    <row r="301" spans="1:4" x14ac:dyDescent="0.3">
      <c r="B301" t="s">
        <v>278</v>
      </c>
      <c r="C301" s="4">
        <v>18512</v>
      </c>
    </row>
    <row r="302" spans="1:4" x14ac:dyDescent="0.3">
      <c r="B302" t="s">
        <v>221</v>
      </c>
      <c r="C302" s="6">
        <f>C301*4.75%*55/365</f>
        <v>132.50027397260277</v>
      </c>
    </row>
    <row r="303" spans="1:4" x14ac:dyDescent="0.3">
      <c r="B303" t="s">
        <v>176</v>
      </c>
      <c r="C303" s="4">
        <f>C301-C302</f>
        <v>18379.499726027396</v>
      </c>
    </row>
    <row r="304" spans="1:4" x14ac:dyDescent="0.3">
      <c r="B304" t="s">
        <v>189</v>
      </c>
      <c r="C304" s="4">
        <f>C301*4.75%*7</f>
        <v>6155.2400000000007</v>
      </c>
    </row>
    <row r="305" spans="2:3" x14ac:dyDescent="0.3">
      <c r="B305" t="s">
        <v>177</v>
      </c>
      <c r="C305" s="6">
        <f>C303-C304</f>
        <v>12224.259726027394</v>
      </c>
    </row>
    <row r="306" spans="2:3" ht="15" thickBot="1" x14ac:dyDescent="0.35">
      <c r="B306" s="1" t="s">
        <v>183</v>
      </c>
      <c r="C306" s="12">
        <f>C302+C304</f>
        <v>6287.7402739726031</v>
      </c>
    </row>
    <row r="307" spans="2:3" ht="15" thickBot="1" x14ac:dyDescent="0.35">
      <c r="B307" s="1" t="s">
        <v>178</v>
      </c>
      <c r="C307" s="11">
        <f>C298+C306</f>
        <v>12930.127260273974</v>
      </c>
    </row>
    <row r="308" spans="2:3" ht="15" thickTop="1" x14ac:dyDescent="0.3"/>
  </sheetData>
  <pageMargins left="0.7" right="0.7" top="0.75" bottom="0.75" header="0.3" footer="0.3"/>
  <pageSetup paperSize="9" orientation="portrait" horizontalDpi="4294967293" vertic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pageSetUpPr fitToPage="1"/>
  </sheetPr>
  <dimension ref="A1:G28"/>
  <sheetViews>
    <sheetView topLeftCell="A19" workbookViewId="0">
      <selection activeCell="C37" sqref="C37"/>
    </sheetView>
  </sheetViews>
  <sheetFormatPr defaultRowHeight="14.4" x14ac:dyDescent="0.3"/>
  <cols>
    <col min="1" max="1" width="18.109375" bestFit="1" customWidth="1"/>
    <col min="2" max="2" width="20.88671875" bestFit="1" customWidth="1"/>
    <col min="3" max="3" width="16.6640625" bestFit="1" customWidth="1"/>
    <col min="4" max="4" width="16.88671875" bestFit="1" customWidth="1"/>
    <col min="5" max="5" width="16" bestFit="1" customWidth="1"/>
    <col min="6" max="6" width="14.33203125" bestFit="1" customWidth="1"/>
    <col min="7" max="7" width="13.88671875" bestFit="1" customWidth="1"/>
  </cols>
  <sheetData>
    <row r="1" spans="1:4" x14ac:dyDescent="0.3">
      <c r="A1" s="1" t="s">
        <v>374</v>
      </c>
    </row>
    <row r="3" spans="1:4" s="1" customFormat="1" x14ac:dyDescent="0.3">
      <c r="A3" s="1" t="s">
        <v>364</v>
      </c>
      <c r="B3" s="1" t="s">
        <v>372</v>
      </c>
      <c r="C3" s="1" t="s">
        <v>373</v>
      </c>
    </row>
    <row r="5" spans="1:4" x14ac:dyDescent="0.3">
      <c r="A5" t="s">
        <v>365</v>
      </c>
      <c r="B5" s="141">
        <f>+'Depreciation Co''s Act'!P29</f>
        <v>14326</v>
      </c>
      <c r="C5" s="141">
        <v>14326</v>
      </c>
      <c r="D5" s="141">
        <f>+B5-C5</f>
        <v>0</v>
      </c>
    </row>
    <row r="6" spans="1:4" x14ac:dyDescent="0.3">
      <c r="A6" t="s">
        <v>371</v>
      </c>
      <c r="B6" s="141">
        <f>+'Depreciation Co''s Act'!P56</f>
        <v>28884</v>
      </c>
      <c r="C6" s="141">
        <v>28884</v>
      </c>
      <c r="D6" s="141">
        <f t="shared" ref="D6:D13" si="0">+B6-C6</f>
        <v>0</v>
      </c>
    </row>
    <row r="7" spans="1:4" x14ac:dyDescent="0.3">
      <c r="A7" t="s">
        <v>366</v>
      </c>
      <c r="B7" s="141">
        <f>+'Depreciation Co''s Act'!P116</f>
        <v>6572922</v>
      </c>
      <c r="C7" s="141">
        <v>6443008</v>
      </c>
      <c r="D7" s="141">
        <f t="shared" si="0"/>
        <v>129914</v>
      </c>
    </row>
    <row r="8" spans="1:4" x14ac:dyDescent="0.3">
      <c r="A8" t="s">
        <v>367</v>
      </c>
      <c r="B8" s="141">
        <f>+'Depreciation Co''s Act'!P168</f>
        <v>9589485</v>
      </c>
      <c r="C8" s="141">
        <v>9589485</v>
      </c>
      <c r="D8" s="141">
        <f t="shared" si="0"/>
        <v>0</v>
      </c>
    </row>
    <row r="9" spans="1:4" x14ac:dyDescent="0.3">
      <c r="A9" t="s">
        <v>368</v>
      </c>
      <c r="B9" s="141">
        <f>+'Depreciation Co''s Act'!P307</f>
        <v>41232761</v>
      </c>
      <c r="C9" s="141">
        <v>39721380</v>
      </c>
      <c r="D9" s="141">
        <f t="shared" si="0"/>
        <v>1511381</v>
      </c>
    </row>
    <row r="10" spans="1:4" x14ac:dyDescent="0.3">
      <c r="A10" t="s">
        <v>369</v>
      </c>
      <c r="B10" s="141">
        <f>+'Depreciation Co''s Act'!P373</f>
        <v>29922</v>
      </c>
      <c r="C10" s="141">
        <v>29919</v>
      </c>
      <c r="D10" s="141">
        <f t="shared" si="0"/>
        <v>3</v>
      </c>
    </row>
    <row r="11" spans="1:4" x14ac:dyDescent="0.3">
      <c r="A11" t="s">
        <v>370</v>
      </c>
      <c r="B11" s="141">
        <f>+'Depreciation Co''s Act'!P405</f>
        <v>494506</v>
      </c>
      <c r="C11" s="141">
        <f>295248+409577+80508</f>
        <v>785333</v>
      </c>
      <c r="D11" s="141">
        <f t="shared" si="0"/>
        <v>-290827</v>
      </c>
    </row>
    <row r="12" spans="1:4" x14ac:dyDescent="0.3">
      <c r="A12" t="s">
        <v>361</v>
      </c>
      <c r="B12" s="141">
        <f>+'Depreciation Co''s Act'!P496</f>
        <v>0</v>
      </c>
      <c r="C12" s="141">
        <v>0</v>
      </c>
      <c r="D12" s="141">
        <f t="shared" si="0"/>
        <v>0</v>
      </c>
    </row>
    <row r="13" spans="1:4" x14ac:dyDescent="0.3">
      <c r="A13" t="s">
        <v>7</v>
      </c>
      <c r="B13" s="141">
        <v>0</v>
      </c>
      <c r="C13" s="141">
        <v>0</v>
      </c>
      <c r="D13" s="141">
        <f t="shared" si="0"/>
        <v>0</v>
      </c>
    </row>
    <row r="14" spans="1:4" s="1" customFormat="1" ht="15" thickBot="1" x14ac:dyDescent="0.35">
      <c r="A14" s="142" t="s">
        <v>2</v>
      </c>
      <c r="B14" s="143">
        <f>SUM(B5:B12)</f>
        <v>57962806</v>
      </c>
      <c r="C14" s="143">
        <f>SUM(C5:C13)</f>
        <v>56612335</v>
      </c>
      <c r="D14" s="143">
        <f>SUM(D5:D13)</f>
        <v>1350471</v>
      </c>
    </row>
    <row r="15" spans="1:4" ht="15" thickTop="1" x14ac:dyDescent="0.3">
      <c r="B15" s="141"/>
      <c r="C15" s="141"/>
      <c r="D15" s="141"/>
    </row>
    <row r="20" spans="1:7" s="144" customFormat="1" x14ac:dyDescent="0.3">
      <c r="B20" s="144" t="s">
        <v>375</v>
      </c>
      <c r="C20" s="144" t="s">
        <v>376</v>
      </c>
      <c r="D20" s="144" t="s">
        <v>377</v>
      </c>
      <c r="E20" s="144" t="s">
        <v>378</v>
      </c>
      <c r="F20" s="144" t="s">
        <v>379</v>
      </c>
    </row>
    <row r="21" spans="1:7" s="144" customFormat="1" x14ac:dyDescent="0.3">
      <c r="A21" s="145" t="s">
        <v>366</v>
      </c>
      <c r="B21" s="149">
        <v>210012676.38999999</v>
      </c>
      <c r="C21" s="149">
        <v>4092300</v>
      </c>
      <c r="D21" s="149">
        <f>+B21-C21</f>
        <v>205920376.38999999</v>
      </c>
      <c r="E21" s="149">
        <v>43368195</v>
      </c>
      <c r="F21" s="149">
        <v>6443008</v>
      </c>
      <c r="G21" s="146"/>
    </row>
    <row r="22" spans="1:7" x14ac:dyDescent="0.3">
      <c r="A22" t="s">
        <v>368</v>
      </c>
      <c r="B22" s="149">
        <v>1213334618.4099998</v>
      </c>
      <c r="C22" s="149">
        <v>48216920</v>
      </c>
      <c r="D22" s="149">
        <f>+B22-C22</f>
        <v>1165117698.4099998</v>
      </c>
      <c r="E22" s="149">
        <v>390231883</v>
      </c>
      <c r="F22" s="149">
        <v>39721380</v>
      </c>
    </row>
    <row r="23" spans="1:7" s="146" customFormat="1" x14ac:dyDescent="0.3">
      <c r="A23" s="147" t="s">
        <v>369</v>
      </c>
      <c r="B23" s="149">
        <v>2208384.92</v>
      </c>
      <c r="C23" s="149">
        <v>24200</v>
      </c>
      <c r="D23" s="149">
        <f>+B23-C23</f>
        <v>2184184.92</v>
      </c>
      <c r="E23" s="149">
        <v>1166743</v>
      </c>
      <c r="F23" s="149">
        <v>29919</v>
      </c>
    </row>
    <row r="26" spans="1:7" x14ac:dyDescent="0.3">
      <c r="A26" s="145" t="s">
        <v>366</v>
      </c>
      <c r="B26" s="141">
        <v>210012676.38999999</v>
      </c>
      <c r="C26" s="148">
        <v>0</v>
      </c>
      <c r="D26" s="148">
        <f t="shared" ref="D26:D28" si="1">+B26-C26</f>
        <v>210012676.38999999</v>
      </c>
      <c r="E26" s="148">
        <v>44784857</v>
      </c>
      <c r="F26" s="141">
        <v>6572922</v>
      </c>
    </row>
    <row r="27" spans="1:7" x14ac:dyDescent="0.3">
      <c r="A27" t="s">
        <v>368</v>
      </c>
      <c r="B27" s="141">
        <v>1213334618.4099998</v>
      </c>
      <c r="C27" s="148">
        <v>0</v>
      </c>
      <c r="D27" s="148">
        <f t="shared" si="1"/>
        <v>1213334618.4099998</v>
      </c>
      <c r="E27" s="148">
        <v>414853712</v>
      </c>
      <c r="F27" s="141">
        <v>41232761</v>
      </c>
    </row>
    <row r="28" spans="1:7" x14ac:dyDescent="0.3">
      <c r="A28" s="147" t="s">
        <v>369</v>
      </c>
      <c r="B28" s="141">
        <v>2208384.7400000002</v>
      </c>
      <c r="C28" s="148">
        <v>0</v>
      </c>
      <c r="D28" s="148">
        <f t="shared" si="1"/>
        <v>2208384.7400000002</v>
      </c>
      <c r="E28" s="148">
        <v>2009843</v>
      </c>
      <c r="F28" s="141">
        <v>29922</v>
      </c>
    </row>
  </sheetData>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FINAL DEPT</vt:lpstr>
      <vt:lpstr>Depreciation Co's Act</vt:lpstr>
      <vt:lpstr>Dep on addition</vt:lpstr>
      <vt:lpstr>Reco</vt:lpstr>
      <vt:lpstr>wdv building</vt:lpstr>
      <vt:lpstr>wdv electrical</vt:lpstr>
      <vt:lpstr>wdv Plant &amp; Mac</vt:lpstr>
      <vt:lpstr>Sheet1</vt:lpstr>
      <vt:lpstr>'Depreciation Co''s Act'!Print_Area</vt:lpstr>
      <vt:lpstr>'FINAL DEPT'!Print_Area</vt:lpstr>
      <vt:lpstr>'Depreciation Co''s Act'!Print_Titles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2023-07-07T03:13:42Z</dcterms:modified>
</cp:coreProperties>
</file>