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5DBE9055-AF23-4EFA-ABAF-AD4EE42C9B16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SUMMARY" sheetId="7" r:id="rId1"/>
    <sheet name="Land Value Calculation" sheetId="6" r:id="rId2"/>
    <sheet name="Guideline Value" sheetId="10" r:id="rId3"/>
    <sheet name="Land Details" sheetId="5" r:id="rId4"/>
    <sheet name="Building v2" sheetId="3" r:id="rId5"/>
    <sheet name="Other market research" sheetId="8" r:id="rId6"/>
    <sheet name="Sheet1" sheetId="1" r:id="rId7"/>
    <sheet name="Sheet2" sheetId="2" r:id="rId8"/>
    <sheet name="Sheet3" sheetId="9" r:id="rId9"/>
  </sheets>
  <definedNames>
    <definedName name="_xlnm._FilterDatabase" localSheetId="6" hidden="1">Sheet1!$B$3:$R$149</definedName>
  </definedNames>
  <calcPr calcId="181029"/>
</workbook>
</file>

<file path=xl/calcChain.xml><?xml version="1.0" encoding="utf-8"?>
<calcChain xmlns="http://schemas.openxmlformats.org/spreadsheetml/2006/main">
  <c r="I39" i="7" l="1"/>
  <c r="H39" i="7"/>
  <c r="H18" i="7" s="1"/>
  <c r="I38" i="7"/>
  <c r="H38" i="7"/>
  <c r="H17" i="7" s="1"/>
  <c r="I37" i="7"/>
  <c r="I16" i="7" s="1"/>
  <c r="H37" i="7"/>
  <c r="H16" i="7" s="1"/>
  <c r="I36" i="7"/>
  <c r="H36" i="7"/>
  <c r="H15" i="7" s="1"/>
  <c r="I35" i="7"/>
  <c r="I14" i="7" s="1"/>
  <c r="H35" i="7"/>
  <c r="H14" i="7" s="1"/>
  <c r="I34" i="7"/>
  <c r="I13" i="7" s="1"/>
  <c r="H34" i="7"/>
  <c r="H13" i="7" s="1"/>
  <c r="I33" i="7"/>
  <c r="H33" i="7"/>
  <c r="I32" i="7"/>
  <c r="I10" i="7" s="1"/>
  <c r="I11" i="7" s="1"/>
  <c r="H32" i="7"/>
  <c r="H10" i="7" s="1"/>
  <c r="H11" i="7" s="1"/>
  <c r="I12" i="7"/>
  <c r="I18" i="7"/>
  <c r="I17" i="7"/>
  <c r="I15" i="7"/>
  <c r="H12" i="7"/>
  <c r="I8" i="8"/>
  <c r="I7" i="8"/>
  <c r="O6" i="3"/>
  <c r="H19" i="7" l="1"/>
  <c r="I19" i="7"/>
  <c r="O5" i="3"/>
  <c r="N13" i="3"/>
  <c r="F30" i="7" l="1"/>
  <c r="G30" i="7"/>
  <c r="H30" i="7" l="1"/>
  <c r="I30" i="7"/>
  <c r="E21" i="7"/>
  <c r="T5" i="3"/>
  <c r="O8" i="3"/>
  <c r="F10" i="7" l="1"/>
  <c r="F11" i="7" s="1"/>
  <c r="G10" i="7"/>
  <c r="G11" i="7" s="1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E10" i="7"/>
  <c r="E11" i="7" s="1"/>
  <c r="E12" i="7"/>
  <c r="E13" i="7"/>
  <c r="E14" i="7"/>
  <c r="E15" i="7"/>
  <c r="E16" i="7"/>
  <c r="E17" i="7"/>
  <c r="E18" i="7"/>
  <c r="E5" i="7"/>
  <c r="E7" i="7" s="1"/>
  <c r="E30" i="7"/>
  <c r="G19" i="7" l="1"/>
  <c r="F19" i="7"/>
  <c r="E19" i="7"/>
  <c r="M12" i="2"/>
  <c r="N12" i="2"/>
  <c r="F14" i="3" l="1"/>
  <c r="F15" i="3" s="1"/>
  <c r="H1" i="3"/>
  <c r="G1" i="3"/>
  <c r="U18" i="3"/>
  <c r="U17" i="3"/>
  <c r="U16" i="3"/>
  <c r="U15" i="3"/>
  <c r="U14" i="3"/>
  <c r="U13" i="3"/>
  <c r="G4" i="3"/>
  <c r="O4" i="3" s="1"/>
  <c r="G3" i="3"/>
  <c r="O10" i="3"/>
  <c r="R6" i="3"/>
  <c r="I10" i="8"/>
  <c r="I9" i="8"/>
  <c r="O7" i="3"/>
  <c r="U4" i="3"/>
  <c r="O9" i="3"/>
  <c r="U19" i="3" l="1"/>
  <c r="I4" i="8"/>
  <c r="I6" i="8"/>
  <c r="I5" i="8"/>
  <c r="I3" i="8"/>
  <c r="G11" i="6"/>
  <c r="N45" i="5"/>
  <c r="M45" i="5"/>
  <c r="L45" i="5"/>
  <c r="K45" i="5"/>
  <c r="J45" i="5"/>
  <c r="I45" i="5"/>
  <c r="H45" i="5"/>
  <c r="O44" i="5"/>
  <c r="O45" i="5" s="1"/>
  <c r="N44" i="5"/>
  <c r="O43" i="5"/>
  <c r="L47" i="7"/>
  <c r="H39" i="5"/>
  <c r="N39" i="5"/>
  <c r="O40" i="5"/>
  <c r="O41" i="5"/>
  <c r="O42" i="5"/>
  <c r="H11" i="2"/>
  <c r="E49" i="7"/>
  <c r="E47" i="7"/>
  <c r="O39" i="5" l="1"/>
  <c r="I11" i="6" l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I34" i="6"/>
  <c r="I36" i="6" s="1"/>
  <c r="L29" i="6"/>
  <c r="I26" i="6"/>
  <c r="L25" i="6"/>
  <c r="G12" i="5"/>
  <c r="K21" i="5"/>
  <c r="I37" i="6" l="1"/>
  <c r="I12" i="6"/>
  <c r="I14" i="6" s="1"/>
  <c r="I18" i="6" s="1"/>
  <c r="I20" i="6" s="1"/>
  <c r="I22" i="6" s="1"/>
  <c r="I24" i="6" s="1"/>
  <c r="G12" i="6"/>
  <c r="L28" i="6" s="1"/>
  <c r="G8" i="5"/>
  <c r="I28" i="6" l="1"/>
  <c r="I30" i="6" s="1"/>
  <c r="G28" i="5"/>
  <c r="G31" i="5" s="1"/>
  <c r="I20" i="5"/>
  <c r="I16" i="5"/>
  <c r="I32" i="6" l="1"/>
  <c r="G29" i="5"/>
  <c r="Q9" i="3"/>
  <c r="Q10" i="3"/>
  <c r="Q6" i="3"/>
  <c r="O3" i="3"/>
  <c r="Q8" i="3"/>
  <c r="Q7" i="3"/>
  <c r="K5" i="1"/>
  <c r="G5" i="3"/>
  <c r="I5" i="3"/>
  <c r="I4" i="3"/>
  <c r="I3" i="3"/>
  <c r="L5" i="3"/>
  <c r="L4" i="3"/>
  <c r="L3" i="3"/>
  <c r="G28" i="7" l="1"/>
  <c r="J32" i="6"/>
  <c r="O13" i="3"/>
  <c r="F29" i="7" s="1"/>
  <c r="P5" i="3"/>
  <c r="Q5" i="3" s="1"/>
  <c r="P4" i="3"/>
  <c r="Q4" i="3" s="1"/>
  <c r="P3" i="3"/>
  <c r="Q3" i="3" s="1"/>
  <c r="H129" i="1"/>
  <c r="H128" i="1"/>
  <c r="P128" i="1" s="1"/>
  <c r="G133" i="1"/>
  <c r="N127" i="1"/>
  <c r="K127" i="1"/>
  <c r="H127" i="1"/>
  <c r="P127" i="1" s="1"/>
  <c r="R130" i="1"/>
  <c r="T130" i="1"/>
  <c r="P130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9" i="1"/>
  <c r="K17" i="1"/>
  <c r="K16" i="1"/>
  <c r="K15" i="1"/>
  <c r="K14" i="1"/>
  <c r="K13" i="1"/>
  <c r="K12" i="1"/>
  <c r="K11" i="1"/>
  <c r="K10" i="1"/>
  <c r="K9" i="1"/>
  <c r="K8" i="1"/>
  <c r="K7" i="1"/>
  <c r="K6" i="1"/>
  <c r="F28" i="7" l="1"/>
  <c r="F5" i="7" s="1"/>
  <c r="F7" i="7" s="1"/>
  <c r="H28" i="7"/>
  <c r="H5" i="7" s="1"/>
  <c r="H7" i="7" s="1"/>
  <c r="I28" i="7"/>
  <c r="G47" i="7"/>
  <c r="G5" i="7"/>
  <c r="G7" i="7" s="1"/>
  <c r="F48" i="7"/>
  <c r="F8" i="7"/>
  <c r="R5" i="3"/>
  <c r="F47" i="7"/>
  <c r="Q13" i="3"/>
  <c r="G29" i="7" s="1"/>
  <c r="Q127" i="1"/>
  <c r="R127" i="1" s="1"/>
  <c r="F9" i="7" l="1"/>
  <c r="I5" i="7"/>
  <c r="I7" i="7" s="1"/>
  <c r="I29" i="7"/>
  <c r="I8" i="7" s="1"/>
  <c r="I9" i="7" s="1"/>
  <c r="H29" i="7"/>
  <c r="F20" i="7"/>
  <c r="F22" i="7" s="1"/>
  <c r="K22" i="7" s="1"/>
  <c r="G8" i="7"/>
  <c r="G48" i="7"/>
  <c r="H76" i="1"/>
  <c r="P76" i="1" s="1"/>
  <c r="H72" i="1"/>
  <c r="P72" i="1" s="1"/>
  <c r="H68" i="1"/>
  <c r="P68" i="1" s="1"/>
  <c r="H64" i="1"/>
  <c r="P64" i="1" s="1"/>
  <c r="H60" i="1"/>
  <c r="P60" i="1" s="1"/>
  <c r="H56" i="1"/>
  <c r="P56" i="1" s="1"/>
  <c r="H51" i="1"/>
  <c r="P51" i="1" s="1"/>
  <c r="H43" i="1"/>
  <c r="P43" i="1" s="1"/>
  <c r="H30" i="1"/>
  <c r="P30" i="1" s="1"/>
  <c r="H26" i="1"/>
  <c r="P26" i="1" s="1"/>
  <c r="H21" i="1"/>
  <c r="P21" i="1" s="1"/>
  <c r="H19" i="1"/>
  <c r="P19" i="1" s="1"/>
  <c r="H15" i="1"/>
  <c r="P15" i="1" s="1"/>
  <c r="H10" i="1"/>
  <c r="P10" i="1" s="1"/>
  <c r="H6" i="1"/>
  <c r="P6" i="1" s="1"/>
  <c r="H5" i="1"/>
  <c r="N104" i="1"/>
  <c r="H104" i="1"/>
  <c r="P104" i="1" s="1"/>
  <c r="N30" i="1"/>
  <c r="N29" i="1"/>
  <c r="H29" i="1"/>
  <c r="P29" i="1" s="1"/>
  <c r="N28" i="1"/>
  <c r="H28" i="1"/>
  <c r="P28" i="1" s="1"/>
  <c r="N27" i="1"/>
  <c r="H27" i="1"/>
  <c r="P27" i="1" s="1"/>
  <c r="N26" i="1"/>
  <c r="N25" i="1"/>
  <c r="H25" i="1"/>
  <c r="P25" i="1" s="1"/>
  <c r="N23" i="1"/>
  <c r="H23" i="1"/>
  <c r="P23" i="1" s="1"/>
  <c r="N22" i="1"/>
  <c r="H22" i="1"/>
  <c r="P22" i="1" s="1"/>
  <c r="N21" i="1"/>
  <c r="N19" i="1"/>
  <c r="N17" i="1"/>
  <c r="H17" i="1"/>
  <c r="P17" i="1" s="1"/>
  <c r="N16" i="1"/>
  <c r="H16" i="1"/>
  <c r="P16" i="1" s="1"/>
  <c r="N15" i="1"/>
  <c r="N14" i="1"/>
  <c r="H14" i="1"/>
  <c r="P14" i="1" s="1"/>
  <c r="N13" i="1"/>
  <c r="H13" i="1"/>
  <c r="P13" i="1" s="1"/>
  <c r="N12" i="1"/>
  <c r="H12" i="1"/>
  <c r="P12" i="1" s="1"/>
  <c r="N11" i="1"/>
  <c r="H11" i="1"/>
  <c r="P11" i="1" s="1"/>
  <c r="N10" i="1"/>
  <c r="N9" i="1"/>
  <c r="H9" i="1"/>
  <c r="P9" i="1" s="1"/>
  <c r="N8" i="1"/>
  <c r="H8" i="1"/>
  <c r="P8" i="1" s="1"/>
  <c r="N7" i="1"/>
  <c r="H7" i="1"/>
  <c r="P7" i="1" s="1"/>
  <c r="N6" i="1"/>
  <c r="N5" i="1"/>
  <c r="N82" i="1"/>
  <c r="H82" i="1"/>
  <c r="P82" i="1" s="1"/>
  <c r="N81" i="1"/>
  <c r="H81" i="1"/>
  <c r="P81" i="1" s="1"/>
  <c r="N80" i="1"/>
  <c r="H80" i="1"/>
  <c r="P80" i="1" s="1"/>
  <c r="N79" i="1"/>
  <c r="H79" i="1"/>
  <c r="P79" i="1" s="1"/>
  <c r="N78" i="1"/>
  <c r="H78" i="1"/>
  <c r="P78" i="1" s="1"/>
  <c r="N77" i="1"/>
  <c r="H77" i="1"/>
  <c r="P77" i="1" s="1"/>
  <c r="N76" i="1"/>
  <c r="N75" i="1"/>
  <c r="H75" i="1"/>
  <c r="P75" i="1" s="1"/>
  <c r="N74" i="1"/>
  <c r="H74" i="1"/>
  <c r="P74" i="1" s="1"/>
  <c r="N73" i="1"/>
  <c r="H73" i="1"/>
  <c r="P73" i="1" s="1"/>
  <c r="N72" i="1"/>
  <c r="N71" i="1"/>
  <c r="H71" i="1"/>
  <c r="P71" i="1" s="1"/>
  <c r="N70" i="1"/>
  <c r="H70" i="1"/>
  <c r="P70" i="1" s="1"/>
  <c r="N69" i="1"/>
  <c r="H69" i="1"/>
  <c r="P69" i="1" s="1"/>
  <c r="N68" i="1"/>
  <c r="N67" i="1"/>
  <c r="H67" i="1"/>
  <c r="P67" i="1" s="1"/>
  <c r="N66" i="1"/>
  <c r="H66" i="1"/>
  <c r="P66" i="1" s="1"/>
  <c r="N65" i="1"/>
  <c r="H65" i="1"/>
  <c r="P65" i="1" s="1"/>
  <c r="N64" i="1"/>
  <c r="N63" i="1"/>
  <c r="H63" i="1"/>
  <c r="P63" i="1" s="1"/>
  <c r="N62" i="1"/>
  <c r="H62" i="1"/>
  <c r="P62" i="1" s="1"/>
  <c r="N61" i="1"/>
  <c r="H61" i="1"/>
  <c r="P61" i="1" s="1"/>
  <c r="N60" i="1"/>
  <c r="N59" i="1"/>
  <c r="H59" i="1"/>
  <c r="P59" i="1" s="1"/>
  <c r="N58" i="1"/>
  <c r="H58" i="1"/>
  <c r="P58" i="1" s="1"/>
  <c r="N57" i="1"/>
  <c r="H57" i="1"/>
  <c r="P57" i="1" s="1"/>
  <c r="N102" i="1"/>
  <c r="H102" i="1"/>
  <c r="P102" i="1" s="1"/>
  <c r="N101" i="1"/>
  <c r="H101" i="1"/>
  <c r="P101" i="1" s="1"/>
  <c r="N100" i="1"/>
  <c r="H100" i="1"/>
  <c r="P100" i="1" s="1"/>
  <c r="N98" i="1"/>
  <c r="H98" i="1"/>
  <c r="P98" i="1" s="1"/>
  <c r="N97" i="1"/>
  <c r="H97" i="1"/>
  <c r="P97" i="1" s="1"/>
  <c r="N96" i="1"/>
  <c r="H96" i="1"/>
  <c r="P96" i="1" s="1"/>
  <c r="N95" i="1"/>
  <c r="H95" i="1"/>
  <c r="P95" i="1" s="1"/>
  <c r="N94" i="1"/>
  <c r="H94" i="1"/>
  <c r="P94" i="1" s="1"/>
  <c r="N93" i="1"/>
  <c r="H93" i="1"/>
  <c r="P93" i="1" s="1"/>
  <c r="N92" i="1"/>
  <c r="H92" i="1"/>
  <c r="P92" i="1" s="1"/>
  <c r="N91" i="1"/>
  <c r="H91" i="1"/>
  <c r="P91" i="1" s="1"/>
  <c r="N90" i="1"/>
  <c r="H90" i="1"/>
  <c r="P90" i="1" s="1"/>
  <c r="N89" i="1"/>
  <c r="H89" i="1"/>
  <c r="P89" i="1" s="1"/>
  <c r="N88" i="1"/>
  <c r="H88" i="1"/>
  <c r="P88" i="1" s="1"/>
  <c r="N87" i="1"/>
  <c r="H87" i="1"/>
  <c r="P87" i="1" s="1"/>
  <c r="N86" i="1"/>
  <c r="H86" i="1"/>
  <c r="P86" i="1" s="1"/>
  <c r="N85" i="1"/>
  <c r="H85" i="1"/>
  <c r="P85" i="1" s="1"/>
  <c r="N84" i="1"/>
  <c r="H84" i="1"/>
  <c r="P84" i="1" s="1"/>
  <c r="N83" i="1"/>
  <c r="H83" i="1"/>
  <c r="P83" i="1" s="1"/>
  <c r="N56" i="1"/>
  <c r="N54" i="1"/>
  <c r="H54" i="1"/>
  <c r="P54" i="1" s="1"/>
  <c r="N53" i="1"/>
  <c r="H53" i="1"/>
  <c r="P53" i="1" s="1"/>
  <c r="N52" i="1"/>
  <c r="H52" i="1"/>
  <c r="P52" i="1" s="1"/>
  <c r="N51" i="1"/>
  <c r="N50" i="1"/>
  <c r="H50" i="1"/>
  <c r="P50" i="1" s="1"/>
  <c r="N49" i="1"/>
  <c r="H49" i="1"/>
  <c r="P49" i="1" s="1"/>
  <c r="N48" i="1"/>
  <c r="H48" i="1"/>
  <c r="P48" i="1" s="1"/>
  <c r="N46" i="1"/>
  <c r="H46" i="1"/>
  <c r="P46" i="1" s="1"/>
  <c r="N45" i="1"/>
  <c r="H45" i="1"/>
  <c r="P45" i="1" s="1"/>
  <c r="N44" i="1"/>
  <c r="H44" i="1"/>
  <c r="P44" i="1" s="1"/>
  <c r="N43" i="1"/>
  <c r="N42" i="1"/>
  <c r="H42" i="1"/>
  <c r="P42" i="1" s="1"/>
  <c r="N41" i="1"/>
  <c r="H41" i="1"/>
  <c r="P41" i="1" s="1"/>
  <c r="N40" i="1"/>
  <c r="H40" i="1"/>
  <c r="P40" i="1" s="1"/>
  <c r="N39" i="1"/>
  <c r="H39" i="1"/>
  <c r="P39" i="1" s="1"/>
  <c r="N38" i="1"/>
  <c r="H38" i="1"/>
  <c r="P38" i="1" s="1"/>
  <c r="N37" i="1"/>
  <c r="H37" i="1"/>
  <c r="P37" i="1" s="1"/>
  <c r="N36" i="1"/>
  <c r="H36" i="1"/>
  <c r="P36" i="1" s="1"/>
  <c r="N35" i="1"/>
  <c r="H35" i="1"/>
  <c r="P35" i="1" s="1"/>
  <c r="N34" i="1"/>
  <c r="H34" i="1"/>
  <c r="P34" i="1" s="1"/>
  <c r="N33" i="1"/>
  <c r="H33" i="1"/>
  <c r="P33" i="1" s="1"/>
  <c r="N32" i="1"/>
  <c r="H32" i="1"/>
  <c r="P32" i="1" s="1"/>
  <c r="H40" i="7" l="1"/>
  <c r="H8" i="7"/>
  <c r="H9" i="7" s="1"/>
  <c r="H20" i="7" s="1"/>
  <c r="H22" i="7" s="1"/>
  <c r="G9" i="7"/>
  <c r="G20" i="7" s="1"/>
  <c r="G22" i="7" s="1"/>
  <c r="I20" i="7"/>
  <c r="I22" i="7" s="1"/>
  <c r="I40" i="7"/>
  <c r="P5" i="1"/>
  <c r="Q104" i="1"/>
  <c r="R104" i="1" s="1"/>
  <c r="Q11" i="1"/>
  <c r="R11" i="1" s="1"/>
  <c r="Q23" i="1"/>
  <c r="R23" i="1" s="1"/>
  <c r="Q14" i="1"/>
  <c r="R14" i="1" s="1"/>
  <c r="Q22" i="1"/>
  <c r="R22" i="1" s="1"/>
  <c r="Q30" i="1"/>
  <c r="R30" i="1" s="1"/>
  <c r="Q5" i="1"/>
  <c r="R5" i="1" s="1"/>
  <c r="Q9" i="1"/>
  <c r="R9" i="1" s="1"/>
  <c r="Q13" i="1"/>
  <c r="R13" i="1" s="1"/>
  <c r="Q17" i="1"/>
  <c r="R17" i="1" s="1"/>
  <c r="Q21" i="1"/>
  <c r="R21" i="1" s="1"/>
  <c r="Q25" i="1"/>
  <c r="R25" i="1" s="1"/>
  <c r="Q29" i="1"/>
  <c r="R29" i="1" s="1"/>
  <c r="Q7" i="1"/>
  <c r="R7" i="1" s="1"/>
  <c r="Q15" i="1"/>
  <c r="R15" i="1" s="1"/>
  <c r="Q19" i="1"/>
  <c r="R19" i="1" s="1"/>
  <c r="Q27" i="1"/>
  <c r="R27" i="1" s="1"/>
  <c r="Q6" i="1"/>
  <c r="R6" i="1" s="1"/>
  <c r="Q10" i="1"/>
  <c r="R10" i="1" s="1"/>
  <c r="Q26" i="1"/>
  <c r="R26" i="1" s="1"/>
  <c r="Q8" i="1"/>
  <c r="R8" i="1" s="1"/>
  <c r="Q12" i="1"/>
  <c r="R12" i="1" s="1"/>
  <c r="Q16" i="1"/>
  <c r="R16" i="1" s="1"/>
  <c r="Q28" i="1"/>
  <c r="R28" i="1" s="1"/>
  <c r="Q63" i="1"/>
  <c r="R63" i="1" s="1"/>
  <c r="Q67" i="1"/>
  <c r="R67" i="1" s="1"/>
  <c r="Q75" i="1"/>
  <c r="R75" i="1" s="1"/>
  <c r="Q79" i="1"/>
  <c r="R79" i="1" s="1"/>
  <c r="Q62" i="1"/>
  <c r="R62" i="1" s="1"/>
  <c r="Q66" i="1"/>
  <c r="R66" i="1" s="1"/>
  <c r="Q74" i="1"/>
  <c r="R74" i="1" s="1"/>
  <c r="Q82" i="1"/>
  <c r="R82" i="1" s="1"/>
  <c r="Q57" i="1"/>
  <c r="R57" i="1" s="1"/>
  <c r="Q61" i="1"/>
  <c r="R61" i="1" s="1"/>
  <c r="Q65" i="1"/>
  <c r="R65" i="1" s="1"/>
  <c r="Q69" i="1"/>
  <c r="R69" i="1" s="1"/>
  <c r="Q73" i="1"/>
  <c r="R73" i="1" s="1"/>
  <c r="Q77" i="1"/>
  <c r="R77" i="1" s="1"/>
  <c r="Q81" i="1"/>
  <c r="R81" i="1" s="1"/>
  <c r="Q59" i="1"/>
  <c r="R59" i="1" s="1"/>
  <c r="Q71" i="1"/>
  <c r="R71" i="1" s="1"/>
  <c r="Q58" i="1"/>
  <c r="R58" i="1" s="1"/>
  <c r="Q70" i="1"/>
  <c r="R70" i="1" s="1"/>
  <c r="Q78" i="1"/>
  <c r="R78" i="1" s="1"/>
  <c r="Q60" i="1"/>
  <c r="R60" i="1" s="1"/>
  <c r="Q64" i="1"/>
  <c r="R64" i="1" s="1"/>
  <c r="Q68" i="1"/>
  <c r="R68" i="1" s="1"/>
  <c r="Q72" i="1"/>
  <c r="R72" i="1" s="1"/>
  <c r="Q76" i="1"/>
  <c r="R76" i="1" s="1"/>
  <c r="Q80" i="1"/>
  <c r="R80" i="1" s="1"/>
  <c r="Q83" i="1"/>
  <c r="R83" i="1" s="1"/>
  <c r="Q87" i="1"/>
  <c r="R87" i="1" s="1"/>
  <c r="Q95" i="1"/>
  <c r="R95" i="1" s="1"/>
  <c r="Q56" i="1"/>
  <c r="R56" i="1" s="1"/>
  <c r="Q86" i="1"/>
  <c r="R86" i="1" s="1"/>
  <c r="Q94" i="1"/>
  <c r="R94" i="1" s="1"/>
  <c r="Q102" i="1"/>
  <c r="R102" i="1" s="1"/>
  <c r="Q85" i="1"/>
  <c r="R85" i="1" s="1"/>
  <c r="Q89" i="1"/>
  <c r="R89" i="1" s="1"/>
  <c r="Q93" i="1"/>
  <c r="R93" i="1" s="1"/>
  <c r="Q97" i="1"/>
  <c r="R97" i="1" s="1"/>
  <c r="Q101" i="1"/>
  <c r="R101" i="1" s="1"/>
  <c r="Q91" i="1"/>
  <c r="R91" i="1" s="1"/>
  <c r="Q90" i="1"/>
  <c r="R90" i="1" s="1"/>
  <c r="Q98" i="1"/>
  <c r="R98" i="1" s="1"/>
  <c r="Q54" i="1"/>
  <c r="R54" i="1" s="1"/>
  <c r="Q84" i="1"/>
  <c r="R84" i="1" s="1"/>
  <c r="Q88" i="1"/>
  <c r="R88" i="1" s="1"/>
  <c r="Q92" i="1"/>
  <c r="R92" i="1" s="1"/>
  <c r="Q96" i="1"/>
  <c r="R96" i="1" s="1"/>
  <c r="Q100" i="1"/>
  <c r="R100" i="1" s="1"/>
  <c r="Q37" i="1"/>
  <c r="R37" i="1" s="1"/>
  <c r="Q45" i="1"/>
  <c r="R45" i="1" s="1"/>
  <c r="Q53" i="1"/>
  <c r="R53" i="1" s="1"/>
  <c r="Q39" i="1"/>
  <c r="R39" i="1" s="1"/>
  <c r="Q35" i="1"/>
  <c r="R35" i="1" s="1"/>
  <c r="Q43" i="1"/>
  <c r="R43" i="1" s="1"/>
  <c r="Q51" i="1"/>
  <c r="R51" i="1" s="1"/>
  <c r="Q33" i="1"/>
  <c r="R33" i="1" s="1"/>
  <c r="Q41" i="1"/>
  <c r="R41" i="1" s="1"/>
  <c r="Q49" i="1"/>
  <c r="R49" i="1" s="1"/>
  <c r="Q32" i="1"/>
  <c r="R32" i="1" s="1"/>
  <c r="Q34" i="1"/>
  <c r="R34" i="1" s="1"/>
  <c r="Q36" i="1"/>
  <c r="R36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2" i="1"/>
  <c r="R52" i="1" s="1"/>
  <c r="L22" i="7" l="1"/>
  <c r="H115" i="1"/>
  <c r="P115" i="1" s="1"/>
  <c r="H110" i="1"/>
  <c r="P110" i="1" s="1"/>
  <c r="H108" i="1"/>
  <c r="P108" i="1" s="1"/>
  <c r="N117" i="1"/>
  <c r="H117" i="1"/>
  <c r="P117" i="1" s="1"/>
  <c r="N115" i="1"/>
  <c r="N110" i="1"/>
  <c r="N108" i="1"/>
  <c r="R142" i="1"/>
  <c r="R141" i="1"/>
  <c r="G27" i="2"/>
  <c r="H27" i="2"/>
  <c r="H28" i="2" s="1"/>
  <c r="I27" i="2" s="1"/>
  <c r="K29" i="2"/>
  <c r="K30" i="2" s="1"/>
  <c r="F33" i="2"/>
  <c r="F35" i="2" s="1"/>
  <c r="F36" i="2" s="1"/>
  <c r="F30" i="2"/>
  <c r="N124" i="1"/>
  <c r="H124" i="1"/>
  <c r="P124" i="1" s="1"/>
  <c r="Q117" i="1" l="1"/>
  <c r="R117" i="1" s="1"/>
  <c r="Q115" i="1"/>
  <c r="R115" i="1" s="1"/>
  <c r="Q110" i="1"/>
  <c r="R110" i="1" s="1"/>
  <c r="Q108" i="1"/>
  <c r="R108" i="1" s="1"/>
  <c r="Q124" i="1"/>
  <c r="R124" i="1" s="1"/>
  <c r="N125" i="1"/>
  <c r="H125" i="1"/>
  <c r="P125" i="1" s="1"/>
  <c r="N118" i="1"/>
  <c r="H118" i="1"/>
  <c r="P118" i="1" s="1"/>
  <c r="N116" i="1"/>
  <c r="D6" i="2"/>
  <c r="D34" i="2"/>
  <c r="D25" i="2"/>
  <c r="H116" i="1"/>
  <c r="P116" i="1" s="1"/>
  <c r="G149" i="1"/>
  <c r="G151" i="1" s="1"/>
  <c r="D36" i="2" l="1"/>
  <c r="D37" i="2" s="1"/>
  <c r="Q125" i="1"/>
  <c r="R125" i="1" s="1"/>
  <c r="Q118" i="1"/>
  <c r="R118" i="1" s="1"/>
  <c r="Q116" i="1"/>
  <c r="R116" i="1" s="1"/>
  <c r="N126" i="1"/>
  <c r="N123" i="1"/>
  <c r="N122" i="1"/>
  <c r="N121" i="1"/>
  <c r="N120" i="1"/>
  <c r="N119" i="1"/>
  <c r="N114" i="1"/>
  <c r="N113" i="1"/>
  <c r="N112" i="1"/>
  <c r="N111" i="1"/>
  <c r="N109" i="1"/>
  <c r="N107" i="1"/>
  <c r="N105" i="1"/>
  <c r="N103" i="1"/>
  <c r="H126" i="1" l="1"/>
  <c r="P126" i="1" s="1"/>
  <c r="Q126" i="1" s="1"/>
  <c r="R126" i="1" s="1"/>
  <c r="H123" i="1"/>
  <c r="P123" i="1" s="1"/>
  <c r="Q123" i="1" s="1"/>
  <c r="R123" i="1" s="1"/>
  <c r="H122" i="1"/>
  <c r="P122" i="1" s="1"/>
  <c r="Q122" i="1" s="1"/>
  <c r="R122" i="1" s="1"/>
  <c r="H121" i="1"/>
  <c r="P121" i="1" s="1"/>
  <c r="Q121" i="1" s="1"/>
  <c r="R121" i="1" s="1"/>
  <c r="H120" i="1"/>
  <c r="P120" i="1" s="1"/>
  <c r="Q120" i="1" s="1"/>
  <c r="R120" i="1" s="1"/>
  <c r="H119" i="1"/>
  <c r="P119" i="1" s="1"/>
  <c r="Q119" i="1" s="1"/>
  <c r="R119" i="1" s="1"/>
  <c r="H114" i="1"/>
  <c r="P114" i="1" s="1"/>
  <c r="Q114" i="1" s="1"/>
  <c r="R114" i="1" s="1"/>
  <c r="H113" i="1"/>
  <c r="P113" i="1" s="1"/>
  <c r="Q113" i="1" s="1"/>
  <c r="R113" i="1" s="1"/>
  <c r="H112" i="1"/>
  <c r="P112" i="1" s="1"/>
  <c r="Q112" i="1" s="1"/>
  <c r="R112" i="1" s="1"/>
  <c r="H111" i="1"/>
  <c r="P111" i="1" s="1"/>
  <c r="Q111" i="1" s="1"/>
  <c r="R111" i="1" s="1"/>
  <c r="H109" i="1"/>
  <c r="P109" i="1" s="1"/>
  <c r="Q109" i="1" s="1"/>
  <c r="R109" i="1" s="1"/>
  <c r="H107" i="1"/>
  <c r="P107" i="1" s="1"/>
  <c r="Q107" i="1" s="1"/>
  <c r="R107" i="1" s="1"/>
  <c r="H105" i="1"/>
  <c r="P105" i="1" s="1"/>
  <c r="Q105" i="1" s="1"/>
  <c r="R105" i="1" s="1"/>
  <c r="H103" i="1"/>
  <c r="P103" i="1" l="1"/>
  <c r="H133" i="1"/>
  <c r="P2" i="1"/>
  <c r="Q103" i="1"/>
  <c r="R103" i="1" s="1"/>
  <c r="P133" i="1"/>
  <c r="G141" i="1"/>
  <c r="G153" i="1" s="1"/>
  <c r="R133" i="1" l="1"/>
  <c r="R139" i="1" s="1"/>
  <c r="R2" i="1"/>
  <c r="P144" i="1"/>
  <c r="T133" i="1" l="1"/>
  <c r="E48" i="7" l="1"/>
  <c r="E50" i="7" s="1"/>
  <c r="E52" i="7" s="1"/>
  <c r="E40" i="7"/>
  <c r="E8" i="7"/>
  <c r="E9" i="7" s="1"/>
  <c r="E20" i="7" s="1"/>
  <c r="G40" i="7"/>
  <c r="G49" i="7"/>
  <c r="G50" i="7" s="1"/>
  <c r="G52" i="7" s="1"/>
  <c r="F40" i="7"/>
  <c r="F49" i="7"/>
  <c r="F50" i="7" s="1"/>
  <c r="F52" i="7" s="1"/>
  <c r="E22" i="7" l="1"/>
  <c r="G23" i="7"/>
</calcChain>
</file>

<file path=xl/sharedStrings.xml><?xml version="1.0" encoding="utf-8"?>
<sst xmlns="http://schemas.openxmlformats.org/spreadsheetml/2006/main" count="812" uniqueCount="390">
  <si>
    <t>S. No.</t>
  </si>
  <si>
    <t>Type of Structure</t>
  </si>
  <si>
    <t>Year of Construction</t>
  </si>
  <si>
    <t>Salvage value</t>
  </si>
  <si>
    <t>Depreciation Rate</t>
  </si>
  <si>
    <r>
      <t xml:space="preserve">Total Economical Life
</t>
    </r>
    <r>
      <rPr>
        <b/>
        <i/>
        <sz val="10"/>
        <color theme="0"/>
        <rFont val="Calibri"/>
        <family val="2"/>
        <scheme val="minor"/>
      </rPr>
      <t>(in years)</t>
    </r>
  </si>
  <si>
    <r>
      <t xml:space="preserve">Total Life Consumed 
</t>
    </r>
    <r>
      <rPr>
        <b/>
        <i/>
        <sz val="10"/>
        <color theme="0"/>
        <rFont val="Calibri"/>
        <family val="2"/>
        <scheme val="minor"/>
      </rPr>
      <t>(in years)</t>
    </r>
  </si>
  <si>
    <r>
      <t xml:space="preserve">Gross Replacement Value
</t>
    </r>
    <r>
      <rPr>
        <b/>
        <i/>
        <sz val="10"/>
        <color theme="0"/>
        <rFont val="Calibri"/>
        <family val="2"/>
        <scheme val="minor"/>
      </rPr>
      <t>(INR)</t>
    </r>
  </si>
  <si>
    <r>
      <t xml:space="preserve">Depreciated Replacement Market Value
</t>
    </r>
    <r>
      <rPr>
        <b/>
        <i/>
        <sz val="10"/>
        <color theme="0"/>
        <rFont val="Calibri"/>
        <family val="2"/>
        <scheme val="minor"/>
      </rPr>
      <t>(INR)</t>
    </r>
  </si>
  <si>
    <r>
      <t xml:space="preserve">Depreciation
</t>
    </r>
    <r>
      <rPr>
        <b/>
        <i/>
        <sz val="10"/>
        <color theme="0"/>
        <rFont val="Calibri"/>
        <family val="2"/>
        <scheme val="minor"/>
      </rPr>
      <t>(INR)</t>
    </r>
  </si>
  <si>
    <r>
      <t xml:space="preserve">Plinth Rate
</t>
    </r>
    <r>
      <rPr>
        <b/>
        <i/>
        <sz val="10"/>
        <color theme="0"/>
        <rFont val="Calibri"/>
        <family val="2"/>
        <scheme val="minor"/>
      </rPr>
      <t>(INR)</t>
    </r>
  </si>
  <si>
    <t>Building Name</t>
  </si>
  <si>
    <t>Total</t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</si>
  <si>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sq.ft.)</t>
    </r>
  </si>
  <si>
    <r>
      <t xml:space="preserve">Height
</t>
    </r>
    <r>
      <rPr>
        <b/>
        <i/>
        <sz val="10"/>
        <color theme="0"/>
        <rFont val="Calibri"/>
        <family val="2"/>
        <scheme val="minor"/>
      </rPr>
      <t>(in ft.)</t>
    </r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</si>
  <si>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sq.mtr.)</t>
    </r>
  </si>
  <si>
    <t>ROAD</t>
  </si>
  <si>
    <t>INFRA</t>
  </si>
  <si>
    <t>Boundary</t>
  </si>
  <si>
    <t>PL242-xxx-304,307</t>
  </si>
  <si>
    <t>MKU, changes</t>
  </si>
  <si>
    <t>Remarks:</t>
  </si>
  <si>
    <t>1. All the details pertaing to the building area statement such as area, floor, etc has been taken from the site survey measurement.</t>
  </si>
  <si>
    <t xml:space="preserve">2.The maintenance of the building is averege as per site survey observation. </t>
  </si>
  <si>
    <t>3. Age of building is considered as per the information provided to us during the site survey.</t>
  </si>
  <si>
    <t>MAIN POWER BLOCK</t>
  </si>
  <si>
    <t>TG BUILDING</t>
  </si>
  <si>
    <t>BOILER UNITS</t>
  </si>
  <si>
    <t>ELECTROSTATIC PRECIPITATOR</t>
  </si>
  <si>
    <t xml:space="preserve">INDUCED DRAFT </t>
  </si>
  <si>
    <t>CHIMNEY</t>
  </si>
  <si>
    <t>CENTRAL CONTROL ROOM</t>
  </si>
  <si>
    <t>ESP SWITCHGEAR ROOM</t>
  </si>
  <si>
    <t>CONDENSATE TANK</t>
  </si>
  <si>
    <t>MILL BAY</t>
  </si>
  <si>
    <t>EMERGENCY DG BUILDING</t>
  </si>
  <si>
    <t>PLANT AIR COMPRESSOR  HOUSE/AHP COMPRESSOR HOUSE</t>
  </si>
  <si>
    <t>AQUEOUS AMMONIA STORAGE DYKE</t>
  </si>
  <si>
    <t>CONTROL ROOM AND MCC CHAMBER OF AQUEOUS AMMONIA AREA</t>
  </si>
  <si>
    <t>PA FAN &amp; FD FAN STRUCTURE</t>
  </si>
  <si>
    <t xml:space="preserve">EMERGENCY OIL SEPARATING POND </t>
  </si>
  <si>
    <t xml:space="preserve">VACUUM SG ROOM </t>
  </si>
  <si>
    <t>AHP CONTROL ROOM</t>
  </si>
  <si>
    <t>ELECTRICAL FACILITY</t>
  </si>
  <si>
    <t>TRANSFORMER YARD</t>
  </si>
  <si>
    <t>400KV SWITCH YARD</t>
  </si>
  <si>
    <t>SWITCH YARD CONTROL ROOM</t>
  </si>
  <si>
    <t>SWITCHGEAR ROOM FOR COOLING TOWER</t>
  </si>
  <si>
    <t>CONSTRUCTION POWER SUBSTATION</t>
  </si>
  <si>
    <t>66 KV GIS INTAKE PUMP HOUSE</t>
  </si>
  <si>
    <t>HYDRAULIC FACILITY</t>
  </si>
  <si>
    <t>COOLING TOWER</t>
  </si>
  <si>
    <t>CLARIFIED &amp; FIRE WATER STORAGE TANK &amp; PH</t>
  </si>
  <si>
    <t>C.W. PUMP HOUSE CUM CT MCC/LCR ROOM</t>
  </si>
  <si>
    <t xml:space="preserve">C.W. TREATMENT AND SSF </t>
  </si>
  <si>
    <t>WT PLANT INCLUDING RAW/POTABLE WATER CHLORINATION</t>
  </si>
  <si>
    <t>ACID AND ALKALI STORAGE AREA</t>
  </si>
  <si>
    <t>S.T.P.</t>
  </si>
  <si>
    <t>RAIN WATER HARVESTING POND</t>
  </si>
  <si>
    <t>E.T.P./CMB</t>
  </si>
  <si>
    <t>CW. CHLORINATION</t>
  </si>
  <si>
    <t xml:space="preserve"> DM PLANT &amp; DM WATER  STORAGE TANKS/CW BLOW DOWN RECYCLE PLANT</t>
  </si>
  <si>
    <t>UNIT DRAIN TANK</t>
  </si>
  <si>
    <t>Electrical room and Chemical lab</t>
  </si>
  <si>
    <t>HRSCC</t>
  </si>
  <si>
    <t>INTAKE CHLORINATION BUILDING</t>
  </si>
  <si>
    <t>FGD FACILITY</t>
  </si>
  <si>
    <t>LIMESTONE UNLOADING AREA</t>
  </si>
  <si>
    <t>LIMESTONE SILO BUILDING</t>
  </si>
  <si>
    <t>GYPSUM PROCESSING BUILDING</t>
  </si>
  <si>
    <t>GYPSUM STORAGE YARD</t>
  </si>
  <si>
    <t>ABSORBER</t>
  </si>
  <si>
    <t>SLURRY CIRCULATION PUMP ROOM</t>
  </si>
  <si>
    <t>FGD CONTROL ROOM</t>
  </si>
  <si>
    <t>COAL &amp; ASH FACILITY</t>
  </si>
  <si>
    <t>WAGON TRIPPLERS</t>
  </si>
  <si>
    <t>HYDRAULIC ROOM</t>
  </si>
  <si>
    <t>T1 TRANSFER STATION</t>
  </si>
  <si>
    <t>CRUSHER HOUSE</t>
  </si>
  <si>
    <t>T2 TRANSFER STATION</t>
  </si>
  <si>
    <t>T3 TRANSFER STATION</t>
  </si>
  <si>
    <t>C1AB CONVEYOR</t>
  </si>
  <si>
    <t>C2AB CONVEYOR</t>
  </si>
  <si>
    <t>C3AB CONVEYOR</t>
  </si>
  <si>
    <t>C4AB CONVEYOR</t>
  </si>
  <si>
    <t>C5AB CONVEYOR</t>
  </si>
  <si>
    <t>C6AB CONVEYOR</t>
  </si>
  <si>
    <t>COAL STOCK PILE / Yard</t>
  </si>
  <si>
    <t xml:space="preserve">CHP MAIN CONTROL ROOM </t>
  </si>
  <si>
    <t>ELECTRICAL ROOM NEAR WAGON TIPPLER</t>
  </si>
  <si>
    <t>COAL SLURRY SETTLING POND</t>
  </si>
  <si>
    <t>CHP PUMP HOUSE AND  COAL PILE /RUN OFF TREATMENT</t>
  </si>
  <si>
    <t>PENT HOUSE-1</t>
  </si>
  <si>
    <t>DOZER SHED</t>
  </si>
  <si>
    <t>DRIVE HOUSE</t>
  </si>
  <si>
    <t>MILL REJECT SILO</t>
  </si>
  <si>
    <t>ASH WATER PUMP HOUSE &amp; ASH WATER TANK</t>
  </si>
  <si>
    <t>BOTTOM ASH SLURRY PUMP HOUSE</t>
  </si>
  <si>
    <t>HYDROBINS</t>
  </si>
  <si>
    <t>HCSD PUMP HOUSE</t>
  </si>
  <si>
    <t>HCSD FLY ASH SILO</t>
  </si>
  <si>
    <t>MAIN FLY ASH SILOS AREA</t>
  </si>
  <si>
    <t>SILO UTILITY BUILDING</t>
  </si>
  <si>
    <t>SAMPLING HOUSE (AS FIRED)</t>
  </si>
  <si>
    <t>DEFERRIZATION HOUSE</t>
  </si>
  <si>
    <t>DRIVE HOUSE CONV 6AB</t>
  </si>
  <si>
    <t>ASH WATER TREATMENT FACILITY</t>
  </si>
  <si>
    <t>BOTTOM ASH UNLOADING ROOM</t>
  </si>
  <si>
    <t>HCSD CONTROL ROOM</t>
  </si>
  <si>
    <t>ELECTRICAL ROOM -ASH WATER PUMP HOUSE</t>
  </si>
  <si>
    <t>ASH POND</t>
  </si>
  <si>
    <t>AHP SETTLING TANK</t>
  </si>
  <si>
    <t>AHP SURGE TANK</t>
  </si>
  <si>
    <t>AHP SEAL WATER TANK</t>
  </si>
  <si>
    <t>AHP SLUDGE SUMP</t>
  </si>
  <si>
    <t>HCSD MIXING TANKS</t>
  </si>
  <si>
    <t>BA 2ND STAGE CRUSHER HOUSE</t>
  </si>
  <si>
    <t>BA CONVEYOR (2A/2B)</t>
  </si>
  <si>
    <t>AUXILIARY FACILITY</t>
  </si>
  <si>
    <t>FIRE STATION</t>
  </si>
  <si>
    <t>AUX. BOILER</t>
  </si>
  <si>
    <t xml:space="preserve">FUEL OIL TANK FARM AREA </t>
  </si>
  <si>
    <t xml:space="preserve">F.O.P.H. CUM LOCAL CONTROL ROOM  </t>
  </si>
  <si>
    <t>HYDROGEN GENERATING PLANT</t>
  </si>
  <si>
    <t>HYDROGN CONTAINER ROOM</t>
  </si>
  <si>
    <t>ACCESSORY FACILITY</t>
  </si>
  <si>
    <t>SECURITY OFFICE &amp; TIME OFFICE</t>
  </si>
  <si>
    <t>ADMINISTRATION OFFICE BUILDING</t>
  </si>
  <si>
    <t>SERVICE BUILDING</t>
  </si>
  <si>
    <t>SECURITY BARRACK</t>
  </si>
  <si>
    <t>CONTRACTOR OFFICE</t>
  </si>
  <si>
    <t>PLANT MATERIAL GATE</t>
  </si>
  <si>
    <t>WEIGH BRIDGE 100 TON</t>
  </si>
  <si>
    <t>CANTEEN</t>
  </si>
  <si>
    <t>WORKSHOP</t>
  </si>
  <si>
    <t>STORE</t>
  </si>
  <si>
    <t>TOWNSHIP</t>
  </si>
  <si>
    <t>OWNER OFFICE</t>
  </si>
  <si>
    <t>DINING HALL/CANTEEN</t>
  </si>
  <si>
    <t>THE SECOND GATE OF THE PLANT</t>
  </si>
  <si>
    <t>LOCO SHED</t>
  </si>
  <si>
    <t>PIPE RACK -I</t>
  </si>
  <si>
    <t>PIPE RACK -II</t>
  </si>
  <si>
    <t>PIPE RACK -III</t>
  </si>
  <si>
    <t>PIPE RACK-IV</t>
  </si>
  <si>
    <t>EXCHANGE YARD BUILDING</t>
  </si>
  <si>
    <t>RAW WATER RESERVOIR</t>
  </si>
  <si>
    <t>RAW WATER PUMP HOUSE</t>
  </si>
  <si>
    <t>ROAD AND DRAIN</t>
  </si>
  <si>
    <t xml:space="preserve">Steel Structure </t>
  </si>
  <si>
    <t>RCC</t>
  </si>
  <si>
    <t>Steel Structure</t>
  </si>
  <si>
    <t>Shed Steel Structure
RCC</t>
  </si>
  <si>
    <t>RCC /  Steel Structure</t>
  </si>
  <si>
    <t>UG -RCC 
AG -Steel Structure</t>
  </si>
  <si>
    <t>AG- Steel Structure</t>
  </si>
  <si>
    <t>G</t>
  </si>
  <si>
    <t>RCC / Steel Structure</t>
  </si>
  <si>
    <t xml:space="preserve">RCC / Steel Structure </t>
  </si>
  <si>
    <t>Floor Details</t>
  </si>
  <si>
    <t>G+8</t>
  </si>
  <si>
    <t>G+10</t>
  </si>
  <si>
    <t>G+1</t>
  </si>
  <si>
    <t>G+3</t>
  </si>
  <si>
    <t>NA</t>
  </si>
  <si>
    <t>G+2</t>
  </si>
  <si>
    <t>UG</t>
  </si>
  <si>
    <t>G-5</t>
  </si>
  <si>
    <t>G-2</t>
  </si>
  <si>
    <t>G+4</t>
  </si>
  <si>
    <t>UG / AG</t>
  </si>
  <si>
    <t>AG</t>
  </si>
  <si>
    <t>G+8 (06 Nos), G+5 ( 3 Nos), G+1 (1 No)</t>
  </si>
  <si>
    <t>Ground-RCC
Floors-Grating &amp; Platforms</t>
  </si>
  <si>
    <t>RCC Under Ground</t>
  </si>
  <si>
    <t>Open Ground -08 Meter</t>
  </si>
  <si>
    <t>Open Ground -10 Meter</t>
  </si>
  <si>
    <t>Building Details</t>
  </si>
  <si>
    <r>
      <t xml:space="preserve">FLASH TANK
</t>
    </r>
    <r>
      <rPr>
        <b/>
        <sz val="11"/>
        <rFont val="Calibri"/>
        <family val="2"/>
        <scheme val="minor"/>
      </rPr>
      <t>(Included in Boiler)</t>
    </r>
  </si>
  <si>
    <r>
      <t xml:space="preserve">AIR WASHER UNIT
</t>
    </r>
    <r>
      <rPr>
        <b/>
        <sz val="11"/>
        <rFont val="Calibri"/>
        <family val="2"/>
        <scheme val="minor"/>
      </rPr>
      <t>(Included in TG Building)</t>
    </r>
  </si>
  <si>
    <t>Boundary Wall</t>
  </si>
  <si>
    <t>12,000 running mtr.</t>
  </si>
  <si>
    <t>Green Belt Development</t>
  </si>
  <si>
    <t>Levelling and Area Grading</t>
  </si>
  <si>
    <t>275 acres</t>
  </si>
  <si>
    <t>124 acres</t>
  </si>
  <si>
    <t>Particulars</t>
  </si>
  <si>
    <t>Approach Roads</t>
  </si>
  <si>
    <t>Plant Road &amp; Drains</t>
  </si>
  <si>
    <t>Township</t>
  </si>
  <si>
    <t>Area &amp; Length details</t>
  </si>
  <si>
    <t>10,000 mtr</t>
  </si>
  <si>
    <t>12,000 mtr</t>
  </si>
  <si>
    <t>3,000 mtr</t>
  </si>
  <si>
    <t>Floor</t>
  </si>
  <si>
    <t>RCC Framed Structure</t>
  </si>
  <si>
    <t>Steel Structure with RCC walls &amp; Roof</t>
  </si>
  <si>
    <t>sq.mtr.</t>
  </si>
  <si>
    <t>Admin Building</t>
  </si>
  <si>
    <t>Service Building</t>
  </si>
  <si>
    <t>-</t>
  </si>
  <si>
    <t>Rs.2,000 per sq.ft.</t>
  </si>
  <si>
    <t>Rs.2,200 per sq.ft.</t>
  </si>
  <si>
    <t>PREVIOUSLY ACQUIRED LAND</t>
  </si>
  <si>
    <t>Type of Land</t>
  </si>
  <si>
    <t>Village</t>
  </si>
  <si>
    <t>District</t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</si>
  <si>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Acre)</t>
    </r>
  </si>
  <si>
    <t>Project Land</t>
  </si>
  <si>
    <t>Gangta Govindpur</t>
  </si>
  <si>
    <t>Godda</t>
  </si>
  <si>
    <t>Mali</t>
  </si>
  <si>
    <t>Motia</t>
  </si>
  <si>
    <t>Patwa</t>
  </si>
  <si>
    <t>Kamuthi</t>
  </si>
  <si>
    <t>ADDITIONAL PROJECT LAND</t>
  </si>
  <si>
    <t>Booster Reservoir Land</t>
  </si>
  <si>
    <t>Bahadurchak</t>
  </si>
  <si>
    <t>Bhagwanpur</t>
  </si>
  <si>
    <t>Niyamatchak</t>
  </si>
  <si>
    <t>Water Intake Lands</t>
  </si>
  <si>
    <t>Satichoki Khuthri</t>
  </si>
  <si>
    <t>Railway Line Lands</t>
  </si>
  <si>
    <t>Gumma</t>
  </si>
  <si>
    <t>Gorhighat</t>
  </si>
  <si>
    <t>Kanadih</t>
  </si>
  <si>
    <t>Koribahiyar Ghat</t>
  </si>
  <si>
    <t>Koribahiyar Mal</t>
  </si>
  <si>
    <t>Koribahiyar Malchhit</t>
  </si>
  <si>
    <t>Karikado</t>
  </si>
  <si>
    <t>Nayabad</t>
  </si>
  <si>
    <t>TOTAL LAND</t>
  </si>
  <si>
    <t>Total Land</t>
  </si>
  <si>
    <t>Land outside Project Area</t>
  </si>
  <si>
    <t>Ramanathapuram</t>
  </si>
  <si>
    <t>Land Exempted from mortgage</t>
  </si>
  <si>
    <t>mortgaged land</t>
  </si>
  <si>
    <t>exempted land</t>
  </si>
  <si>
    <t>For Valuation</t>
  </si>
  <si>
    <t>Exempted Land (on Lease)</t>
  </si>
  <si>
    <t>(on Lease)</t>
  </si>
  <si>
    <t>Dhani-II</t>
  </si>
  <si>
    <t>Dhani-III</t>
  </si>
  <si>
    <t>Badi I</t>
  </si>
  <si>
    <t>Badi II</t>
  </si>
  <si>
    <t>Badi III</t>
  </si>
  <si>
    <t>Other Land</t>
  </si>
  <si>
    <t>Gangta</t>
  </si>
  <si>
    <t>Type of Land Parcel</t>
  </si>
  <si>
    <t>Residential &amp; Dhani-I</t>
  </si>
  <si>
    <t>Badi-I</t>
  </si>
  <si>
    <t>Badi-II</t>
  </si>
  <si>
    <t>Badi-III</t>
  </si>
  <si>
    <t>Other type of Land</t>
  </si>
  <si>
    <t>Total (A)</t>
  </si>
  <si>
    <r>
      <t xml:space="preserve"> 2 times of Value of </t>
    </r>
    <r>
      <rPr>
        <b/>
        <sz val="11"/>
        <color theme="1"/>
        <rFont val="Calibri"/>
        <family val="2"/>
        <scheme val="minor"/>
      </rPr>
      <t>A</t>
    </r>
  </si>
  <si>
    <t>Total (D=B+C)</t>
  </si>
  <si>
    <t>100% of value D</t>
  </si>
  <si>
    <t>Total Award Value (F=D+E)</t>
  </si>
  <si>
    <t>Value of Rehabilitation &amp; Resettlement as per the finormation provided by the company</t>
  </si>
  <si>
    <t>Taken same as paid by the company</t>
  </si>
  <si>
    <t>Total Value (I=F+G+H)</t>
  </si>
  <si>
    <t>Total Value (K=I+J)</t>
  </si>
  <si>
    <r>
      <t xml:space="preserve">Add Solatium (100%) </t>
    </r>
    <r>
      <rPr>
        <b/>
        <sz val="11"/>
        <color theme="1"/>
        <rFont val="Calibri"/>
        <family val="2"/>
        <scheme val="minor"/>
      </rPr>
      <t>(E)</t>
    </r>
  </si>
  <si>
    <t xml:space="preserve">15% of the total value of the land </t>
  </si>
  <si>
    <t>per acre</t>
  </si>
  <si>
    <t>last valuation</t>
  </si>
  <si>
    <t>VALUATION OF PROJECT LAND
ADANI POWER (JHARKHAND) LIMITED
VILLAGE- MALI, PATWA, MOTIA &amp; GANGTA GOVINDPUR, DISTRICT- GODDA, JHARKHAND</t>
  </si>
  <si>
    <t>Land</t>
  </si>
  <si>
    <t>Building</t>
  </si>
  <si>
    <t>Plant &amp; Machinery</t>
  </si>
  <si>
    <t>Book Value</t>
  </si>
  <si>
    <t>Replacement Value</t>
  </si>
  <si>
    <t>Fair Market Value</t>
  </si>
  <si>
    <t>(all figures in INR crore)</t>
  </si>
  <si>
    <t>(all figures in INR)</t>
  </si>
  <si>
    <t>Booster</t>
  </si>
  <si>
    <t>Water Intake</t>
  </si>
  <si>
    <t>Railway</t>
  </si>
  <si>
    <t>Other land</t>
  </si>
  <si>
    <t>Residential
 &amp; Dhani-I</t>
  </si>
  <si>
    <t xml:space="preserve"> </t>
  </si>
  <si>
    <t>1600 MW
(2x800)</t>
  </si>
  <si>
    <t>Capacity</t>
  </si>
  <si>
    <t>Location</t>
  </si>
  <si>
    <t>Website Link</t>
  </si>
  <si>
    <t>Details of Project</t>
  </si>
  <si>
    <t>UP Gov. &amp; NTPC</t>
  </si>
  <si>
    <t>Obra-D Project
(Ultra-Super Critical)</t>
  </si>
  <si>
    <t>Land Area</t>
  </si>
  <si>
    <t>500 Acres</t>
  </si>
  <si>
    <r>
      <t xml:space="preserve">Project Cost
</t>
    </r>
    <r>
      <rPr>
        <b/>
        <i/>
        <sz val="10"/>
        <color theme="0"/>
        <rFont val="Calibri"/>
        <family val="2"/>
        <scheme val="minor"/>
      </rPr>
      <t>(in INR Crore)</t>
    </r>
  </si>
  <si>
    <t>Sonbhadra, Uttar Pradesh</t>
  </si>
  <si>
    <r>
      <t xml:space="preserve">Project Cost
</t>
    </r>
    <r>
      <rPr>
        <b/>
        <i/>
        <sz val="10"/>
        <color theme="0"/>
        <rFont val="Calibri"/>
        <family val="2"/>
        <scheme val="minor"/>
      </rPr>
      <t>(in INR Crore per MW)</t>
    </r>
  </si>
  <si>
    <t>1320 MW
(2x660)</t>
  </si>
  <si>
    <t>800 MW</t>
  </si>
  <si>
    <t>Chhabra, Rajasthan</t>
  </si>
  <si>
    <t>Kalisindh, Rajasthan</t>
  </si>
  <si>
    <t>https://www.drishtiias.com/state-pcs-current-affairs/ultra-supercritical-unit-power-plant#:~:text=Key%20Points,the%20Chhabra%20Thermal%20Power%20Project.</t>
  </si>
  <si>
    <t>Chhabra Thermal Power Project
(Ultra-Super Critical)</t>
  </si>
  <si>
    <t>Kalisindh Thermal Power Project
(Ultra-Super Critical)</t>
  </si>
  <si>
    <t>https://www.hindustantimes.com/cities/lucknow-news/uttar-pradesh-approves-joint-venture-with-ntpc-for-1600-mw-obra-d-thermal-power-project-in-sonbhadra-101689092171259.html
https://economictimes.indiatimes.com/industry/energy/power/up-govt-approves-two-thermal-power-projects-worth-rs-18000-crore-in-sonbhadras-obra/articleshow/101669471.cms</t>
  </si>
  <si>
    <t>https://www.financialexpress.com/photos/business-gallery/3140677/nlc-indias-first-coal-based-supercritical-thermal-power-plant-to-begin-operation-soon-see-photos/3/</t>
  </si>
  <si>
    <t>Being set-up</t>
  </si>
  <si>
    <t>UP Gov. &amp; NLC India Limited (formerly Neyveli Lignite Corporation Limited)</t>
  </si>
  <si>
    <t>Ghatampur, Uttar Pradesh</t>
  </si>
  <si>
    <t>NUPPL Thermal Power Plant</t>
  </si>
  <si>
    <t>1980 MW
(3x660)</t>
  </si>
  <si>
    <t>2506 Acres</t>
  </si>
  <si>
    <r>
      <t xml:space="preserve">Factor for Land Falls under Rural Area </t>
    </r>
    <r>
      <rPr>
        <b/>
        <sz val="11"/>
        <color theme="1"/>
        <rFont val="Calibri"/>
        <family val="2"/>
        <scheme val="minor"/>
      </rPr>
      <t>(B)</t>
    </r>
  </si>
  <si>
    <r>
      <t xml:space="preserve">Value of Assets attached to land or building </t>
    </r>
    <r>
      <rPr>
        <b/>
        <sz val="11"/>
        <color theme="1"/>
        <rFont val="Calibri"/>
        <family val="2"/>
        <scheme val="minor"/>
      </rPr>
      <t>(C)</t>
    </r>
  </si>
  <si>
    <r>
      <t xml:space="preserve">Compensation against the Rehabilitation &amp; Resettlement (R&amp;R) </t>
    </r>
    <r>
      <rPr>
        <b/>
        <sz val="11"/>
        <color theme="1"/>
        <rFont val="Calibri"/>
        <family val="2"/>
        <scheme val="minor"/>
      </rPr>
      <t>(H)</t>
    </r>
  </si>
  <si>
    <r>
      <t xml:space="preserve">Additional Premium for Sector Specific Special Economical Zone (SEZ) for Power </t>
    </r>
    <r>
      <rPr>
        <b/>
        <sz val="11"/>
        <color theme="1"/>
        <rFont val="Calibri"/>
        <family val="2"/>
        <scheme val="minor"/>
      </rPr>
      <t>(J)</t>
    </r>
  </si>
  <si>
    <r>
      <t xml:space="preserve">Premium for developed Land </t>
    </r>
    <r>
      <rPr>
        <b/>
        <sz val="11"/>
        <color theme="1"/>
        <rFont val="Calibri"/>
        <family val="2"/>
        <scheme val="minor"/>
      </rPr>
      <t>(G)</t>
    </r>
  </si>
  <si>
    <t xml:space="preserve"> @Rs.180 per sq.mtr.</t>
  </si>
  <si>
    <t xml:space="preserve"> @ Rs.10,870 running mtr.</t>
  </si>
  <si>
    <t>660 MW</t>
  </si>
  <si>
    <t>Coal India Limited</t>
  </si>
  <si>
    <t>Amarkantak, Madhya Pradesh</t>
  </si>
  <si>
    <t>Sundergarh, Odisha</t>
  </si>
  <si>
    <t>https://energy.economictimes.indiatimes.com/news/coal/coal-india-plans-two-thermal-plants-with-rs-21547-cr-investment-in-odisha-madhya-pradesh/102370928
https://www.constructionweekonline.in/projects-tenders/coal-india-to-invest-rs-21547-crore-in-two-thermal-plants</t>
  </si>
  <si>
    <t>Coal India Limited
(Mahanadi Coalfields Limited)</t>
  </si>
  <si>
    <t>Rajasthan Gov.
(Rajasthan Rajya Vidyut Utpadan Nigam)</t>
  </si>
  <si>
    <t>To be set-up</t>
  </si>
  <si>
    <t>Company/Promoter</t>
  </si>
  <si>
    <t xml:space="preserve"> @Rs.3 Crore per km</t>
  </si>
  <si>
    <t>Rs.2,600 per sq.ft.</t>
  </si>
  <si>
    <r>
      <t xml:space="preserve">Area
</t>
    </r>
    <r>
      <rPr>
        <b/>
        <i/>
        <sz val="11"/>
        <color theme="0"/>
        <rFont val="Calibri"/>
        <family val="2"/>
        <scheme val="minor"/>
      </rPr>
      <t>(in sq.ft.)</t>
    </r>
  </si>
  <si>
    <r>
      <t xml:space="preserve">Total Life Consumed 
</t>
    </r>
    <r>
      <rPr>
        <b/>
        <i/>
        <sz val="11"/>
        <color theme="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</si>
  <si>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1"/>
        <color theme="0"/>
        <rFont val="Calibri"/>
        <family val="2"/>
        <scheme val="minor"/>
      </rPr>
      <t>(in years)</t>
    </r>
  </si>
  <si>
    <r>
      <t xml:space="preserve">Plinth Rate
</t>
    </r>
    <r>
      <rPr>
        <b/>
        <i/>
        <sz val="11"/>
        <color theme="0"/>
        <rFont val="Calibri"/>
        <family val="2"/>
        <scheme val="minor"/>
      </rPr>
      <t>(INR)</t>
    </r>
  </si>
  <si>
    <r>
      <t xml:space="preserve">Gross Replacement Value
</t>
    </r>
    <r>
      <rPr>
        <b/>
        <i/>
        <sz val="11"/>
        <color theme="0"/>
        <rFont val="Calibri"/>
        <family val="2"/>
        <scheme val="minor"/>
      </rPr>
      <t>(INR)</t>
    </r>
  </si>
  <si>
    <r>
      <t xml:space="preserve">Depreciation
</t>
    </r>
    <r>
      <rPr>
        <b/>
        <i/>
        <sz val="11"/>
        <color theme="0"/>
        <rFont val="Calibri"/>
        <family val="2"/>
        <scheme val="minor"/>
      </rPr>
      <t>(INR)</t>
    </r>
  </si>
  <si>
    <r>
      <t xml:space="preserve">Depreciated Replacement Market Value
</t>
    </r>
    <r>
      <rPr>
        <b/>
        <i/>
        <sz val="11"/>
        <color theme="0"/>
        <rFont val="Calibri"/>
        <family val="2"/>
        <scheme val="minor"/>
      </rPr>
      <t>(INR)</t>
    </r>
  </si>
  <si>
    <t>4,958 sq.mtr.</t>
  </si>
  <si>
    <t>2,220 sq.mtr.</t>
  </si>
  <si>
    <t>31,970 sq.mtr.</t>
  </si>
  <si>
    <t>Crore per MW</t>
  </si>
  <si>
    <t>https://parivesh.nic.in/newupgrade/#/trackYourProposal?proposalNumber=&amp;isProposalOld=&amp;isProposalNew=&amp;majorClearanceType=1&amp;proposalType=&amp;state=9&amp;issueAuthority=&amp;activityId=6&amp;EcSectors=&amp;fcCategory=&amp;startDate=&amp;endDate=&amp;areaMin=&amp;areaMax=&amp;text=&amp;proposalStatus=&amp;oldProposalType=Select%20Proposal%20Type&amp;proposalYear=before5thsep2022</t>
  </si>
  <si>
    <t>sq.ft.</t>
  </si>
  <si>
    <t>April</t>
  </si>
  <si>
    <t>May</t>
  </si>
  <si>
    <t>June</t>
  </si>
  <si>
    <t>July</t>
  </si>
  <si>
    <t>Aug</t>
  </si>
  <si>
    <t>Sept</t>
  </si>
  <si>
    <t>Oct</t>
  </si>
  <si>
    <t>Nov</t>
  </si>
  <si>
    <t>Railway Siding</t>
  </si>
  <si>
    <t>Vehicle</t>
  </si>
  <si>
    <t>Computer H/W</t>
  </si>
  <si>
    <t>Furniture &amp; Fixture</t>
  </si>
  <si>
    <t>Office Equipment</t>
  </si>
  <si>
    <t>Plant &amp; Machinery(electrical installation)</t>
  </si>
  <si>
    <t>Computer S/W</t>
  </si>
  <si>
    <t>(all figures in INR Crore)</t>
  </si>
  <si>
    <t>Plant &amp; Machinery (electrical installation)</t>
  </si>
  <si>
    <t>As per RKA dated 15.11.2023</t>
  </si>
  <si>
    <t>Geotech</t>
  </si>
  <si>
    <t xml:space="preserve"> @ Rs.11 Lakh per acre</t>
  </si>
  <si>
    <t>LSM</t>
  </si>
  <si>
    <t>Land (Leasehold)</t>
  </si>
  <si>
    <t>Land (Freehold)</t>
  </si>
  <si>
    <t>Total Land Value (A)</t>
  </si>
  <si>
    <t>Total Building Value (B)</t>
  </si>
  <si>
    <t>Total Plant &amp; Machinery Value (C)</t>
  </si>
  <si>
    <t>Total Other Assets (D)</t>
  </si>
  <si>
    <t>Grand Total (A+B+C+D)</t>
  </si>
  <si>
    <t>Deffered Govt. Grant not included in above</t>
  </si>
  <si>
    <t>Total Fixed Assets including Govt. Grant</t>
  </si>
  <si>
    <t>15% of value F</t>
  </si>
  <si>
    <t>Porta Cabins &amp; Others</t>
  </si>
  <si>
    <r>
      <t xml:space="preserve">Area
</t>
    </r>
    <r>
      <rPr>
        <b/>
        <i/>
        <sz val="10"/>
        <color theme="0"/>
        <rFont val="Calibri"/>
        <family val="2"/>
        <scheme val="minor"/>
      </rPr>
      <t>(in Acres)</t>
    </r>
  </si>
  <si>
    <r>
      <t xml:space="preserve">Land Rate under Land Acquisition Act-2013
</t>
    </r>
    <r>
      <rPr>
        <i/>
        <sz val="10"/>
        <color theme="0"/>
        <rFont val="Calibri"/>
        <family val="2"/>
        <scheme val="minor"/>
      </rPr>
      <t>(in INR per acre)</t>
    </r>
  </si>
  <si>
    <t xml:space="preserve"> @Rs.6 Crore per km</t>
  </si>
  <si>
    <t>G+8
(6 Nos), G+5
(3 Nos), G+1
(1 No)</t>
  </si>
  <si>
    <t>As per APJL FAR dated Sep-2023</t>
  </si>
  <si>
    <t>Buxar Thermal Power Project</t>
  </si>
  <si>
    <t>Khurja Super Thermal Power Plant</t>
  </si>
  <si>
    <t>Buxar, Bihar</t>
  </si>
  <si>
    <t>Khurja, Bulandshahar, Uttar Pradesh</t>
  </si>
  <si>
    <t>THDC India Limited</t>
  </si>
  <si>
    <t>Status of Completion/
COD</t>
  </si>
  <si>
    <t>SJVN Thermal Private Limited</t>
  </si>
  <si>
    <t>Distressed Value</t>
  </si>
  <si>
    <t>Realizable Value</t>
  </si>
  <si>
    <t>Distress Value</t>
  </si>
  <si>
    <r>
      <t xml:space="preserve">Total Value of Land
</t>
    </r>
    <r>
      <rPr>
        <b/>
        <i/>
        <sz val="10"/>
        <color theme="0"/>
        <rFont val="Calibri"/>
        <family val="2"/>
        <scheme val="minor"/>
      </rPr>
      <t>(in INR)</t>
    </r>
  </si>
  <si>
    <r>
      <t xml:space="preserve">Guideline Land Rate under Land Acquisition Act-2013
</t>
    </r>
    <r>
      <rPr>
        <i/>
        <sz val="10"/>
        <color theme="0"/>
        <rFont val="Calibri"/>
        <family val="2"/>
        <scheme val="minor"/>
      </rPr>
      <t>(in INR per acre)</t>
    </r>
  </si>
  <si>
    <r>
      <t xml:space="preserve">Total Guideline Value of Land
</t>
    </r>
    <r>
      <rPr>
        <b/>
        <i/>
        <sz val="10"/>
        <color theme="0"/>
        <rFont val="Calibri"/>
        <family val="2"/>
        <scheme val="minor"/>
      </rPr>
      <t>(in INR)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</si>
</sst>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* #,##0.0_ ;_ * \-#,##0.0_ ;_ * &quot;-&quot;?_ ;_ @_ "/>
    <numFmt numFmtId="168" formatCode="_ [$₹-4009]\ * #,##0.00_ ;_ [$₹-4009]\ * \-#,##0.00_ ;_ [$₹-4009]\ * &quot;-&quot;??_ ;_ @_ "/>
    <numFmt numFmtId="169" formatCode="_ [$₹-4009]\ * #,##0_ ;_ [$₹-4009]\ * \-#,##0_ ;_ [$₹-4009]\ * &quot;-&quot;??_ ;_ @_ "/>
    <numFmt numFmtId="170" formatCode="0.0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dani Regular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164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2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/>
    <xf numFmtId="164" fontId="0" fillId="0" borderId="0" xfId="1" applyNumberFormat="1" applyFont="1"/>
    <xf numFmtId="167" fontId="0" fillId="0" borderId="0" xfId="0" applyNumberFormat="1"/>
    <xf numFmtId="164" fontId="3" fillId="0" borderId="0" xfId="0" applyNumberFormat="1" applyFont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3" fontId="3" fillId="4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3" fontId="0" fillId="0" borderId="0" xfId="0" applyNumberFormat="1" applyAlignment="1">
      <alignment horizontal="center" vertical="center"/>
    </xf>
    <xf numFmtId="43" fontId="3" fillId="5" borderId="1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22" fontId="0" fillId="0" borderId="0" xfId="0" applyNumberFormat="1" applyAlignment="1">
      <alignment horizontal="center" vertical="center"/>
    </xf>
    <xf numFmtId="0" fontId="0" fillId="6" borderId="1" xfId="0" applyFill="1" applyBorder="1" applyAlignment="1">
      <alignment vertical="center"/>
    </xf>
    <xf numFmtId="43" fontId="0" fillId="6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43" fontId="3" fillId="0" borderId="0" xfId="0" applyNumberFormat="1" applyFont="1" applyAlignment="1">
      <alignment horizontal="right" vertical="center"/>
    </xf>
    <xf numFmtId="0" fontId="0" fillId="5" borderId="1" xfId="0" applyFill="1" applyBorder="1"/>
    <xf numFmtId="0" fontId="0" fillId="0" borderId="1" xfId="0" applyBorder="1"/>
    <xf numFmtId="0" fontId="3" fillId="0" borderId="1" xfId="0" applyFont="1" applyBorder="1"/>
    <xf numFmtId="168" fontId="0" fillId="0" borderId="0" xfId="0" applyNumberFormat="1"/>
    <xf numFmtId="164" fontId="0" fillId="0" borderId="1" xfId="1" applyNumberFormat="1" applyFont="1" applyBorder="1"/>
    <xf numFmtId="164" fontId="3" fillId="0" borderId="1" xfId="1" applyNumberFormat="1" applyFont="1" applyBorder="1"/>
    <xf numFmtId="164" fontId="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wrapText="1"/>
    </xf>
    <xf numFmtId="164" fontId="1" fillId="0" borderId="0" xfId="1" applyNumberFormat="1" applyFont="1"/>
    <xf numFmtId="43" fontId="11" fillId="0" borderId="0" xfId="1" applyFont="1" applyAlignment="1">
      <alignment horizontal="right" vertical="center"/>
    </xf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0" fillId="0" borderId="1" xfId="1" applyNumberFormat="1" applyFont="1" applyFill="1" applyBorder="1" applyAlignment="1">
      <alignment vertical="center"/>
    </xf>
    <xf numFmtId="43" fontId="3" fillId="0" borderId="0" xfId="0" applyNumberFormat="1" applyFont="1" applyAlignment="1">
      <alignment horizontal="center" vertical="center"/>
    </xf>
    <xf numFmtId="0" fontId="0" fillId="5" borderId="1" xfId="0" applyFill="1" applyBorder="1" applyAlignment="1">
      <alignment wrapText="1"/>
    </xf>
    <xf numFmtId="43" fontId="0" fillId="0" borderId="1" xfId="0" applyNumberFormat="1" applyBorder="1"/>
    <xf numFmtId="43" fontId="3" fillId="0" borderId="1" xfId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center" vertical="center"/>
    </xf>
    <xf numFmtId="4" fontId="0" fillId="0" borderId="1" xfId="3" applyNumberFormat="1" applyFont="1" applyBorder="1" applyAlignment="1">
      <alignment horizontal="center" vertical="center" wrapText="1"/>
    </xf>
    <xf numFmtId="4" fontId="0" fillId="0" borderId="1" xfId="3" applyNumberFormat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left" wrapText="1"/>
    </xf>
    <xf numFmtId="170" fontId="0" fillId="0" borderId="0" xfId="6" applyNumberFormat="1" applyFont="1"/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 vertical="center"/>
    </xf>
    <xf numFmtId="43" fontId="1" fillId="0" borderId="1" xfId="1" applyFont="1" applyBorder="1" applyAlignment="1">
      <alignment horizontal="center" vertical="center"/>
    </xf>
    <xf numFmtId="43" fontId="13" fillId="4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right" vertical="center"/>
    </xf>
    <xf numFmtId="43" fontId="1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43" fontId="3" fillId="5" borderId="1" xfId="1" applyFont="1" applyFill="1" applyBorder="1" applyAlignment="1">
      <alignment horizontal="center" vertical="center"/>
    </xf>
    <xf numFmtId="164" fontId="3" fillId="5" borderId="1" xfId="1" applyNumberFormat="1" applyFont="1" applyFill="1" applyBorder="1"/>
    <xf numFmtId="164" fontId="0" fillId="0" borderId="1" xfId="1" applyNumberFormat="1" applyFont="1" applyBorder="1" applyAlignment="1">
      <alignment horizontal="right" vertical="center"/>
    </xf>
    <xf numFmtId="166" fontId="0" fillId="0" borderId="1" xfId="2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9" fontId="0" fillId="0" borderId="0" xfId="6" applyFont="1" applyAlignment="1">
      <alignment horizontal="center" vertical="center"/>
    </xf>
    <xf numFmtId="0" fontId="0" fillId="0" borderId="0" xfId="0" quotePrefix="1"/>
    <xf numFmtId="169" fontId="0" fillId="0" borderId="0" xfId="0" applyNumberFormat="1"/>
    <xf numFmtId="0" fontId="2" fillId="3" borderId="0" xfId="0" applyFont="1" applyFill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43" fontId="11" fillId="0" borderId="8" xfId="1" applyFont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3" xfId="0" applyFont="1" applyFill="1" applyBorder="1" applyAlignment="1">
      <alignment horizontal="right" vertical="center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1" applyNumberFormat="1" applyFont="1" applyBorder="1" applyAlignment="1">
      <alignment horizontal="left"/>
    </xf>
    <xf numFmtId="0" fontId="0" fillId="0" borderId="4" xfId="1" applyNumberFormat="1" applyFont="1" applyBorder="1" applyAlignment="1">
      <alignment horizontal="left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1" applyNumberFormat="1" applyFont="1" applyBorder="1" applyAlignment="1">
      <alignment horizontal="left" wrapText="1"/>
    </xf>
    <xf numFmtId="0" fontId="0" fillId="0" borderId="4" xfId="1" applyNumberFormat="1" applyFont="1" applyBorder="1" applyAlignment="1">
      <alignment horizontal="left" wrapText="1"/>
    </xf>
    <xf numFmtId="0" fontId="3" fillId="5" borderId="2" xfId="1" applyNumberFormat="1" applyFont="1" applyFill="1" applyBorder="1" applyAlignment="1">
      <alignment horizontal="left"/>
    </xf>
    <xf numFmtId="0" fontId="3" fillId="5" borderId="3" xfId="1" applyNumberFormat="1" applyFont="1" applyFill="1" applyBorder="1" applyAlignment="1">
      <alignment horizontal="left"/>
    </xf>
    <xf numFmtId="0" fontId="3" fillId="5" borderId="4" xfId="1" applyNumberFormat="1" applyFont="1" applyFill="1" applyBorder="1" applyAlignment="1">
      <alignment horizontal="left"/>
    </xf>
    <xf numFmtId="0" fontId="0" fillId="0" borderId="2" xfId="1" applyNumberFormat="1" applyFont="1" applyFill="1" applyBorder="1" applyAlignment="1">
      <alignment horizontal="left"/>
    </xf>
    <xf numFmtId="0" fontId="0" fillId="0" borderId="4" xfId="1" applyNumberFormat="1" applyFont="1" applyFill="1" applyBorder="1" applyAlignment="1">
      <alignment horizontal="left"/>
    </xf>
    <xf numFmtId="0" fontId="0" fillId="0" borderId="2" xfId="1" applyNumberFormat="1" applyFont="1" applyFill="1" applyBorder="1" applyAlignment="1">
      <alignment horizontal="left" wrapText="1"/>
    </xf>
    <xf numFmtId="0" fontId="0" fillId="0" borderId="4" xfId="1" applyNumberFormat="1" applyFont="1" applyFill="1" applyBorder="1" applyAlignment="1">
      <alignment horizontal="left" wrapText="1"/>
    </xf>
    <xf numFmtId="0" fontId="3" fillId="0" borderId="2" xfId="1" applyNumberFormat="1" applyFont="1" applyBorder="1" applyAlignment="1">
      <alignment horizontal="left" wrapText="1"/>
    </xf>
    <xf numFmtId="0" fontId="3" fillId="0" borderId="3" xfId="1" applyNumberFormat="1" applyFont="1" applyBorder="1" applyAlignment="1">
      <alignment horizontal="left" wrapText="1"/>
    </xf>
    <xf numFmtId="0" fontId="3" fillId="0" borderId="4" xfId="1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0" fillId="0" borderId="0" xfId="0" applyNumberForma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7">
    <cellStyle name="Comma" xfId="1" builtinId="3"/>
    <cellStyle name="Comma 2" xfId="4" xr:uid="{6A61D92D-FD73-4B3C-9095-4D0F252A5FCA}"/>
    <cellStyle name="Currency" xfId="2" builtinId="4"/>
    <cellStyle name="Normal" xfId="0" builtinId="0"/>
    <cellStyle name="Normal 2" xfId="3" xr:uid="{79DA1EB3-FC5E-48FB-A00B-663501895003}"/>
    <cellStyle name="Normal 2 2 2" xfId="5" xr:uid="{10CE09AC-D822-4330-BAC1-CAB8C3D4C9F7}"/>
    <cellStyle name="Percent" xfId="6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A082-4FB3-44E1-9F5F-55054CB3C128}">
  <dimension ref="C2:N76"/>
  <sheetViews>
    <sheetView workbookViewId="0">
      <selection activeCell="K9" sqref="K9"/>
    </sheetView>
  </sheetViews>
  <sheetFormatPr defaultRowHeight="15"/>
  <cols>
    <col min="1" max="2" width="9.140625" style="17"/>
    <col min="3" max="3" width="6.140625" style="17" bestFit="1" customWidth="1"/>
    <col min="4" max="4" width="41.85546875" style="17" customWidth="1"/>
    <col min="5" max="5" width="16.85546875" style="17" bestFit="1" customWidth="1"/>
    <col min="6" max="6" width="18.5703125" style="17" bestFit="1" customWidth="1"/>
    <col min="7" max="7" width="17.7109375" style="17" customWidth="1"/>
    <col min="8" max="9" width="16.85546875" style="17" bestFit="1" customWidth="1"/>
    <col min="10" max="10" width="14.28515625" style="17" bestFit="1" customWidth="1"/>
    <col min="11" max="11" width="10" style="17" bestFit="1" customWidth="1"/>
    <col min="12" max="12" width="12.5703125" style="17" bestFit="1" customWidth="1"/>
    <col min="13" max="13" width="14.28515625" style="17" bestFit="1" customWidth="1"/>
    <col min="14" max="16384" width="9.140625" style="17"/>
  </cols>
  <sheetData>
    <row r="2" spans="3:9">
      <c r="C2" s="109" t="s">
        <v>355</v>
      </c>
      <c r="D2" s="109"/>
      <c r="E2" s="109"/>
      <c r="F2" s="109"/>
      <c r="G2" s="109"/>
      <c r="H2" s="109"/>
      <c r="I2" s="109"/>
    </row>
    <row r="3" spans="3:9">
      <c r="C3" s="113" t="s">
        <v>376</v>
      </c>
      <c r="D3" s="113"/>
      <c r="E3" s="113"/>
      <c r="F3" s="113" t="s">
        <v>357</v>
      </c>
      <c r="G3" s="113"/>
      <c r="H3" s="113"/>
      <c r="I3" s="113"/>
    </row>
    <row r="4" spans="3:9">
      <c r="C4" s="38" t="s">
        <v>0</v>
      </c>
      <c r="D4" s="89" t="s">
        <v>186</v>
      </c>
      <c r="E4" s="38" t="s">
        <v>271</v>
      </c>
      <c r="F4" s="38" t="s">
        <v>272</v>
      </c>
      <c r="G4" s="38" t="s">
        <v>273</v>
      </c>
      <c r="H4" s="38" t="s">
        <v>385</v>
      </c>
      <c r="I4" s="38" t="s">
        <v>386</v>
      </c>
    </row>
    <row r="5" spans="3:9">
      <c r="C5" s="18">
        <v>1.1000000000000001</v>
      </c>
      <c r="D5" s="83" t="s">
        <v>362</v>
      </c>
      <c r="E5" s="87">
        <f>E28/10^7</f>
        <v>448.69496639999988</v>
      </c>
      <c r="F5" s="87">
        <f>F28/10^7</f>
        <v>352.27058600729998</v>
      </c>
      <c r="G5" s="87">
        <f>G28/10^7</f>
        <v>352.27058600729998</v>
      </c>
      <c r="H5" s="87">
        <f>H28/10^7</f>
        <v>317.04352740656998</v>
      </c>
      <c r="I5" s="87">
        <f>I28/10^7</f>
        <v>281.81646880584003</v>
      </c>
    </row>
    <row r="6" spans="3:9">
      <c r="C6" s="18">
        <v>1.2</v>
      </c>
      <c r="D6" s="83" t="s">
        <v>361</v>
      </c>
      <c r="E6" s="91">
        <v>24.85</v>
      </c>
      <c r="F6" s="90" t="s">
        <v>200</v>
      </c>
      <c r="G6" s="90" t="s">
        <v>200</v>
      </c>
      <c r="H6" s="90" t="s">
        <v>200</v>
      </c>
      <c r="I6" s="90" t="s">
        <v>200</v>
      </c>
    </row>
    <row r="7" spans="3:9">
      <c r="C7" s="93"/>
      <c r="D7" s="94" t="s">
        <v>363</v>
      </c>
      <c r="E7" s="95">
        <f>SUM(E5:E6)</f>
        <v>473.54496639999991</v>
      </c>
      <c r="F7" s="95">
        <f>SUM(F5:F6)</f>
        <v>352.27058600729998</v>
      </c>
      <c r="G7" s="95">
        <f>SUM(G5:G6)</f>
        <v>352.27058600729998</v>
      </c>
      <c r="H7" s="95">
        <f t="shared" ref="H7:I7" si="0">SUM(H5:H6)</f>
        <v>317.04352740656998</v>
      </c>
      <c r="I7" s="95">
        <f t="shared" si="0"/>
        <v>281.81646880584003</v>
      </c>
    </row>
    <row r="8" spans="3:9">
      <c r="C8" s="18">
        <v>2.1</v>
      </c>
      <c r="D8" s="83" t="s">
        <v>269</v>
      </c>
      <c r="E8" s="87">
        <f>E29/10^7</f>
        <v>246.12012331500006</v>
      </c>
      <c r="F8" s="87">
        <f>F29/10^7</f>
        <v>187.31122058</v>
      </c>
      <c r="G8" s="87">
        <f>G29/10^7</f>
        <v>186.35624425815749</v>
      </c>
      <c r="H8" s="87">
        <f t="shared" ref="H8:I8" si="1">H29/10^7</f>
        <v>167.72061983234175</v>
      </c>
      <c r="I8" s="87">
        <f t="shared" si="1"/>
        <v>149.08499540652599</v>
      </c>
    </row>
    <row r="9" spans="3:9">
      <c r="C9" s="93"/>
      <c r="D9" s="94" t="s">
        <v>364</v>
      </c>
      <c r="E9" s="95">
        <f>SUM(E8)</f>
        <v>246.12012331500006</v>
      </c>
      <c r="F9" s="95">
        <f t="shared" ref="F9:I9" si="2">SUM(F8)</f>
        <v>187.31122058</v>
      </c>
      <c r="G9" s="95">
        <f t="shared" si="2"/>
        <v>186.35624425815749</v>
      </c>
      <c r="H9" s="95">
        <f t="shared" si="2"/>
        <v>167.72061983234175</v>
      </c>
      <c r="I9" s="95">
        <f t="shared" si="2"/>
        <v>149.08499540652599</v>
      </c>
    </row>
    <row r="10" spans="3:9">
      <c r="C10" s="18">
        <v>3.1</v>
      </c>
      <c r="D10" s="92" t="s">
        <v>270</v>
      </c>
      <c r="E10" s="87">
        <f>E32/10^7</f>
        <v>12570.062676346995</v>
      </c>
      <c r="F10" s="87">
        <f>F32/10^7</f>
        <v>12816.478301094097</v>
      </c>
      <c r="G10" s="87">
        <f>G32/10^7</f>
        <v>12578.634524490748</v>
      </c>
      <c r="H10" s="87">
        <f t="shared" ref="H10:I10" si="3">H32/10^7</f>
        <v>11320.771072041673</v>
      </c>
      <c r="I10" s="87">
        <f t="shared" si="3"/>
        <v>10062.907619592599</v>
      </c>
    </row>
    <row r="11" spans="3:9">
      <c r="C11" s="93"/>
      <c r="D11" s="94" t="s">
        <v>365</v>
      </c>
      <c r="E11" s="95">
        <f>SUM(E10)</f>
        <v>12570.062676346995</v>
      </c>
      <c r="F11" s="95">
        <f t="shared" ref="F11:I11" si="4">SUM(F10)</f>
        <v>12816.478301094097</v>
      </c>
      <c r="G11" s="95">
        <f t="shared" si="4"/>
        <v>12578.634524490748</v>
      </c>
      <c r="H11" s="95">
        <f t="shared" si="4"/>
        <v>11320.771072041673</v>
      </c>
      <c r="I11" s="95">
        <f t="shared" si="4"/>
        <v>10062.907619592599</v>
      </c>
    </row>
    <row r="12" spans="3:9">
      <c r="C12" s="18">
        <v>4.0999999999999996</v>
      </c>
      <c r="D12" s="92" t="s">
        <v>348</v>
      </c>
      <c r="E12" s="87">
        <f t="shared" ref="E12:G18" si="5">E33/10^7</f>
        <v>179.62989532899999</v>
      </c>
      <c r="F12" s="87">
        <f t="shared" si="5"/>
        <v>200.15589176243185</v>
      </c>
      <c r="G12" s="87">
        <f t="shared" si="5"/>
        <v>196.01600073447889</v>
      </c>
      <c r="H12" s="87">
        <f t="shared" ref="H12:I12" si="6">H33/10^7</f>
        <v>176.41440066103101</v>
      </c>
      <c r="I12" s="87">
        <f t="shared" si="6"/>
        <v>156.81280058758313</v>
      </c>
    </row>
    <row r="13" spans="3:9">
      <c r="C13" s="18">
        <v>4.2</v>
      </c>
      <c r="D13" s="92" t="s">
        <v>349</v>
      </c>
      <c r="E13" s="87">
        <f t="shared" si="5"/>
        <v>1.1959261909999981</v>
      </c>
      <c r="F13" s="87">
        <f t="shared" si="5"/>
        <v>2.3880965463290869</v>
      </c>
      <c r="G13" s="87">
        <f t="shared" si="5"/>
        <v>1.0333574243207142</v>
      </c>
      <c r="H13" s="87">
        <f t="shared" ref="H13:I13" si="7">H34/10^7</f>
        <v>0.93002168188864276</v>
      </c>
      <c r="I13" s="87">
        <f t="shared" si="7"/>
        <v>0.82668593945657132</v>
      </c>
    </row>
    <row r="14" spans="3:9">
      <c r="C14" s="18">
        <v>4.3</v>
      </c>
      <c r="D14" s="92" t="s">
        <v>350</v>
      </c>
      <c r="E14" s="87">
        <f t="shared" si="5"/>
        <v>0.65435787999999784</v>
      </c>
      <c r="F14" s="87">
        <f t="shared" si="5"/>
        <v>1.9323148318941084</v>
      </c>
      <c r="G14" s="87">
        <f t="shared" si="5"/>
        <v>1.2000860036356584</v>
      </c>
      <c r="H14" s="87">
        <f t="shared" ref="H14:I14" si="8">H35/10^7</f>
        <v>1.0800774032720926</v>
      </c>
      <c r="I14" s="87">
        <f t="shared" si="8"/>
        <v>0.9600688029085267</v>
      </c>
    </row>
    <row r="15" spans="3:9">
      <c r="C15" s="18">
        <v>4.4000000000000004</v>
      </c>
      <c r="D15" s="92" t="s">
        <v>351</v>
      </c>
      <c r="E15" s="87">
        <f t="shared" si="5"/>
        <v>0.57722051199999969</v>
      </c>
      <c r="F15" s="87">
        <f t="shared" si="5"/>
        <v>1.3422289921781256</v>
      </c>
      <c r="G15" s="87">
        <f t="shared" si="5"/>
        <v>0.74912072695721588</v>
      </c>
      <c r="H15" s="87">
        <f t="shared" ref="H15:I15" si="9">H36/10^7</f>
        <v>0.67420865426149423</v>
      </c>
      <c r="I15" s="87">
        <f t="shared" si="9"/>
        <v>0.5992965815657727</v>
      </c>
    </row>
    <row r="16" spans="3:9">
      <c r="C16" s="18">
        <v>4.5</v>
      </c>
      <c r="D16" s="92" t="s">
        <v>352</v>
      </c>
      <c r="E16" s="87">
        <f t="shared" si="5"/>
        <v>0.44038186999999995</v>
      </c>
      <c r="F16" s="87">
        <f t="shared" si="5"/>
        <v>2.4213622871079563</v>
      </c>
      <c r="G16" s="87">
        <f t="shared" si="5"/>
        <v>0.82563346573600505</v>
      </c>
      <c r="H16" s="87">
        <f t="shared" ref="H16:I16" si="10">H37/10^7</f>
        <v>0.74307011916240462</v>
      </c>
      <c r="I16" s="87">
        <f t="shared" si="10"/>
        <v>0.66050677258880408</v>
      </c>
    </row>
    <row r="17" spans="3:13">
      <c r="C17" s="18">
        <v>4.5999999999999996</v>
      </c>
      <c r="D17" s="92" t="s">
        <v>356</v>
      </c>
      <c r="E17" s="87">
        <f t="shared" si="5"/>
        <v>0.208071214</v>
      </c>
      <c r="F17" s="87">
        <f t="shared" si="5"/>
        <v>0.35674921680890942</v>
      </c>
      <c r="G17" s="87">
        <f t="shared" si="5"/>
        <v>0.30958868072505463</v>
      </c>
      <c r="H17" s="87">
        <f t="shared" ref="H17:I17" si="11">H38/10^7</f>
        <v>0.27862981265254921</v>
      </c>
      <c r="I17" s="87">
        <f t="shared" si="11"/>
        <v>0.24767094458004371</v>
      </c>
    </row>
    <row r="18" spans="3:13">
      <c r="C18" s="18">
        <v>4.7</v>
      </c>
      <c r="D18" s="92" t="s">
        <v>354</v>
      </c>
      <c r="E18" s="87">
        <f t="shared" si="5"/>
        <v>3.6155138000000003E-2</v>
      </c>
      <c r="F18" s="87">
        <f t="shared" si="5"/>
        <v>0.18310412303530002</v>
      </c>
      <c r="G18" s="87">
        <f t="shared" si="5"/>
        <v>4.7709192331490721E-2</v>
      </c>
      <c r="H18" s="87">
        <f t="shared" ref="H18:I18" si="12">H39/10^7</f>
        <v>4.2938273098341653E-2</v>
      </c>
      <c r="I18" s="87">
        <f t="shared" si="12"/>
        <v>3.8167353865192578E-2</v>
      </c>
    </row>
    <row r="19" spans="3:13">
      <c r="C19" s="93"/>
      <c r="D19" s="94" t="s">
        <v>366</v>
      </c>
      <c r="E19" s="95">
        <f>SUM(E12:E18)</f>
        <v>182.74200813399997</v>
      </c>
      <c r="F19" s="95">
        <f>SUM(F12:F18)</f>
        <v>208.77974775978532</v>
      </c>
      <c r="G19" s="95">
        <f>SUM(G12:G18)</f>
        <v>200.18149622818504</v>
      </c>
      <c r="H19" s="95">
        <f>SUM(H12:H18)</f>
        <v>180.16334660536654</v>
      </c>
      <c r="I19" s="95">
        <f>SUM(I12:I18)</f>
        <v>160.14519698254804</v>
      </c>
    </row>
    <row r="20" spans="3:13">
      <c r="C20" s="93"/>
      <c r="D20" s="94" t="s">
        <v>367</v>
      </c>
      <c r="E20" s="95">
        <f>E19+E11+E9+E7</f>
        <v>13472.469774195997</v>
      </c>
      <c r="F20" s="95">
        <f>F19+F11+F9+F7</f>
        <v>13564.839855441183</v>
      </c>
      <c r="G20" s="95">
        <f>G19+G11+G9+G7</f>
        <v>13317.442850984389</v>
      </c>
      <c r="H20" s="95">
        <f>H19+H11+H9+H7</f>
        <v>11985.69856588595</v>
      </c>
      <c r="I20" s="95">
        <f>I19+I11+I9+I7</f>
        <v>10653.954280787513</v>
      </c>
      <c r="J20" s="17">
        <v>13474</v>
      </c>
      <c r="K20" s="103"/>
    </row>
    <row r="21" spans="3:13">
      <c r="C21" s="18">
        <v>5.0999999999999996</v>
      </c>
      <c r="D21" s="92" t="s">
        <v>368</v>
      </c>
      <c r="E21" s="87">
        <f>M21/10^7</f>
        <v>2364.0850823359997</v>
      </c>
      <c r="F21" s="91" t="s">
        <v>200</v>
      </c>
      <c r="G21" s="91" t="s">
        <v>200</v>
      </c>
      <c r="H21" s="91" t="s">
        <v>200</v>
      </c>
      <c r="I21" s="91" t="s">
        <v>200</v>
      </c>
      <c r="M21" s="17">
        <v>23640850823.359997</v>
      </c>
    </row>
    <row r="22" spans="3:13" ht="15.75">
      <c r="C22" s="117" t="s">
        <v>369</v>
      </c>
      <c r="D22" s="118"/>
      <c r="E22" s="88">
        <f>SUM(E20:E21)</f>
        <v>15836.554856531997</v>
      </c>
      <c r="F22" s="88">
        <f t="shared" ref="F22:H22" si="13">SUM(F20:F21)</f>
        <v>13564.839855441183</v>
      </c>
      <c r="G22" s="88">
        <f t="shared" si="13"/>
        <v>13317.442850984389</v>
      </c>
      <c r="H22" s="88">
        <f t="shared" si="13"/>
        <v>11985.69856588595</v>
      </c>
      <c r="I22" s="88">
        <f>SUM(I20:I21)</f>
        <v>10653.954280787513</v>
      </c>
      <c r="K22" s="42">
        <f>F22+2400</f>
        <v>15964.839855441183</v>
      </c>
      <c r="L22" s="42">
        <f>G22+2400</f>
        <v>15717.442850984389</v>
      </c>
    </row>
    <row r="23" spans="3:13">
      <c r="G23" s="42">
        <f>E20-G20</f>
        <v>155.02692321160794</v>
      </c>
      <c r="H23" s="42"/>
      <c r="I23" s="42"/>
    </row>
    <row r="24" spans="3:13">
      <c r="H24" s="42"/>
    </row>
    <row r="26" spans="3:13">
      <c r="C26" s="109" t="s">
        <v>275</v>
      </c>
      <c r="D26" s="109"/>
      <c r="E26" s="109"/>
      <c r="F26" s="109"/>
      <c r="G26" s="109"/>
      <c r="H26" s="109"/>
      <c r="I26" s="109"/>
    </row>
    <row r="27" spans="3:13">
      <c r="C27" s="38" t="s">
        <v>0</v>
      </c>
      <c r="D27" s="38" t="s">
        <v>186</v>
      </c>
      <c r="E27" s="38" t="s">
        <v>271</v>
      </c>
      <c r="F27" s="38" t="s">
        <v>272</v>
      </c>
      <c r="G27" s="38" t="s">
        <v>273</v>
      </c>
      <c r="H27" s="38" t="s">
        <v>385</v>
      </c>
      <c r="I27" s="38" t="s">
        <v>384</v>
      </c>
      <c r="L27" s="17" t="s">
        <v>279</v>
      </c>
      <c r="M27" s="65"/>
    </row>
    <row r="28" spans="3:13">
      <c r="C28" s="18">
        <v>1</v>
      </c>
      <c r="D28" s="83" t="s">
        <v>268</v>
      </c>
      <c r="E28" s="85">
        <v>4486949663.999999</v>
      </c>
      <c r="F28" s="85">
        <f>G28</f>
        <v>3522705860.073</v>
      </c>
      <c r="G28" s="85">
        <f>'Land Value Calculation'!I32</f>
        <v>3522705860.073</v>
      </c>
      <c r="H28" s="85">
        <f>G28*0.9</f>
        <v>3170435274.0657001</v>
      </c>
      <c r="I28" s="85">
        <f>G28*0.8</f>
        <v>2818164688.0584002</v>
      </c>
      <c r="L28" s="1">
        <v>909586365</v>
      </c>
      <c r="M28" s="13"/>
    </row>
    <row r="29" spans="3:13">
      <c r="C29" s="18">
        <v>2</v>
      </c>
      <c r="D29" s="83" t="s">
        <v>269</v>
      </c>
      <c r="E29" s="86">
        <v>2461201233.1500006</v>
      </c>
      <c r="F29" s="85">
        <f>'Building v2'!O13</f>
        <v>1873112205.8</v>
      </c>
      <c r="G29" s="85">
        <f>'Building v2'!Q13</f>
        <v>1863562442.5815749</v>
      </c>
      <c r="H29" s="85">
        <f t="shared" ref="H29:H30" si="14">G29*0.9</f>
        <v>1677206198.3234174</v>
      </c>
      <c r="I29" s="85">
        <f t="shared" ref="I29:I30" si="15">G29*0.8</f>
        <v>1490849954.0652599</v>
      </c>
    </row>
    <row r="30" spans="3:13">
      <c r="C30" s="18">
        <v>3</v>
      </c>
      <c r="D30" s="83" t="s">
        <v>270</v>
      </c>
      <c r="E30" s="85">
        <f>SUM(E32:E39)</f>
        <v>127528046844.80995</v>
      </c>
      <c r="F30" s="85">
        <f t="shared" ref="F30:G30" si="16">SUM(F32:F39)</f>
        <v>130252580488.53882</v>
      </c>
      <c r="G30" s="85">
        <f t="shared" si="16"/>
        <v>127788160207.18935</v>
      </c>
      <c r="H30" s="85">
        <f t="shared" si="14"/>
        <v>115009344186.47041</v>
      </c>
      <c r="I30" s="85">
        <f t="shared" si="15"/>
        <v>102230528165.75148</v>
      </c>
    </row>
    <row r="31" spans="3:13">
      <c r="C31" s="114"/>
      <c r="D31" s="115"/>
      <c r="E31" s="115"/>
      <c r="F31" s="115"/>
      <c r="G31" s="116"/>
      <c r="H31" s="18"/>
      <c r="I31" s="18"/>
    </row>
    <row r="32" spans="3:13">
      <c r="C32" s="18">
        <v>3.1</v>
      </c>
      <c r="D32" s="84" t="s">
        <v>270</v>
      </c>
      <c r="E32" s="57">
        <v>125700626763.46996</v>
      </c>
      <c r="F32" s="57">
        <v>128164783010.94098</v>
      </c>
      <c r="G32" s="57">
        <v>125786345244.90749</v>
      </c>
      <c r="H32" s="85">
        <f t="shared" ref="H32:H39" si="17">G32*0.9</f>
        <v>113207710720.41673</v>
      </c>
      <c r="I32" s="85">
        <f t="shared" ref="I32:I39" si="18">G32*0.8</f>
        <v>100629076195.92599</v>
      </c>
    </row>
    <row r="33" spans="3:14">
      <c r="C33" s="18">
        <v>3.2</v>
      </c>
      <c r="D33" s="84" t="s">
        <v>348</v>
      </c>
      <c r="E33" s="57">
        <v>1796298953.29</v>
      </c>
      <c r="F33" s="57">
        <v>2001558917.6243186</v>
      </c>
      <c r="G33" s="57">
        <v>1960160007.344789</v>
      </c>
      <c r="H33" s="85">
        <f t="shared" si="17"/>
        <v>1764144006.6103101</v>
      </c>
      <c r="I33" s="85">
        <f t="shared" si="18"/>
        <v>1568128005.8758314</v>
      </c>
    </row>
    <row r="34" spans="3:14">
      <c r="C34" s="18">
        <v>3.3</v>
      </c>
      <c r="D34" s="84" t="s">
        <v>349</v>
      </c>
      <c r="E34" s="57">
        <v>11959261.909999982</v>
      </c>
      <c r="F34" s="57">
        <v>23880965.463290866</v>
      </c>
      <c r="G34" s="57">
        <v>10333574.243207142</v>
      </c>
      <c r="H34" s="85">
        <f t="shared" si="17"/>
        <v>9300216.8188864272</v>
      </c>
      <c r="I34" s="85">
        <f t="shared" si="18"/>
        <v>8266859.3945657136</v>
      </c>
    </row>
    <row r="35" spans="3:14">
      <c r="C35" s="18">
        <v>3.4</v>
      </c>
      <c r="D35" s="84" t="s">
        <v>350</v>
      </c>
      <c r="E35" s="57">
        <v>6543578.7999999784</v>
      </c>
      <c r="F35" s="57">
        <v>19323148.318941083</v>
      </c>
      <c r="G35" s="57">
        <v>12000860.036356583</v>
      </c>
      <c r="H35" s="85">
        <f t="shared" si="17"/>
        <v>10800774.032720925</v>
      </c>
      <c r="I35" s="85">
        <f t="shared" si="18"/>
        <v>9600688.0290852673</v>
      </c>
    </row>
    <row r="36" spans="3:14">
      <c r="C36" s="18">
        <v>3.5</v>
      </c>
      <c r="D36" s="84" t="s">
        <v>351</v>
      </c>
      <c r="E36" s="57">
        <v>5772205.1199999973</v>
      </c>
      <c r="F36" s="57">
        <v>13422289.921781257</v>
      </c>
      <c r="G36" s="57">
        <v>7491207.2695721583</v>
      </c>
      <c r="H36" s="85">
        <f t="shared" si="17"/>
        <v>6742086.5426149424</v>
      </c>
      <c r="I36" s="85">
        <f t="shared" si="18"/>
        <v>5992965.8156577274</v>
      </c>
    </row>
    <row r="37" spans="3:14">
      <c r="C37" s="18">
        <v>3.6</v>
      </c>
      <c r="D37" s="84" t="s">
        <v>352</v>
      </c>
      <c r="E37" s="57">
        <v>4403818.6999999993</v>
      </c>
      <c r="F37" s="57">
        <v>24213622.871079564</v>
      </c>
      <c r="G37" s="57">
        <v>8256334.6573600508</v>
      </c>
      <c r="H37" s="85">
        <f t="shared" si="17"/>
        <v>7430701.1916240463</v>
      </c>
      <c r="I37" s="85">
        <f t="shared" si="18"/>
        <v>6605067.7258880408</v>
      </c>
    </row>
    <row r="38" spans="3:14">
      <c r="C38" s="18">
        <v>3.7</v>
      </c>
      <c r="D38" s="84" t="s">
        <v>353</v>
      </c>
      <c r="E38" s="57">
        <v>2080712.1400000001</v>
      </c>
      <c r="F38" s="57">
        <v>3567492.1680890941</v>
      </c>
      <c r="G38" s="57">
        <v>3095886.8072505463</v>
      </c>
      <c r="H38" s="85">
        <f t="shared" si="17"/>
        <v>2786298.1265254919</v>
      </c>
      <c r="I38" s="85">
        <f t="shared" si="18"/>
        <v>2476709.4458004371</v>
      </c>
    </row>
    <row r="39" spans="3:14">
      <c r="C39" s="18">
        <v>3.8</v>
      </c>
      <c r="D39" s="84" t="s">
        <v>354</v>
      </c>
      <c r="E39" s="57">
        <v>361551.38000000006</v>
      </c>
      <c r="F39" s="57">
        <v>1831041.2303530003</v>
      </c>
      <c r="G39" s="57">
        <v>477091.92331490724</v>
      </c>
      <c r="H39" s="85">
        <f t="shared" si="17"/>
        <v>429382.73098341655</v>
      </c>
      <c r="I39" s="85">
        <f t="shared" si="18"/>
        <v>381673.5386519258</v>
      </c>
    </row>
    <row r="40" spans="3:14">
      <c r="C40" s="110" t="s">
        <v>12</v>
      </c>
      <c r="D40" s="112"/>
      <c r="E40" s="7">
        <f>SUM(E28:E30)</f>
        <v>134476197741.95995</v>
      </c>
      <c r="F40" s="7">
        <f>SUM(F28:F30)</f>
        <v>135648398554.41182</v>
      </c>
      <c r="G40" s="7">
        <f>SUM(G28:G30)</f>
        <v>133174428509.84392</v>
      </c>
      <c r="H40" s="7">
        <f t="shared" ref="H40:I40" si="19">SUM(H28:H30)</f>
        <v>119856985658.85953</v>
      </c>
      <c r="I40" s="7">
        <f t="shared" si="19"/>
        <v>106539542807.87514</v>
      </c>
      <c r="M40" s="17">
        <v>130651502339.57381</v>
      </c>
      <c r="N40" s="17">
        <v>128024838621.84808</v>
      </c>
    </row>
    <row r="41" spans="3:14" ht="14.25" customHeight="1">
      <c r="E41" s="42"/>
      <c r="F41" s="42"/>
      <c r="G41" s="42"/>
      <c r="H41" s="42"/>
      <c r="I41" s="42"/>
      <c r="J41" s="44"/>
    </row>
    <row r="42" spans="3:14" ht="14.25" customHeight="1">
      <c r="E42" s="42"/>
      <c r="F42" s="42"/>
      <c r="G42" s="42"/>
      <c r="H42" s="42"/>
      <c r="I42" s="42"/>
      <c r="J42" s="44"/>
    </row>
    <row r="43" spans="3:14">
      <c r="E43" s="42"/>
      <c r="F43" s="42"/>
      <c r="G43" s="73"/>
      <c r="H43" s="73"/>
      <c r="I43" s="73"/>
    </row>
    <row r="45" spans="3:14">
      <c r="F45" s="26"/>
      <c r="G45" s="63" t="s">
        <v>274</v>
      </c>
      <c r="H45" s="63"/>
      <c r="I45" s="63"/>
      <c r="J45" s="26"/>
    </row>
    <row r="46" spans="3:14">
      <c r="C46" s="38" t="s">
        <v>0</v>
      </c>
      <c r="D46" s="38" t="s">
        <v>186</v>
      </c>
      <c r="E46" s="38" t="s">
        <v>271</v>
      </c>
      <c r="F46" s="38" t="s">
        <v>272</v>
      </c>
      <c r="G46" s="38" t="s">
        <v>273</v>
      </c>
      <c r="H46" s="106"/>
      <c r="I46" s="106"/>
      <c r="J46" s="1"/>
    </row>
    <row r="47" spans="3:14">
      <c r="C47" s="18">
        <v>1</v>
      </c>
      <c r="D47" s="41" t="s">
        <v>268</v>
      </c>
      <c r="E47" s="27">
        <f t="shared" ref="E47:G49" si="20">E28/10^7</f>
        <v>448.69496639999988</v>
      </c>
      <c r="F47" s="27">
        <f t="shared" si="20"/>
        <v>352.27058600729998</v>
      </c>
      <c r="G47" s="27">
        <f t="shared" si="20"/>
        <v>352.27058600729998</v>
      </c>
      <c r="H47" s="107"/>
      <c r="I47" s="107"/>
      <c r="L47" s="42">
        <f>L28/10^7</f>
        <v>90.958636499999997</v>
      </c>
      <c r="M47" s="67"/>
    </row>
    <row r="48" spans="3:14">
      <c r="C48" s="18">
        <v>2</v>
      </c>
      <c r="D48" s="41" t="s">
        <v>269</v>
      </c>
      <c r="E48" s="39">
        <f t="shared" si="20"/>
        <v>246.12012331500006</v>
      </c>
      <c r="F48" s="27">
        <f t="shared" si="20"/>
        <v>187.31122058</v>
      </c>
      <c r="G48" s="27">
        <f t="shared" si="20"/>
        <v>186.35624425815749</v>
      </c>
      <c r="H48" s="107"/>
      <c r="I48" s="107"/>
    </row>
    <row r="49" spans="3:10">
      <c r="C49" s="18">
        <v>3</v>
      </c>
      <c r="D49" s="41" t="s">
        <v>270</v>
      </c>
      <c r="E49" s="27">
        <f t="shared" si="20"/>
        <v>12752.804684480996</v>
      </c>
      <c r="F49" s="27">
        <f t="shared" si="20"/>
        <v>13025.258048853882</v>
      </c>
      <c r="G49" s="27">
        <f t="shared" si="20"/>
        <v>12778.816020718934</v>
      </c>
      <c r="H49" s="107"/>
      <c r="I49" s="107"/>
    </row>
    <row r="50" spans="3:10">
      <c r="C50" s="110" t="s">
        <v>12</v>
      </c>
      <c r="D50" s="111"/>
      <c r="E50" s="28">
        <f>SUM(E47:E49)</f>
        <v>13447.619774195995</v>
      </c>
      <c r="F50" s="28">
        <f t="shared" ref="F50" si="21">SUM(F47:F49)</f>
        <v>13564.839855441183</v>
      </c>
      <c r="G50" s="28">
        <f t="shared" ref="G50" si="22">SUM(G47:G49)</f>
        <v>13317.442850984391</v>
      </c>
      <c r="H50" s="108"/>
      <c r="I50" s="108"/>
    </row>
    <row r="52" spans="3:10">
      <c r="E52" s="42">
        <f>E50/1496</f>
        <v>8.9890506512005306</v>
      </c>
      <c r="F52" s="42">
        <f>F50/1496</f>
        <v>9.0674063204820747</v>
      </c>
      <c r="G52" s="73">
        <f>G50/1496</f>
        <v>8.9020339912997262</v>
      </c>
      <c r="H52" s="73"/>
      <c r="I52" s="73"/>
      <c r="J52" s="17" t="s">
        <v>337</v>
      </c>
    </row>
    <row r="54" spans="3:10">
      <c r="E54" s="11">
        <v>125700626763.46996</v>
      </c>
      <c r="F54" s="11">
        <v>128054217749.25813</v>
      </c>
      <c r="G54" s="11">
        <v>125529481186.73643</v>
      </c>
      <c r="H54" s="11"/>
      <c r="I54" s="11"/>
    </row>
    <row r="55" spans="3:10">
      <c r="E55" s="11">
        <v>1796298953.29</v>
      </c>
      <c r="F55" s="11">
        <v>1977603734.4775474</v>
      </c>
      <c r="G55" s="11">
        <v>1934294212.6924894</v>
      </c>
      <c r="H55" s="11"/>
      <c r="I55" s="11"/>
    </row>
    <row r="56" spans="3:10">
      <c r="E56" s="11">
        <v>11959261.909999982</v>
      </c>
      <c r="F56" s="11">
        <v>23880965.463290866</v>
      </c>
      <c r="G56" s="11">
        <v>10333574.243207142</v>
      </c>
      <c r="H56" s="11"/>
      <c r="I56" s="11"/>
    </row>
    <row r="57" spans="3:10">
      <c r="E57" s="11">
        <v>6543578.7999999784</v>
      </c>
      <c r="F57" s="11">
        <v>19323148.318941083</v>
      </c>
      <c r="G57" s="11">
        <v>8937452.8242489863</v>
      </c>
      <c r="H57" s="11"/>
      <c r="I57" s="11"/>
    </row>
    <row r="58" spans="3:10">
      <c r="E58" s="11">
        <v>5772205.1199999973</v>
      </c>
      <c r="F58" s="11">
        <v>13422289.921781257</v>
      </c>
      <c r="G58" s="11">
        <v>6545511.2734376453</v>
      </c>
      <c r="H58" s="11"/>
      <c r="I58" s="11"/>
    </row>
    <row r="59" spans="3:10">
      <c r="E59" s="11">
        <v>4403818.6999999993</v>
      </c>
      <c r="F59" s="11">
        <v>24213622.871079564</v>
      </c>
      <c r="G59" s="11">
        <v>8241563.1072333008</v>
      </c>
      <c r="H59" s="11"/>
      <c r="I59" s="11"/>
    </row>
    <row r="60" spans="3:10">
      <c r="E60" s="11">
        <v>2080712.1400000001</v>
      </c>
      <c r="F60" s="11">
        <v>3567492.1680890941</v>
      </c>
      <c r="G60" s="11">
        <v>3068145.3154365141</v>
      </c>
      <c r="H60" s="11"/>
      <c r="I60" s="11"/>
    </row>
    <row r="61" spans="3:10">
      <c r="E61" s="11">
        <v>361551.38000000006</v>
      </c>
      <c r="F61" s="11">
        <v>1831041.2303530003</v>
      </c>
      <c r="G61" s="11">
        <v>477091.92331490724</v>
      </c>
      <c r="H61" s="11"/>
      <c r="I61" s="11"/>
    </row>
    <row r="64" spans="3:10">
      <c r="C64" s="17">
        <v>3.1</v>
      </c>
      <c r="D64" s="17" t="s">
        <v>270</v>
      </c>
      <c r="E64" s="26">
        <v>14921.896212890015</v>
      </c>
    </row>
    <row r="65" spans="3:5">
      <c r="C65" s="17">
        <v>3.2</v>
      </c>
      <c r="D65" s="17" t="s">
        <v>348</v>
      </c>
      <c r="E65" s="26">
        <v>184.77748587100001</v>
      </c>
    </row>
    <row r="66" spans="3:5">
      <c r="C66" s="17">
        <v>3.3</v>
      </c>
      <c r="D66" s="17" t="s">
        <v>349</v>
      </c>
      <c r="E66" s="26">
        <v>1.1959261909999981</v>
      </c>
    </row>
    <row r="67" spans="3:5">
      <c r="C67" s="17">
        <v>3.4</v>
      </c>
      <c r="D67" s="17" t="s">
        <v>350</v>
      </c>
      <c r="E67" s="26">
        <v>0.65435787999999773</v>
      </c>
    </row>
    <row r="68" spans="3:5">
      <c r="C68" s="17">
        <v>3.5</v>
      </c>
      <c r="D68" s="17" t="s">
        <v>351</v>
      </c>
      <c r="E68" s="26">
        <v>0.57722051199999969</v>
      </c>
    </row>
    <row r="69" spans="3:5">
      <c r="C69" s="17">
        <v>3.6</v>
      </c>
      <c r="D69" s="17" t="s">
        <v>352</v>
      </c>
      <c r="E69" s="26">
        <v>0.44038186999999995</v>
      </c>
    </row>
    <row r="70" spans="3:5">
      <c r="C70" s="17">
        <v>3.7</v>
      </c>
      <c r="D70" s="17" t="s">
        <v>353</v>
      </c>
      <c r="E70" s="26">
        <v>0.208071214</v>
      </c>
    </row>
    <row r="71" spans="3:5">
      <c r="C71" s="17">
        <v>3.8</v>
      </c>
      <c r="D71" s="17" t="s">
        <v>354</v>
      </c>
      <c r="E71" s="26">
        <v>3.6155138000000003E-2</v>
      </c>
    </row>
    <row r="72" spans="3:5">
      <c r="C72" s="17" t="s">
        <v>12</v>
      </c>
      <c r="E72" s="26">
        <v>15811.704856532016</v>
      </c>
    </row>
    <row r="76" spans="3:5">
      <c r="E76" s="17">
        <v>2461201233.1500006</v>
      </c>
    </row>
  </sheetData>
  <mergeCells count="8">
    <mergeCell ref="C2:I2"/>
    <mergeCell ref="C26:I26"/>
    <mergeCell ref="C50:D50"/>
    <mergeCell ref="C40:D40"/>
    <mergeCell ref="C3:E3"/>
    <mergeCell ref="C31:G31"/>
    <mergeCell ref="C22:D22"/>
    <mergeCell ref="F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DA1F-9A07-4D44-A4EC-B6DEA34E145E}">
  <dimension ref="F2:L37"/>
  <sheetViews>
    <sheetView topLeftCell="D1" workbookViewId="0">
      <selection activeCell="F3" sqref="F3:I12"/>
    </sheetView>
  </sheetViews>
  <sheetFormatPr defaultRowHeight="15"/>
  <cols>
    <col min="5" max="5" width="10" customWidth="1"/>
    <col min="6" max="6" width="43.140625" customWidth="1"/>
    <col min="7" max="7" width="8.42578125" style="17" bestFit="1" customWidth="1"/>
    <col min="8" max="8" width="24.42578125" bestFit="1" customWidth="1"/>
    <col min="9" max="9" width="14.28515625" bestFit="1" customWidth="1"/>
    <col min="10" max="10" width="18" bestFit="1" customWidth="1"/>
    <col min="11" max="11" width="33.42578125" customWidth="1"/>
    <col min="12" max="12" width="24.7109375" bestFit="1" customWidth="1"/>
  </cols>
  <sheetData>
    <row r="2" spans="6:12" ht="48.75" customHeight="1">
      <c r="F2" s="122" t="s">
        <v>267</v>
      </c>
      <c r="G2" s="122"/>
      <c r="H2" s="122"/>
      <c r="I2" s="122"/>
    </row>
    <row r="3" spans="6:12" ht="51.75" customHeight="1">
      <c r="F3" s="38" t="s">
        <v>248</v>
      </c>
      <c r="G3" s="5" t="s">
        <v>372</v>
      </c>
      <c r="H3" s="5" t="s">
        <v>373</v>
      </c>
      <c r="I3" s="5" t="s">
        <v>387</v>
      </c>
    </row>
    <row r="4" spans="6:12">
      <c r="F4" s="165"/>
      <c r="G4" s="166"/>
      <c r="H4" s="166"/>
      <c r="I4" s="167"/>
    </row>
    <row r="5" spans="6:12">
      <c r="F5" s="54" t="s">
        <v>249</v>
      </c>
      <c r="G5" s="27">
        <f>'Land Details'!H45</f>
        <v>82.06</v>
      </c>
      <c r="H5" s="57">
        <v>1227600</v>
      </c>
      <c r="I5" s="57">
        <f>H5*G5</f>
        <v>100736856</v>
      </c>
    </row>
    <row r="6" spans="6:12">
      <c r="F6" s="54" t="s">
        <v>241</v>
      </c>
      <c r="G6" s="27">
        <f>'Land Details'!I45</f>
        <v>95.800000000000011</v>
      </c>
      <c r="H6" s="57">
        <v>920700</v>
      </c>
      <c r="I6" s="57">
        <f t="shared" ref="I6:I11" si="0">H6*G6</f>
        <v>88203060.000000015</v>
      </c>
    </row>
    <row r="7" spans="6:12">
      <c r="F7" s="54" t="s">
        <v>242</v>
      </c>
      <c r="G7" s="27">
        <f>'Land Details'!J45</f>
        <v>99.52000000000001</v>
      </c>
      <c r="H7" s="57">
        <v>613800</v>
      </c>
      <c r="I7" s="57">
        <f t="shared" si="0"/>
        <v>61085376.000000007</v>
      </c>
    </row>
    <row r="8" spans="6:12">
      <c r="F8" s="54" t="s">
        <v>250</v>
      </c>
      <c r="G8" s="27">
        <f>'Land Details'!K45</f>
        <v>6.81</v>
      </c>
      <c r="H8" s="57">
        <v>767250</v>
      </c>
      <c r="I8" s="57">
        <f t="shared" si="0"/>
        <v>5224972.5</v>
      </c>
    </row>
    <row r="9" spans="6:12">
      <c r="F9" s="54" t="s">
        <v>251</v>
      </c>
      <c r="G9" s="27">
        <f>'Land Details'!L45</f>
        <v>69.05</v>
      </c>
      <c r="H9" s="57">
        <v>613800</v>
      </c>
      <c r="I9" s="57">
        <f t="shared" si="0"/>
        <v>42382890</v>
      </c>
    </row>
    <row r="10" spans="6:12">
      <c r="F10" s="54" t="s">
        <v>252</v>
      </c>
      <c r="G10" s="27">
        <f>'Land Details'!M45</f>
        <v>121.84</v>
      </c>
      <c r="H10" s="57">
        <v>613800</v>
      </c>
      <c r="I10" s="57">
        <f t="shared" si="0"/>
        <v>74785392</v>
      </c>
    </row>
    <row r="11" spans="6:12">
      <c r="F11" s="54" t="s">
        <v>253</v>
      </c>
      <c r="G11" s="27">
        <f>'Land Details'!N45</f>
        <v>190.54399999999998</v>
      </c>
      <c r="H11" s="57">
        <v>613800</v>
      </c>
      <c r="I11" s="57">
        <f t="shared" si="0"/>
        <v>116955907.19999999</v>
      </c>
    </row>
    <row r="12" spans="6:12">
      <c r="F12" s="55" t="s">
        <v>254</v>
      </c>
      <c r="G12" s="70">
        <f>SUM(G5:G11)</f>
        <v>665.62400000000002</v>
      </c>
      <c r="H12" s="58"/>
      <c r="I12" s="58">
        <f>SUM(I5:I11)</f>
        <v>489374453.69999999</v>
      </c>
      <c r="J12" s="56"/>
      <c r="K12" s="104"/>
      <c r="L12" s="105"/>
    </row>
    <row r="13" spans="6:12">
      <c r="F13" s="123"/>
      <c r="G13" s="123"/>
      <c r="H13" s="123"/>
      <c r="I13" s="123"/>
      <c r="L13" s="105"/>
    </row>
    <row r="14" spans="6:12">
      <c r="F14" s="124" t="s">
        <v>309</v>
      </c>
      <c r="G14" s="125"/>
      <c r="H14" s="57" t="s">
        <v>255</v>
      </c>
      <c r="I14" s="57">
        <f>2*I12</f>
        <v>978748907.39999998</v>
      </c>
    </row>
    <row r="15" spans="6:12">
      <c r="F15" s="126"/>
      <c r="G15" s="127"/>
      <c r="H15" s="127"/>
      <c r="I15" s="128"/>
    </row>
    <row r="16" spans="6:12">
      <c r="F16" s="124" t="s">
        <v>310</v>
      </c>
      <c r="G16" s="125"/>
      <c r="H16" s="57"/>
      <c r="I16" s="59">
        <v>0</v>
      </c>
    </row>
    <row r="17" spans="6:12">
      <c r="F17" s="126"/>
      <c r="G17" s="127"/>
      <c r="H17" s="127"/>
      <c r="I17" s="128"/>
      <c r="K17" t="s">
        <v>281</v>
      </c>
    </row>
    <row r="18" spans="6:12">
      <c r="F18" s="119" t="s">
        <v>256</v>
      </c>
      <c r="G18" s="120"/>
      <c r="H18" s="121"/>
      <c r="I18" s="60">
        <f>I16+I14</f>
        <v>978748907.39999998</v>
      </c>
      <c r="J18" s="56"/>
    </row>
    <row r="19" spans="6:12">
      <c r="F19" s="126"/>
      <c r="G19" s="127"/>
      <c r="H19" s="127"/>
      <c r="I19" s="128"/>
    </row>
    <row r="20" spans="6:12">
      <c r="F20" s="124" t="s">
        <v>263</v>
      </c>
      <c r="G20" s="125"/>
      <c r="H20" s="59" t="s">
        <v>257</v>
      </c>
      <c r="I20" s="59">
        <f>I18*100%</f>
        <v>978748907.39999998</v>
      </c>
      <c r="J20" s="56"/>
    </row>
    <row r="21" spans="6:12">
      <c r="F21" s="126"/>
      <c r="G21" s="127"/>
      <c r="H21" s="127"/>
      <c r="I21" s="128"/>
    </row>
    <row r="22" spans="6:12">
      <c r="F22" s="119" t="s">
        <v>258</v>
      </c>
      <c r="G22" s="120"/>
      <c r="H22" s="121"/>
      <c r="I22" s="60">
        <f>I20+I18</f>
        <v>1957497814.8</v>
      </c>
      <c r="J22" s="56"/>
    </row>
    <row r="23" spans="6:12">
      <c r="F23" s="126"/>
      <c r="G23" s="127"/>
      <c r="H23" s="127"/>
      <c r="I23" s="128"/>
    </row>
    <row r="24" spans="6:12">
      <c r="F24" s="135" t="s">
        <v>313</v>
      </c>
      <c r="G24" s="136"/>
      <c r="H24" s="66" t="s">
        <v>370</v>
      </c>
      <c r="I24" s="66">
        <f>I22*15%</f>
        <v>293624672.21999997</v>
      </c>
      <c r="J24" s="56"/>
    </row>
    <row r="25" spans="6:12">
      <c r="F25" s="126"/>
      <c r="G25" s="127"/>
      <c r="H25" s="127"/>
      <c r="I25" s="128"/>
      <c r="J25" s="56"/>
      <c r="K25" t="s">
        <v>259</v>
      </c>
      <c r="L25" s="11">
        <f>8121*10^5</f>
        <v>812100000</v>
      </c>
    </row>
    <row r="26" spans="6:12" ht="30">
      <c r="F26" s="137" t="s">
        <v>311</v>
      </c>
      <c r="G26" s="138"/>
      <c r="H26" s="81" t="s">
        <v>260</v>
      </c>
      <c r="I26" s="66">
        <f>812100000</f>
        <v>812100000</v>
      </c>
      <c r="J26" s="56"/>
    </row>
    <row r="27" spans="6:12">
      <c r="F27" s="126"/>
      <c r="G27" s="127"/>
      <c r="H27" s="127"/>
      <c r="I27" s="128"/>
      <c r="J27" s="56"/>
    </row>
    <row r="28" spans="6:12">
      <c r="F28" s="139" t="s">
        <v>261</v>
      </c>
      <c r="G28" s="140"/>
      <c r="H28" s="141"/>
      <c r="I28" s="58">
        <f>I24+I22+I26</f>
        <v>3063222487.02</v>
      </c>
      <c r="J28" s="56"/>
      <c r="L28" s="11">
        <f>L25/G12</f>
        <v>1220058.1709794118</v>
      </c>
    </row>
    <row r="29" spans="6:12">
      <c r="F29" s="129"/>
      <c r="G29" s="129"/>
      <c r="H29" s="129"/>
      <c r="I29" s="129"/>
      <c r="J29" s="56"/>
      <c r="L29" s="11">
        <f>15.7*10^5</f>
        <v>1570000</v>
      </c>
    </row>
    <row r="30" spans="6:12" ht="30">
      <c r="F30" s="130" t="s">
        <v>312</v>
      </c>
      <c r="G30" s="131"/>
      <c r="H30" s="61" t="s">
        <v>264</v>
      </c>
      <c r="I30" s="59">
        <f>I28*15%</f>
        <v>459483373.05299997</v>
      </c>
      <c r="J30" s="56"/>
      <c r="K30" s="56"/>
    </row>
    <row r="31" spans="6:12">
      <c r="F31" s="129"/>
      <c r="G31" s="129"/>
      <c r="H31" s="129"/>
      <c r="I31" s="129"/>
    </row>
    <row r="32" spans="6:12">
      <c r="F32" s="132" t="s">
        <v>262</v>
      </c>
      <c r="G32" s="133"/>
      <c r="H32" s="134"/>
      <c r="I32" s="96">
        <f>I30+I28</f>
        <v>3522705860.073</v>
      </c>
      <c r="J32" s="11">
        <f>I32/G12</f>
        <v>5292336.0036191605</v>
      </c>
      <c r="K32" t="s">
        <v>265</v>
      </c>
    </row>
    <row r="34" spans="9:10">
      <c r="I34" s="11">
        <f>339*10^7</f>
        <v>3390000000</v>
      </c>
      <c r="J34" t="s">
        <v>266</v>
      </c>
    </row>
    <row r="36" spans="9:10">
      <c r="I36" s="11">
        <f>I34*0.85</f>
        <v>2881500000</v>
      </c>
    </row>
    <row r="37" spans="9:10">
      <c r="I37" s="11">
        <f>I34*0.75</f>
        <v>2542500000</v>
      </c>
    </row>
  </sheetData>
  <mergeCells count="22">
    <mergeCell ref="F29:I29"/>
    <mergeCell ref="F30:G30"/>
    <mergeCell ref="F31:I31"/>
    <mergeCell ref="F32:H32"/>
    <mergeCell ref="F23:I23"/>
    <mergeCell ref="F24:G24"/>
    <mergeCell ref="F25:I25"/>
    <mergeCell ref="F26:G26"/>
    <mergeCell ref="F27:I27"/>
    <mergeCell ref="F28:H28"/>
    <mergeCell ref="F22:H22"/>
    <mergeCell ref="F2:I2"/>
    <mergeCell ref="F4:I4"/>
    <mergeCell ref="F13:I13"/>
    <mergeCell ref="F14:G14"/>
    <mergeCell ref="F15:I15"/>
    <mergeCell ref="F16:G16"/>
    <mergeCell ref="F17:I17"/>
    <mergeCell ref="F18:H18"/>
    <mergeCell ref="F19:I19"/>
    <mergeCell ref="F20:G20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53EC-0A42-43CD-ACAA-432F0F36B99D}">
  <dimension ref="C3:F11"/>
  <sheetViews>
    <sheetView tabSelected="1" workbookViewId="0">
      <selection activeCell="H11" sqref="H11"/>
    </sheetView>
  </sheetViews>
  <sheetFormatPr defaultRowHeight="15"/>
  <cols>
    <col min="3" max="3" width="33.140625" customWidth="1"/>
    <col min="4" max="4" width="10.140625" customWidth="1"/>
    <col min="5" max="5" width="16.7109375" customWidth="1"/>
    <col min="6" max="6" width="14.42578125" customWidth="1"/>
  </cols>
  <sheetData>
    <row r="3" spans="3:6" ht="80.25" customHeight="1">
      <c r="C3" s="38" t="s">
        <v>248</v>
      </c>
      <c r="D3" s="5" t="s">
        <v>372</v>
      </c>
      <c r="E3" s="5" t="s">
        <v>388</v>
      </c>
      <c r="F3" s="5" t="s">
        <v>389</v>
      </c>
    </row>
    <row r="4" spans="3:6">
      <c r="C4" s="54" t="s">
        <v>249</v>
      </c>
      <c r="D4" s="54">
        <v>82.06</v>
      </c>
      <c r="E4" s="57">
        <v>1227600</v>
      </c>
      <c r="F4" s="57">
        <v>100736856</v>
      </c>
    </row>
    <row r="5" spans="3:6">
      <c r="C5" s="54" t="s">
        <v>241</v>
      </c>
      <c r="D5" s="54">
        <v>95.800000000000011</v>
      </c>
      <c r="E5" s="57">
        <v>920700</v>
      </c>
      <c r="F5" s="57">
        <v>88203060.000000015</v>
      </c>
    </row>
    <row r="6" spans="3:6">
      <c r="C6" s="54" t="s">
        <v>242</v>
      </c>
      <c r="D6" s="54">
        <v>99.52000000000001</v>
      </c>
      <c r="E6" s="57">
        <v>613800</v>
      </c>
      <c r="F6" s="57">
        <v>61085376.000000007</v>
      </c>
    </row>
    <row r="7" spans="3:6">
      <c r="C7" s="54" t="s">
        <v>250</v>
      </c>
      <c r="D7" s="54">
        <v>6.81</v>
      </c>
      <c r="E7" s="57">
        <v>767250</v>
      </c>
      <c r="F7" s="57">
        <v>5224972.5</v>
      </c>
    </row>
    <row r="8" spans="3:6">
      <c r="C8" s="54" t="s">
        <v>251</v>
      </c>
      <c r="D8" s="54">
        <v>69.05</v>
      </c>
      <c r="E8" s="57">
        <v>613800</v>
      </c>
      <c r="F8" s="57">
        <v>42382890</v>
      </c>
    </row>
    <row r="9" spans="3:6">
      <c r="C9" s="54" t="s">
        <v>252</v>
      </c>
      <c r="D9" s="54">
        <v>121.84</v>
      </c>
      <c r="E9" s="57">
        <v>613800</v>
      </c>
      <c r="F9" s="57">
        <v>74785392</v>
      </c>
    </row>
    <row r="10" spans="3:6">
      <c r="C10" s="54" t="s">
        <v>253</v>
      </c>
      <c r="D10" s="54">
        <v>190.54399999999998</v>
      </c>
      <c r="E10" s="57">
        <v>613800</v>
      </c>
      <c r="F10" s="57">
        <v>116955907.19999999</v>
      </c>
    </row>
    <row r="11" spans="3:6">
      <c r="C11" s="168" t="s">
        <v>12</v>
      </c>
      <c r="D11" s="55">
        <v>665.62400000000002</v>
      </c>
      <c r="E11" s="58"/>
      <c r="F11" s="58">
        <v>489374453.69999999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FDE6-7459-4A40-B22D-EC7F9253A527}">
  <dimension ref="D2:X53"/>
  <sheetViews>
    <sheetView topLeftCell="A16" workbookViewId="0">
      <selection activeCell="L26" sqref="L26"/>
    </sheetView>
  </sheetViews>
  <sheetFormatPr defaultRowHeight="15"/>
  <cols>
    <col min="1" max="3" width="9.140625" style="17"/>
    <col min="4" max="4" width="28.7109375" style="44" bestFit="1" customWidth="1"/>
    <col min="5" max="5" width="19.5703125" style="17" bestFit="1" customWidth="1"/>
    <col min="6" max="6" width="16.7109375" style="17" bestFit="1" customWidth="1"/>
    <col min="7" max="7" width="12" style="45" bestFit="1" customWidth="1"/>
    <col min="8" max="8" width="10.7109375" style="17" customWidth="1"/>
    <col min="9" max="9" width="9.140625" style="17"/>
    <col min="10" max="10" width="14.28515625" style="17" bestFit="1" customWidth="1"/>
    <col min="11" max="11" width="9.140625" style="17"/>
    <col min="12" max="12" width="15" style="17" bestFit="1" customWidth="1"/>
    <col min="13" max="13" width="9.140625" style="17"/>
    <col min="14" max="14" width="10.7109375" style="17" bestFit="1" customWidth="1"/>
    <col min="15" max="15" width="7" style="17" bestFit="1" customWidth="1"/>
    <col min="16" max="16384" width="9.140625" style="17"/>
  </cols>
  <sheetData>
    <row r="2" spans="4:14" ht="27.75">
      <c r="D2" s="38" t="s">
        <v>204</v>
      </c>
      <c r="E2" s="38" t="s">
        <v>205</v>
      </c>
      <c r="F2" s="38" t="s">
        <v>206</v>
      </c>
      <c r="G2" s="5" t="s">
        <v>207</v>
      </c>
    </row>
    <row r="3" spans="4:14">
      <c r="D3" s="155" t="s">
        <v>203</v>
      </c>
      <c r="E3" s="155"/>
      <c r="F3" s="155"/>
      <c r="G3" s="155"/>
    </row>
    <row r="4" spans="4:14">
      <c r="D4" s="144" t="s">
        <v>208</v>
      </c>
      <c r="E4" s="41" t="s">
        <v>209</v>
      </c>
      <c r="F4" s="18" t="s">
        <v>210</v>
      </c>
      <c r="G4" s="39">
        <v>171.48</v>
      </c>
      <c r="K4" s="50">
        <v>741.71</v>
      </c>
      <c r="L4" s="51" t="s">
        <v>232</v>
      </c>
    </row>
    <row r="5" spans="4:14">
      <c r="D5" s="145"/>
      <c r="E5" s="41" t="s">
        <v>211</v>
      </c>
      <c r="F5" s="18" t="s">
        <v>210</v>
      </c>
      <c r="G5" s="39">
        <v>166.4</v>
      </c>
      <c r="K5" s="49">
        <v>667.08</v>
      </c>
      <c r="L5" s="41" t="s">
        <v>236</v>
      </c>
    </row>
    <row r="6" spans="4:14">
      <c r="D6" s="145"/>
      <c r="E6" s="41" t="s">
        <v>212</v>
      </c>
      <c r="F6" s="18" t="s">
        <v>210</v>
      </c>
      <c r="G6" s="39">
        <v>174.84</v>
      </c>
      <c r="K6" s="49">
        <v>74.63</v>
      </c>
      <c r="L6" s="41" t="s">
        <v>237</v>
      </c>
    </row>
    <row r="7" spans="4:14">
      <c r="D7" s="145"/>
      <c r="E7" s="41" t="s">
        <v>213</v>
      </c>
      <c r="F7" s="18" t="s">
        <v>210</v>
      </c>
      <c r="G7" s="39">
        <v>4.3099999999999996</v>
      </c>
      <c r="K7" s="45"/>
      <c r="N7" s="46"/>
    </row>
    <row r="8" spans="4:14">
      <c r="D8" s="149" t="s">
        <v>12</v>
      </c>
      <c r="E8" s="150"/>
      <c r="F8" s="151"/>
      <c r="G8" s="40">
        <f>SUM(G4:G7)</f>
        <v>517.03</v>
      </c>
      <c r="K8" s="45"/>
    </row>
    <row r="9" spans="4:14">
      <c r="D9" s="115"/>
      <c r="E9" s="115"/>
      <c r="F9" s="115"/>
      <c r="G9" s="115"/>
      <c r="K9" s="45"/>
    </row>
    <row r="10" spans="4:14">
      <c r="D10" s="144" t="s">
        <v>233</v>
      </c>
      <c r="E10" s="41" t="s">
        <v>214</v>
      </c>
      <c r="F10" s="18" t="s">
        <v>234</v>
      </c>
      <c r="G10" s="102">
        <v>1.46</v>
      </c>
      <c r="K10" s="45"/>
    </row>
    <row r="11" spans="4:14">
      <c r="D11" s="152"/>
      <c r="E11" s="41" t="s">
        <v>218</v>
      </c>
      <c r="F11" s="18" t="s">
        <v>210</v>
      </c>
      <c r="G11" s="39">
        <v>0.43</v>
      </c>
      <c r="K11" s="45"/>
    </row>
    <row r="12" spans="4:14">
      <c r="D12" s="149" t="s">
        <v>12</v>
      </c>
      <c r="E12" s="150"/>
      <c r="F12" s="151"/>
      <c r="G12" s="40">
        <f>SUM(G10:G11)</f>
        <v>1.89</v>
      </c>
      <c r="K12" s="45"/>
    </row>
    <row r="13" spans="4:14">
      <c r="D13" s="47" t="s">
        <v>235</v>
      </c>
      <c r="E13" s="156" t="s">
        <v>240</v>
      </c>
      <c r="F13" s="157"/>
      <c r="G13" s="48">
        <v>74.63</v>
      </c>
      <c r="K13" s="45"/>
    </row>
    <row r="14" spans="4:14">
      <c r="D14" s="115"/>
      <c r="E14" s="115"/>
      <c r="F14" s="115"/>
      <c r="G14" s="115"/>
      <c r="K14" s="45"/>
    </row>
    <row r="15" spans="4:14">
      <c r="D15" s="155" t="s">
        <v>215</v>
      </c>
      <c r="E15" s="155"/>
      <c r="F15" s="155"/>
      <c r="G15" s="155"/>
      <c r="K15" s="49">
        <v>2.87</v>
      </c>
      <c r="L15" s="146" t="s">
        <v>239</v>
      </c>
    </row>
    <row r="16" spans="4:14">
      <c r="D16" s="153" t="s">
        <v>216</v>
      </c>
      <c r="E16" s="41" t="s">
        <v>217</v>
      </c>
      <c r="F16" s="18" t="s">
        <v>210</v>
      </c>
      <c r="G16" s="39">
        <v>30.210999999999999</v>
      </c>
      <c r="I16" s="154">
        <f>SUM(G16:G18)</f>
        <v>41.271000000000001</v>
      </c>
      <c r="K16" s="49">
        <v>16.27</v>
      </c>
      <c r="L16" s="147"/>
    </row>
    <row r="17" spans="4:12">
      <c r="D17" s="153"/>
      <c r="E17" s="41" t="s">
        <v>218</v>
      </c>
      <c r="F17" s="18" t="s">
        <v>210</v>
      </c>
      <c r="G17" s="39">
        <v>2.25</v>
      </c>
      <c r="I17" s="154"/>
      <c r="K17" s="49">
        <v>5.92</v>
      </c>
      <c r="L17" s="147"/>
    </row>
    <row r="18" spans="4:12">
      <c r="D18" s="153"/>
      <c r="E18" s="41" t="s">
        <v>219</v>
      </c>
      <c r="F18" s="18" t="s">
        <v>210</v>
      </c>
      <c r="G18" s="39">
        <v>8.81</v>
      </c>
      <c r="I18" s="154"/>
      <c r="K18" s="49">
        <v>2.77</v>
      </c>
      <c r="L18" s="147"/>
    </row>
    <row r="19" spans="4:12">
      <c r="D19" s="41" t="s">
        <v>220</v>
      </c>
      <c r="E19" s="41" t="s">
        <v>221</v>
      </c>
      <c r="F19" s="18" t="s">
        <v>210</v>
      </c>
      <c r="G19" s="39">
        <v>14.962999999999999</v>
      </c>
      <c r="K19" s="49">
        <v>13.58</v>
      </c>
      <c r="L19" s="147"/>
    </row>
    <row r="20" spans="4:12">
      <c r="D20" s="153" t="s">
        <v>222</v>
      </c>
      <c r="E20" s="41" t="s">
        <v>223</v>
      </c>
      <c r="F20" s="18" t="s">
        <v>210</v>
      </c>
      <c r="G20" s="39">
        <v>22.678000000000001</v>
      </c>
      <c r="I20" s="154">
        <f>SUM(G20:G27)</f>
        <v>91.929999999999993</v>
      </c>
      <c r="K20" s="49">
        <v>33.21</v>
      </c>
      <c r="L20" s="147"/>
    </row>
    <row r="21" spans="4:12">
      <c r="D21" s="153"/>
      <c r="E21" s="41" t="s">
        <v>224</v>
      </c>
      <c r="F21" s="18" t="s">
        <v>210</v>
      </c>
      <c r="G21" s="39">
        <v>3.8889999999999998</v>
      </c>
      <c r="I21" s="154"/>
      <c r="K21" s="50">
        <f>SUM(K15:K20)</f>
        <v>74.62</v>
      </c>
      <c r="L21" s="148"/>
    </row>
    <row r="22" spans="4:12">
      <c r="D22" s="153"/>
      <c r="E22" s="41" t="s">
        <v>225</v>
      </c>
      <c r="F22" s="18" t="s">
        <v>210</v>
      </c>
      <c r="G22" s="39">
        <v>1.371</v>
      </c>
      <c r="I22" s="154"/>
    </row>
    <row r="23" spans="4:12">
      <c r="D23" s="153"/>
      <c r="E23" s="41" t="s">
        <v>226</v>
      </c>
      <c r="F23" s="18" t="s">
        <v>210</v>
      </c>
      <c r="G23" s="39">
        <v>20.152999999999999</v>
      </c>
      <c r="I23" s="154"/>
    </row>
    <row r="24" spans="4:12">
      <c r="D24" s="153"/>
      <c r="E24" s="41" t="s">
        <v>227</v>
      </c>
      <c r="F24" s="18" t="s">
        <v>210</v>
      </c>
      <c r="G24" s="39">
        <v>19.001999999999999</v>
      </c>
      <c r="I24" s="154"/>
    </row>
    <row r="25" spans="4:12">
      <c r="D25" s="153"/>
      <c r="E25" s="41" t="s">
        <v>228</v>
      </c>
      <c r="F25" s="18" t="s">
        <v>210</v>
      </c>
      <c r="G25" s="39">
        <v>10.304</v>
      </c>
      <c r="I25" s="154"/>
    </row>
    <row r="26" spans="4:12">
      <c r="D26" s="153"/>
      <c r="E26" s="41" t="s">
        <v>229</v>
      </c>
      <c r="F26" s="18" t="s">
        <v>210</v>
      </c>
      <c r="G26" s="39">
        <v>9.1809999999999992</v>
      </c>
      <c r="I26" s="154"/>
    </row>
    <row r="27" spans="4:12">
      <c r="D27" s="153"/>
      <c r="E27" s="41" t="s">
        <v>230</v>
      </c>
      <c r="F27" s="18" t="s">
        <v>210</v>
      </c>
      <c r="G27" s="39">
        <v>5.3520000000000003</v>
      </c>
      <c r="I27" s="154"/>
    </row>
    <row r="28" spans="4:12">
      <c r="D28" s="142" t="s">
        <v>12</v>
      </c>
      <c r="E28" s="142"/>
      <c r="F28" s="142"/>
      <c r="G28" s="40">
        <f>SUM(G16:G27)</f>
        <v>148.16399999999999</v>
      </c>
      <c r="J28" s="1"/>
    </row>
    <row r="29" spans="4:12">
      <c r="D29" s="143" t="s">
        <v>231</v>
      </c>
      <c r="E29" s="143"/>
      <c r="F29" s="143"/>
      <c r="G29" s="43">
        <f>G8+G28+G10+G11+G13</f>
        <v>741.71399999999994</v>
      </c>
    </row>
    <row r="31" spans="4:12">
      <c r="F31" s="45" t="s">
        <v>238</v>
      </c>
      <c r="G31" s="52">
        <f>G28+G8+G12</f>
        <v>667.08399999999995</v>
      </c>
    </row>
    <row r="38" spans="7:24" ht="28.5" customHeight="1">
      <c r="G38" s="53" t="s">
        <v>205</v>
      </c>
      <c r="H38" s="68" t="s">
        <v>280</v>
      </c>
      <c r="I38" s="53" t="s">
        <v>241</v>
      </c>
      <c r="J38" s="53" t="s">
        <v>242</v>
      </c>
      <c r="K38" s="53" t="s">
        <v>243</v>
      </c>
      <c r="L38" s="53" t="s">
        <v>244</v>
      </c>
      <c r="M38" s="53" t="s">
        <v>245</v>
      </c>
      <c r="N38" s="53" t="s">
        <v>246</v>
      </c>
      <c r="O38" s="54" t="s">
        <v>12</v>
      </c>
      <c r="P38"/>
      <c r="Q38"/>
      <c r="R38"/>
      <c r="S38"/>
      <c r="T38"/>
      <c r="U38"/>
      <c r="V38"/>
      <c r="W38"/>
      <c r="X38"/>
    </row>
    <row r="39" spans="7:24">
      <c r="G39" s="53" t="s">
        <v>211</v>
      </c>
      <c r="H39" s="54">
        <f>34.49</f>
        <v>34.49</v>
      </c>
      <c r="I39" s="54">
        <v>25.99</v>
      </c>
      <c r="J39" s="54">
        <v>27.41</v>
      </c>
      <c r="K39" s="54">
        <v>0</v>
      </c>
      <c r="L39" s="54">
        <v>50.48</v>
      </c>
      <c r="M39" s="54">
        <v>0</v>
      </c>
      <c r="N39" s="54">
        <f>20.51+7.52</f>
        <v>28.03</v>
      </c>
      <c r="O39" s="54">
        <f t="shared" ref="O39:O44" si="0">SUM(H39:N39)</f>
        <v>166.4</v>
      </c>
      <c r="P39"/>
      <c r="Q39">
        <v>1227600</v>
      </c>
      <c r="R39">
        <v>1227600</v>
      </c>
      <c r="S39">
        <v>920700</v>
      </c>
      <c r="T39">
        <v>613800</v>
      </c>
      <c r="U39">
        <v>767250</v>
      </c>
      <c r="V39">
        <v>613800</v>
      </c>
      <c r="W39">
        <v>613800</v>
      </c>
      <c r="X39">
        <v>613800</v>
      </c>
    </row>
    <row r="40" spans="7:24">
      <c r="G40" s="53" t="s">
        <v>247</v>
      </c>
      <c r="H40" s="54">
        <v>47.4</v>
      </c>
      <c r="I40" s="54">
        <v>51.88</v>
      </c>
      <c r="J40" s="54">
        <v>38.68</v>
      </c>
      <c r="K40" s="54">
        <v>0.51</v>
      </c>
      <c r="L40" s="54">
        <v>2.4500000000000002</v>
      </c>
      <c r="M40" s="54">
        <v>24.76</v>
      </c>
      <c r="N40" s="54">
        <v>5.8</v>
      </c>
      <c r="O40" s="54">
        <f t="shared" si="0"/>
        <v>171.48</v>
      </c>
      <c r="P40"/>
      <c r="Q40"/>
      <c r="R40"/>
      <c r="S40"/>
      <c r="T40"/>
      <c r="U40"/>
      <c r="V40"/>
      <c r="W40"/>
      <c r="X40"/>
    </row>
    <row r="41" spans="7:24">
      <c r="G41" s="53" t="s">
        <v>212</v>
      </c>
      <c r="H41" s="54">
        <v>0.14000000000000001</v>
      </c>
      <c r="I41" s="54">
        <v>17.53</v>
      </c>
      <c r="J41" s="54">
        <v>33.43</v>
      </c>
      <c r="K41" s="54">
        <v>6.3</v>
      </c>
      <c r="L41" s="54">
        <v>16.12</v>
      </c>
      <c r="M41" s="54">
        <v>92.77</v>
      </c>
      <c r="N41" s="54">
        <v>8.5500000000000007</v>
      </c>
      <c r="O41" s="54">
        <f t="shared" si="0"/>
        <v>174.84</v>
      </c>
      <c r="P41"/>
      <c r="Q41">
        <v>1227600</v>
      </c>
      <c r="R41">
        <v>1227600</v>
      </c>
      <c r="S41">
        <v>920700</v>
      </c>
      <c r="T41">
        <v>613800</v>
      </c>
      <c r="U41">
        <v>767250</v>
      </c>
      <c r="V41">
        <v>613800</v>
      </c>
      <c r="W41">
        <v>613800</v>
      </c>
      <c r="X41">
        <v>613800</v>
      </c>
    </row>
    <row r="42" spans="7:24">
      <c r="G42" s="53" t="s">
        <v>213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4.3099999999999996</v>
      </c>
      <c r="N42" s="54">
        <v>0</v>
      </c>
      <c r="O42" s="54">
        <f t="shared" si="0"/>
        <v>4.3099999999999996</v>
      </c>
      <c r="P42"/>
      <c r="Q42"/>
      <c r="R42"/>
      <c r="S42"/>
      <c r="T42"/>
      <c r="U42"/>
      <c r="V42"/>
      <c r="W42"/>
      <c r="X42"/>
    </row>
    <row r="43" spans="7:24">
      <c r="G43" s="53" t="s">
        <v>218</v>
      </c>
      <c r="H43" s="54">
        <v>0.03</v>
      </c>
      <c r="I43" s="54">
        <v>0.4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f t="shared" si="0"/>
        <v>0.43000000000000005</v>
      </c>
      <c r="P43"/>
      <c r="Q43"/>
      <c r="R43"/>
      <c r="S43"/>
      <c r="T43"/>
      <c r="U43"/>
      <c r="V43"/>
      <c r="W43"/>
      <c r="X43"/>
    </row>
    <row r="44" spans="7:24">
      <c r="G44" s="53" t="s">
        <v>246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69">
        <f>G28</f>
        <v>148.16399999999999</v>
      </c>
      <c r="O44" s="54">
        <f t="shared" si="0"/>
        <v>148.16399999999999</v>
      </c>
      <c r="P44"/>
      <c r="Q44"/>
      <c r="R44"/>
      <c r="S44"/>
      <c r="T44"/>
      <c r="U44"/>
      <c r="V44"/>
      <c r="W44"/>
      <c r="X44"/>
    </row>
    <row r="45" spans="7:24">
      <c r="G45" s="54" t="s">
        <v>12</v>
      </c>
      <c r="H45" s="54">
        <f>SUM(H39:H44)</f>
        <v>82.06</v>
      </c>
      <c r="I45" s="54">
        <f t="shared" ref="I45:N45" si="1">SUM(I39:I44)</f>
        <v>95.800000000000011</v>
      </c>
      <c r="J45" s="54">
        <f t="shared" si="1"/>
        <v>99.52000000000001</v>
      </c>
      <c r="K45" s="54">
        <f t="shared" si="1"/>
        <v>6.81</v>
      </c>
      <c r="L45" s="54">
        <f t="shared" si="1"/>
        <v>69.05</v>
      </c>
      <c r="M45" s="54">
        <f t="shared" si="1"/>
        <v>121.84</v>
      </c>
      <c r="N45" s="54">
        <f t="shared" si="1"/>
        <v>190.54399999999998</v>
      </c>
      <c r="O45" s="55">
        <f>SUM(O39:O44)</f>
        <v>665.62399999999991</v>
      </c>
      <c r="P45"/>
      <c r="Q45"/>
      <c r="R45"/>
      <c r="S45"/>
      <c r="T45"/>
      <c r="U45"/>
      <c r="V45"/>
      <c r="W45"/>
      <c r="X45"/>
    </row>
    <row r="46" spans="7:24">
      <c r="G46"/>
      <c r="H46"/>
      <c r="I46"/>
      <c r="J46"/>
      <c r="K46"/>
      <c r="L46"/>
      <c r="M46"/>
      <c r="N46"/>
      <c r="O46"/>
      <c r="P46"/>
      <c r="Q46">
        <v>1227600</v>
      </c>
      <c r="R46"/>
      <c r="S46"/>
      <c r="T46"/>
      <c r="U46"/>
      <c r="V46"/>
      <c r="W46"/>
      <c r="X46"/>
    </row>
    <row r="47" spans="7:24">
      <c r="G47"/>
      <c r="H47"/>
      <c r="I47"/>
      <c r="J47"/>
      <c r="K47"/>
      <c r="L47"/>
      <c r="M47"/>
      <c r="N47"/>
      <c r="O47"/>
      <c r="P47"/>
      <c r="Q47">
        <v>1227600</v>
      </c>
      <c r="R47"/>
      <c r="S47"/>
      <c r="T47"/>
      <c r="U47"/>
      <c r="V47"/>
      <c r="W47"/>
      <c r="X47"/>
    </row>
    <row r="48" spans="7:24">
      <c r="G48"/>
      <c r="H48"/>
      <c r="I48"/>
      <c r="J48"/>
      <c r="K48"/>
      <c r="L48"/>
      <c r="M48"/>
      <c r="N48"/>
      <c r="O48"/>
      <c r="P48"/>
      <c r="Q48">
        <v>920700</v>
      </c>
      <c r="R48"/>
      <c r="S48"/>
      <c r="T48"/>
      <c r="U48"/>
      <c r="V48"/>
      <c r="W48"/>
      <c r="X48"/>
    </row>
    <row r="49" spans="7:24">
      <c r="G49"/>
      <c r="H49"/>
      <c r="I49"/>
      <c r="J49"/>
      <c r="K49"/>
      <c r="L49"/>
      <c r="M49"/>
      <c r="N49"/>
      <c r="O49"/>
      <c r="P49"/>
      <c r="Q49">
        <v>613800</v>
      </c>
      <c r="R49"/>
      <c r="S49"/>
      <c r="T49"/>
      <c r="U49"/>
      <c r="V49"/>
      <c r="W49"/>
      <c r="X49"/>
    </row>
    <row r="50" spans="7:24">
      <c r="G50"/>
      <c r="H50"/>
      <c r="I50"/>
      <c r="J50"/>
      <c r="K50"/>
      <c r="L50"/>
      <c r="M50"/>
      <c r="N50"/>
      <c r="O50"/>
      <c r="P50"/>
      <c r="Q50">
        <v>767250</v>
      </c>
      <c r="R50"/>
      <c r="S50"/>
      <c r="T50"/>
      <c r="U50"/>
      <c r="V50"/>
      <c r="W50"/>
      <c r="X50"/>
    </row>
    <row r="51" spans="7:24">
      <c r="G51"/>
      <c r="H51"/>
      <c r="I51"/>
      <c r="J51"/>
      <c r="K51"/>
      <c r="L51"/>
      <c r="M51"/>
      <c r="N51"/>
      <c r="O51"/>
      <c r="P51"/>
      <c r="Q51">
        <v>613800</v>
      </c>
      <c r="R51"/>
      <c r="S51"/>
      <c r="T51"/>
      <c r="U51"/>
      <c r="V51"/>
      <c r="W51"/>
      <c r="X51"/>
    </row>
    <row r="52" spans="7:24">
      <c r="G52"/>
      <c r="H52"/>
      <c r="I52"/>
      <c r="J52"/>
      <c r="K52"/>
      <c r="L52"/>
      <c r="M52"/>
      <c r="N52"/>
      <c r="O52"/>
      <c r="P52"/>
      <c r="Q52">
        <v>613800</v>
      </c>
      <c r="R52"/>
      <c r="S52"/>
      <c r="T52"/>
      <c r="U52"/>
      <c r="V52"/>
      <c r="W52"/>
      <c r="X52"/>
    </row>
    <row r="53" spans="7:24">
      <c r="G53"/>
      <c r="H53"/>
      <c r="I53"/>
      <c r="J53"/>
      <c r="K53"/>
      <c r="L53"/>
      <c r="M53"/>
      <c r="N53"/>
      <c r="O53"/>
      <c r="P53"/>
      <c r="Q53">
        <v>613800</v>
      </c>
      <c r="R53"/>
      <c r="S53"/>
      <c r="T53"/>
      <c r="U53"/>
      <c r="V53"/>
      <c r="W53"/>
      <c r="X53"/>
    </row>
  </sheetData>
  <mergeCells count="16">
    <mergeCell ref="D3:G3"/>
    <mergeCell ref="D8:F8"/>
    <mergeCell ref="D15:G15"/>
    <mergeCell ref="D16:D18"/>
    <mergeCell ref="I16:I18"/>
    <mergeCell ref="E13:F13"/>
    <mergeCell ref="D14:G14"/>
    <mergeCell ref="D9:G9"/>
    <mergeCell ref="D28:F28"/>
    <mergeCell ref="D29:F29"/>
    <mergeCell ref="D4:D7"/>
    <mergeCell ref="L15:L21"/>
    <mergeCell ref="D12:F12"/>
    <mergeCell ref="D10:D11"/>
    <mergeCell ref="D20:D27"/>
    <mergeCell ref="I20:I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750B-9BFA-4853-9CB6-665FD27D6309}">
  <dimension ref="B1:U19"/>
  <sheetViews>
    <sheetView workbookViewId="0">
      <selection activeCell="Q12" sqref="Q12"/>
    </sheetView>
  </sheetViews>
  <sheetFormatPr defaultRowHeight="15"/>
  <cols>
    <col min="1" max="1" width="9.140625" style="17"/>
    <col min="2" max="2" width="6.42578125" style="17" bestFit="1" customWidth="1"/>
    <col min="3" max="3" width="13" style="24" customWidth="1"/>
    <col min="4" max="4" width="8.42578125" style="17" customWidth="1"/>
    <col min="5" max="5" width="17.28515625" style="17" customWidth="1"/>
    <col min="6" max="6" width="13.7109375" style="17" bestFit="1" customWidth="1"/>
    <col min="7" max="7" width="10.28515625" style="17" bestFit="1" customWidth="1"/>
    <col min="8" max="8" width="13.28515625" style="17" customWidth="1"/>
    <col min="9" max="9" width="10.5703125" style="17" hidden="1" customWidth="1"/>
    <col min="10" max="10" width="9.42578125" style="17" bestFit="1" customWidth="1"/>
    <col min="11" max="11" width="8.140625" style="17" hidden="1" customWidth="1"/>
    <col min="12" max="12" width="0" style="17" hidden="1" customWidth="1"/>
    <col min="13" max="13" width="13.140625" style="17" customWidth="1"/>
    <col min="14" max="14" width="14.28515625" style="17" bestFit="1" customWidth="1"/>
    <col min="15" max="15" width="14.28515625" style="17" customWidth="1"/>
    <col min="16" max="16" width="13.28515625" style="17" hidden="1" customWidth="1"/>
    <col min="17" max="17" width="16.85546875" style="17" bestFit="1" customWidth="1"/>
    <col min="18" max="18" width="14.85546875" style="17" bestFit="1" customWidth="1"/>
    <col min="19" max="19" width="9.42578125" style="17" bestFit="1" customWidth="1"/>
    <col min="20" max="20" width="12.5703125" style="17" bestFit="1" customWidth="1"/>
    <col min="21" max="21" width="9.42578125" style="17" bestFit="1" customWidth="1"/>
    <col min="22" max="16384" width="9.140625" style="17"/>
  </cols>
  <sheetData>
    <row r="1" spans="2:21">
      <c r="G1" s="17">
        <f>2479*2</f>
        <v>4958</v>
      </c>
      <c r="H1" s="17">
        <f>444*5</f>
        <v>2220</v>
      </c>
      <c r="I1" s="34">
        <v>45245</v>
      </c>
    </row>
    <row r="2" spans="2:21" ht="75">
      <c r="B2" s="5" t="s">
        <v>0</v>
      </c>
      <c r="C2" s="5" t="s">
        <v>186</v>
      </c>
      <c r="D2" s="5" t="s">
        <v>194</v>
      </c>
      <c r="E2" s="5" t="s">
        <v>1</v>
      </c>
      <c r="F2" s="5" t="s">
        <v>190</v>
      </c>
      <c r="G2" s="5" t="s">
        <v>327</v>
      </c>
      <c r="H2" s="5" t="s">
        <v>2</v>
      </c>
      <c r="I2" s="37" t="s">
        <v>328</v>
      </c>
      <c r="J2" s="5" t="s">
        <v>329</v>
      </c>
      <c r="K2" s="2" t="s">
        <v>3</v>
      </c>
      <c r="L2" s="2" t="s">
        <v>4</v>
      </c>
      <c r="M2" s="5" t="s">
        <v>330</v>
      </c>
      <c r="N2" s="5" t="s">
        <v>271</v>
      </c>
      <c r="O2" s="5" t="s">
        <v>331</v>
      </c>
      <c r="P2" s="2" t="s">
        <v>332</v>
      </c>
      <c r="Q2" s="5" t="s">
        <v>333</v>
      </c>
    </row>
    <row r="3" spans="2:21" ht="30">
      <c r="B3" s="18">
        <v>1</v>
      </c>
      <c r="C3" s="77" t="s">
        <v>198</v>
      </c>
      <c r="D3" s="78" t="s">
        <v>162</v>
      </c>
      <c r="E3" s="19" t="s">
        <v>195</v>
      </c>
      <c r="F3" s="79" t="s">
        <v>334</v>
      </c>
      <c r="G3" s="4">
        <f>2479*10.7639*2</f>
        <v>53367.4162</v>
      </c>
      <c r="H3" s="33">
        <v>45022</v>
      </c>
      <c r="I3" s="27">
        <f>YEARFRAC(H3,$I$1)</f>
        <v>0.60833333333333328</v>
      </c>
      <c r="J3" s="18">
        <v>35</v>
      </c>
      <c r="K3" s="20">
        <v>0.1</v>
      </c>
      <c r="L3" s="21">
        <f t="shared" ref="L3" si="0">(1-K3)/J3</f>
        <v>2.5714285714285714E-2</v>
      </c>
      <c r="M3" s="30" t="s">
        <v>201</v>
      </c>
      <c r="N3" s="30">
        <v>99185995.440000013</v>
      </c>
      <c r="O3" s="4">
        <f>2000*G3</f>
        <v>106734832.40000001</v>
      </c>
      <c r="P3" s="3">
        <f t="shared" ref="P3" si="1">O3*L3*IF(I3&gt;J3,J3,I3)</f>
        <v>1669637.7354000001</v>
      </c>
      <c r="Q3" s="8">
        <f t="shared" ref="Q3" si="2">O3-P3</f>
        <v>105065194.6646</v>
      </c>
      <c r="R3" s="17">
        <v>10</v>
      </c>
      <c r="T3" s="17">
        <v>1.6</v>
      </c>
      <c r="U3" s="17">
        <v>2.5</v>
      </c>
    </row>
    <row r="4" spans="2:21" ht="45.75" customHeight="1">
      <c r="B4" s="18">
        <v>2</v>
      </c>
      <c r="C4" s="77" t="s">
        <v>199</v>
      </c>
      <c r="D4" s="78" t="s">
        <v>169</v>
      </c>
      <c r="E4" s="19" t="s">
        <v>196</v>
      </c>
      <c r="F4" s="79" t="s">
        <v>335</v>
      </c>
      <c r="G4" s="4">
        <f>444*10.7639*5</f>
        <v>23895.858</v>
      </c>
      <c r="H4" s="33">
        <v>45022</v>
      </c>
      <c r="I4" s="27">
        <f t="shared" ref="I4:I5" si="3">YEARFRAC(H4,$I$1)</f>
        <v>0.60833333333333328</v>
      </c>
      <c r="J4" s="18">
        <v>35</v>
      </c>
      <c r="K4" s="20">
        <v>0.1</v>
      </c>
      <c r="L4" s="21">
        <f t="shared" ref="L4:L5" si="4">(1-K4)/J4</f>
        <v>2.5714285714285714E-2</v>
      </c>
      <c r="M4" s="30" t="s">
        <v>326</v>
      </c>
      <c r="N4" s="30">
        <v>84347786.180000007</v>
      </c>
      <c r="O4" s="4">
        <f>2600*G4</f>
        <v>62129230.799999997</v>
      </c>
      <c r="P4" s="3">
        <f t="shared" ref="P4:P5" si="5">O4*L4*IF(I4&gt;J4,J4,I4)</f>
        <v>971878.6817999999</v>
      </c>
      <c r="Q4" s="8">
        <f t="shared" ref="Q4:Q5" si="6">O4-P4</f>
        <v>61157352.118199997</v>
      </c>
      <c r="R4" s="17">
        <v>8</v>
      </c>
      <c r="U4" s="17">
        <f>U3/T3</f>
        <v>1.5625</v>
      </c>
    </row>
    <row r="5" spans="2:21" ht="87" customHeight="1">
      <c r="B5" s="18">
        <v>3</v>
      </c>
      <c r="C5" s="77" t="s">
        <v>189</v>
      </c>
      <c r="D5" s="19" t="s">
        <v>375</v>
      </c>
      <c r="E5" s="19" t="s">
        <v>195</v>
      </c>
      <c r="F5" s="79" t="s">
        <v>336</v>
      </c>
      <c r="G5" s="4">
        <f>31970*10.7639</f>
        <v>344121.88299999997</v>
      </c>
      <c r="H5" s="33">
        <v>45022</v>
      </c>
      <c r="I5" s="27">
        <f t="shared" si="3"/>
        <v>0.60833333333333328</v>
      </c>
      <c r="J5" s="18">
        <v>60</v>
      </c>
      <c r="K5" s="20">
        <v>0.1</v>
      </c>
      <c r="L5" s="21">
        <f t="shared" si="4"/>
        <v>1.5000000000000001E-2</v>
      </c>
      <c r="M5" s="30" t="s">
        <v>202</v>
      </c>
      <c r="N5" s="30">
        <v>1401575544.23</v>
      </c>
      <c r="O5" s="4">
        <f>2200*G5</f>
        <v>757068142.5999999</v>
      </c>
      <c r="P5" s="3">
        <f t="shared" si="5"/>
        <v>6908246.8012249982</v>
      </c>
      <c r="Q5" s="8">
        <f t="shared" si="6"/>
        <v>750159895.79877496</v>
      </c>
      <c r="R5" s="74">
        <f>SUM(Q3:Q5)</f>
        <v>916382442.58157492</v>
      </c>
      <c r="T5" s="1">
        <f>8*1000000</f>
        <v>8000000</v>
      </c>
    </row>
    <row r="6" spans="2:21" ht="30">
      <c r="B6" s="18">
        <v>4</v>
      </c>
      <c r="C6" s="77" t="s">
        <v>187</v>
      </c>
      <c r="D6" s="78" t="s">
        <v>200</v>
      </c>
      <c r="E6" s="78" t="s">
        <v>200</v>
      </c>
      <c r="F6" s="80" t="s">
        <v>193</v>
      </c>
      <c r="G6" s="18" t="s">
        <v>200</v>
      </c>
      <c r="H6" s="18" t="s">
        <v>200</v>
      </c>
      <c r="I6" s="18"/>
      <c r="J6" s="18" t="s">
        <v>200</v>
      </c>
      <c r="K6" s="18"/>
      <c r="L6" s="18"/>
      <c r="M6" s="19" t="s">
        <v>374</v>
      </c>
      <c r="N6" s="30">
        <v>180006508.51000002</v>
      </c>
      <c r="O6" s="4">
        <f>60000000*3</f>
        <v>180000000</v>
      </c>
      <c r="P6" s="18"/>
      <c r="Q6" s="75">
        <f>O6</f>
        <v>180000000</v>
      </c>
      <c r="R6" s="76">
        <f>3000*4*2100</f>
        <v>25200000</v>
      </c>
    </row>
    <row r="7" spans="2:21" ht="30">
      <c r="B7" s="18">
        <v>5</v>
      </c>
      <c r="C7" s="77" t="s">
        <v>180</v>
      </c>
      <c r="D7" s="78" t="s">
        <v>200</v>
      </c>
      <c r="E7" s="78" t="s">
        <v>200</v>
      </c>
      <c r="F7" s="80" t="s">
        <v>192</v>
      </c>
      <c r="G7" s="18" t="s">
        <v>200</v>
      </c>
      <c r="H7" s="18" t="s">
        <v>200</v>
      </c>
      <c r="I7" s="18"/>
      <c r="J7" s="18" t="s">
        <v>200</v>
      </c>
      <c r="K7" s="18"/>
      <c r="L7" s="18"/>
      <c r="M7" s="19" t="s">
        <v>315</v>
      </c>
      <c r="N7" s="30">
        <v>140910806.20000002</v>
      </c>
      <c r="O7" s="4">
        <f>10870*12000</f>
        <v>130440000</v>
      </c>
      <c r="P7" s="18"/>
      <c r="Q7" s="75">
        <f t="shared" ref="Q7:Q10" si="7">O7</f>
        <v>130440000</v>
      </c>
    </row>
    <row r="8" spans="2:21" ht="29.25" customHeight="1">
      <c r="B8" s="18">
        <v>6</v>
      </c>
      <c r="C8" s="77" t="s">
        <v>182</v>
      </c>
      <c r="D8" s="78" t="s">
        <v>200</v>
      </c>
      <c r="E8" s="78" t="s">
        <v>200</v>
      </c>
      <c r="F8" s="80" t="s">
        <v>185</v>
      </c>
      <c r="G8" s="18" t="s">
        <v>200</v>
      </c>
      <c r="H8" s="18" t="s">
        <v>200</v>
      </c>
      <c r="I8" s="18"/>
      <c r="J8" s="18" t="s">
        <v>200</v>
      </c>
      <c r="K8" s="18"/>
      <c r="L8" s="18"/>
      <c r="M8" s="19" t="s">
        <v>359</v>
      </c>
      <c r="N8" s="4">
        <v>135363173.34</v>
      </c>
      <c r="O8" s="4">
        <f>124*1100000</f>
        <v>136400000</v>
      </c>
      <c r="P8" s="18"/>
      <c r="Q8" s="75">
        <f t="shared" si="7"/>
        <v>136400000</v>
      </c>
    </row>
    <row r="9" spans="2:21" ht="31.5" customHeight="1">
      <c r="B9" s="18">
        <v>7</v>
      </c>
      <c r="C9" s="77" t="s">
        <v>183</v>
      </c>
      <c r="D9" s="78" t="s">
        <v>200</v>
      </c>
      <c r="E9" s="78" t="s">
        <v>200</v>
      </c>
      <c r="F9" s="80" t="s">
        <v>184</v>
      </c>
      <c r="G9" s="4" t="s">
        <v>200</v>
      </c>
      <c r="H9" s="18" t="s">
        <v>200</v>
      </c>
      <c r="I9" s="18"/>
      <c r="J9" s="18" t="s">
        <v>200</v>
      </c>
      <c r="K9" s="18"/>
      <c r="L9" s="18"/>
      <c r="M9" s="19" t="s">
        <v>314</v>
      </c>
      <c r="N9" s="30">
        <v>189287155.65000001</v>
      </c>
      <c r="O9" s="4">
        <f>S9*180</f>
        <v>200340000</v>
      </c>
      <c r="P9" s="18"/>
      <c r="Q9" s="75">
        <f t="shared" si="7"/>
        <v>200340000</v>
      </c>
      <c r="S9" s="17">
        <v>1113000</v>
      </c>
      <c r="T9" s="17" t="s">
        <v>197</v>
      </c>
    </row>
    <row r="10" spans="2:21" ht="30">
      <c r="B10" s="18">
        <v>8</v>
      </c>
      <c r="C10" s="77" t="s">
        <v>188</v>
      </c>
      <c r="D10" s="78" t="s">
        <v>200</v>
      </c>
      <c r="E10" s="78" t="s">
        <v>200</v>
      </c>
      <c r="F10" s="80" t="s">
        <v>191</v>
      </c>
      <c r="G10" s="18" t="s">
        <v>200</v>
      </c>
      <c r="H10" s="18" t="s">
        <v>200</v>
      </c>
      <c r="I10" s="18"/>
      <c r="J10" s="18" t="s">
        <v>200</v>
      </c>
      <c r="K10" s="18"/>
      <c r="L10" s="18"/>
      <c r="M10" s="19" t="s">
        <v>325</v>
      </c>
      <c r="N10" s="30">
        <v>203454875.17000002</v>
      </c>
      <c r="O10" s="4">
        <f>3*10^7*10</f>
        <v>300000000</v>
      </c>
      <c r="P10" s="18"/>
      <c r="Q10" s="75">
        <f t="shared" si="7"/>
        <v>300000000</v>
      </c>
      <c r="R10" s="74"/>
    </row>
    <row r="11" spans="2:21">
      <c r="B11" s="18">
        <v>9</v>
      </c>
      <c r="C11" s="77" t="s">
        <v>358</v>
      </c>
      <c r="D11" s="19"/>
      <c r="E11" s="19"/>
      <c r="F11" s="79" t="s">
        <v>360</v>
      </c>
      <c r="G11" s="4"/>
      <c r="H11" s="33"/>
      <c r="I11" s="27"/>
      <c r="J11" s="18"/>
      <c r="K11" s="20"/>
      <c r="L11" s="21"/>
      <c r="M11" s="30"/>
      <c r="N11" s="30">
        <v>22562006.710000001</v>
      </c>
      <c r="O11" s="97" t="s">
        <v>200</v>
      </c>
      <c r="P11" s="98"/>
      <c r="Q11" s="99" t="s">
        <v>200</v>
      </c>
      <c r="R11" s="74"/>
    </row>
    <row r="12" spans="2:21" ht="30">
      <c r="B12" s="18">
        <v>10</v>
      </c>
      <c r="C12" s="77" t="s">
        <v>371</v>
      </c>
      <c r="D12" s="19"/>
      <c r="E12" s="19"/>
      <c r="F12" s="79"/>
      <c r="G12" s="4"/>
      <c r="H12" s="33"/>
      <c r="I12" s="27"/>
      <c r="J12" s="18"/>
      <c r="K12" s="20"/>
      <c r="L12" s="21"/>
      <c r="M12" s="30"/>
      <c r="N12" s="30">
        <v>4507382</v>
      </c>
      <c r="O12" s="97" t="s">
        <v>200</v>
      </c>
      <c r="P12" s="98"/>
      <c r="Q12" s="99" t="s">
        <v>200</v>
      </c>
      <c r="R12" s="74"/>
    </row>
    <row r="13" spans="2:21">
      <c r="B13" s="158" t="s">
        <v>12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60"/>
      <c r="N13" s="100">
        <f>SUM(N3:N12)</f>
        <v>2461201233.4299998</v>
      </c>
      <c r="O13" s="101">
        <f>SUM(O3:O10)</f>
        <v>1873112205.8</v>
      </c>
      <c r="P13" s="93"/>
      <c r="Q13" s="101">
        <f>SUM(Q3:Q10)</f>
        <v>1863562442.5815749</v>
      </c>
      <c r="S13" s="17">
        <v>550</v>
      </c>
      <c r="T13" s="17">
        <v>2</v>
      </c>
      <c r="U13" s="17">
        <f>S13*T13</f>
        <v>1100</v>
      </c>
    </row>
    <row r="14" spans="2:21">
      <c r="F14" s="1">
        <f>4958+2220+31970</f>
        <v>39148</v>
      </c>
      <c r="G14" s="44" t="s">
        <v>197</v>
      </c>
      <c r="Q14" s="1">
        <v>1864663074.422075</v>
      </c>
      <c r="S14" s="17">
        <v>800</v>
      </c>
      <c r="T14" s="17">
        <v>9</v>
      </c>
      <c r="U14" s="17">
        <f t="shared" ref="U14:U18" si="8">S14*T14</f>
        <v>7200</v>
      </c>
    </row>
    <row r="15" spans="2:21">
      <c r="F15" s="1">
        <f>F14*10.7639</f>
        <v>421385.15719999996</v>
      </c>
      <c r="G15" s="44" t="s">
        <v>339</v>
      </c>
      <c r="S15" s="17">
        <v>1000</v>
      </c>
      <c r="T15" s="17">
        <v>9</v>
      </c>
      <c r="U15" s="17">
        <f t="shared" si="8"/>
        <v>9000</v>
      </c>
    </row>
    <row r="16" spans="2:21">
      <c r="S16" s="17">
        <v>550</v>
      </c>
      <c r="T16" s="17">
        <v>6</v>
      </c>
      <c r="U16" s="17">
        <f t="shared" si="8"/>
        <v>3300</v>
      </c>
    </row>
    <row r="17" spans="19:21">
      <c r="S17" s="17">
        <v>1400</v>
      </c>
      <c r="T17" s="17">
        <v>6</v>
      </c>
      <c r="U17" s="17">
        <f t="shared" si="8"/>
        <v>8400</v>
      </c>
    </row>
    <row r="18" spans="19:21">
      <c r="S18" s="17">
        <v>1000</v>
      </c>
      <c r="T18" s="17">
        <v>9</v>
      </c>
      <c r="U18" s="17">
        <f t="shared" si="8"/>
        <v>9000</v>
      </c>
    </row>
    <row r="19" spans="19:21">
      <c r="U19" s="17">
        <f>SUM(U13:U18)</f>
        <v>38000</v>
      </c>
    </row>
  </sheetData>
  <mergeCells count="1">
    <mergeCell ref="B13:M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8111-CC13-4939-901C-5B1A0183F9C2}">
  <dimension ref="B2:K16"/>
  <sheetViews>
    <sheetView topLeftCell="B3" workbookViewId="0">
      <selection activeCell="K5" sqref="K5"/>
    </sheetView>
  </sheetViews>
  <sheetFormatPr defaultRowHeight="15"/>
  <cols>
    <col min="1" max="1" width="9.140625" style="17" customWidth="1"/>
    <col min="2" max="2" width="6.140625" style="17" bestFit="1" customWidth="1"/>
    <col min="3" max="3" width="18.85546875" style="17" bestFit="1" customWidth="1"/>
    <col min="4" max="4" width="19.42578125" style="17" bestFit="1" customWidth="1"/>
    <col min="5" max="5" width="9" style="17" bestFit="1" customWidth="1"/>
    <col min="6" max="6" width="13.7109375" style="17" bestFit="1" customWidth="1"/>
    <col min="7" max="7" width="10.28515625" style="17" bestFit="1" customWidth="1"/>
    <col min="8" max="8" width="11.7109375" style="17" customWidth="1"/>
    <col min="9" max="9" width="11.5703125" style="17" bestFit="1" customWidth="1"/>
    <col min="10" max="10" width="13.140625" style="17" bestFit="1" customWidth="1"/>
    <col min="11" max="11" width="172.42578125" style="17" bestFit="1" customWidth="1"/>
    <col min="12" max="16384" width="9.140625" style="17"/>
  </cols>
  <sheetData>
    <row r="2" spans="2:11" ht="45">
      <c r="B2" s="38" t="s">
        <v>0</v>
      </c>
      <c r="C2" s="38" t="s">
        <v>324</v>
      </c>
      <c r="D2" s="38" t="s">
        <v>286</v>
      </c>
      <c r="E2" s="38" t="s">
        <v>283</v>
      </c>
      <c r="F2" s="38" t="s">
        <v>284</v>
      </c>
      <c r="G2" s="38" t="s">
        <v>289</v>
      </c>
      <c r="H2" s="5" t="s">
        <v>291</v>
      </c>
      <c r="I2" s="5" t="s">
        <v>293</v>
      </c>
      <c r="J2" s="5" t="s">
        <v>382</v>
      </c>
      <c r="K2" s="71" t="s">
        <v>285</v>
      </c>
    </row>
    <row r="3" spans="2:11" ht="41.25" customHeight="1">
      <c r="B3" s="18">
        <v>1</v>
      </c>
      <c r="C3" s="18" t="s">
        <v>287</v>
      </c>
      <c r="D3" s="19" t="s">
        <v>288</v>
      </c>
      <c r="E3" s="19" t="s">
        <v>282</v>
      </c>
      <c r="F3" s="19" t="s">
        <v>292</v>
      </c>
      <c r="G3" s="18" t="s">
        <v>290</v>
      </c>
      <c r="H3" s="4">
        <v>17927</v>
      </c>
      <c r="I3" s="27">
        <f>H3/1600</f>
        <v>11.204375000000001</v>
      </c>
      <c r="J3" s="27" t="s">
        <v>323</v>
      </c>
      <c r="K3" s="72" t="s">
        <v>301</v>
      </c>
    </row>
    <row r="4" spans="2:11" ht="75">
      <c r="B4" s="18">
        <v>2</v>
      </c>
      <c r="C4" s="19" t="s">
        <v>304</v>
      </c>
      <c r="D4" s="19" t="s">
        <v>306</v>
      </c>
      <c r="E4" s="19" t="s">
        <v>307</v>
      </c>
      <c r="F4" s="19" t="s">
        <v>305</v>
      </c>
      <c r="G4" s="18" t="s">
        <v>308</v>
      </c>
      <c r="H4" s="4">
        <v>19406.12</v>
      </c>
      <c r="I4" s="27">
        <f>H4/1980</f>
        <v>9.801070707070707</v>
      </c>
      <c r="J4" s="27" t="s">
        <v>303</v>
      </c>
      <c r="K4" s="72" t="s">
        <v>302</v>
      </c>
    </row>
    <row r="5" spans="2:11" ht="60">
      <c r="B5" s="18">
        <v>3</v>
      </c>
      <c r="C5" s="19" t="s">
        <v>322</v>
      </c>
      <c r="D5" s="19" t="s">
        <v>299</v>
      </c>
      <c r="E5" s="19" t="s">
        <v>294</v>
      </c>
      <c r="F5" s="19" t="s">
        <v>296</v>
      </c>
      <c r="G5" s="18"/>
      <c r="H5" s="4">
        <v>9606.06</v>
      </c>
      <c r="I5" s="27">
        <f>H5/1320</f>
        <v>7.2773181818181811</v>
      </c>
      <c r="J5" s="27" t="s">
        <v>323</v>
      </c>
      <c r="K5" s="41" t="s">
        <v>298</v>
      </c>
    </row>
    <row r="6" spans="2:11" ht="60">
      <c r="B6" s="18">
        <v>4</v>
      </c>
      <c r="C6" s="19" t="s">
        <v>322</v>
      </c>
      <c r="D6" s="19" t="s">
        <v>300</v>
      </c>
      <c r="E6" s="19" t="s">
        <v>295</v>
      </c>
      <c r="F6" s="19" t="s">
        <v>297</v>
      </c>
      <c r="G6" s="18"/>
      <c r="H6" s="4">
        <v>6054.58</v>
      </c>
      <c r="I6" s="27">
        <f>H6/800</f>
        <v>7.568225</v>
      </c>
      <c r="J6" s="27" t="s">
        <v>323</v>
      </c>
      <c r="K6" s="41" t="s">
        <v>298</v>
      </c>
    </row>
    <row r="7" spans="2:11" ht="30">
      <c r="B7" s="18">
        <v>5</v>
      </c>
      <c r="C7" s="19" t="s">
        <v>383</v>
      </c>
      <c r="D7" s="19" t="s">
        <v>377</v>
      </c>
      <c r="E7" s="19" t="s">
        <v>294</v>
      </c>
      <c r="F7" s="19" t="s">
        <v>379</v>
      </c>
      <c r="G7" s="18"/>
      <c r="H7" s="4">
        <v>10439.09</v>
      </c>
      <c r="I7" s="27">
        <f>H7/1320</f>
        <v>7.9084015151515157</v>
      </c>
      <c r="J7" s="27" t="s">
        <v>303</v>
      </c>
      <c r="K7" s="72"/>
    </row>
    <row r="8" spans="2:11" ht="45">
      <c r="B8" s="18">
        <v>6</v>
      </c>
      <c r="C8" s="19" t="s">
        <v>381</v>
      </c>
      <c r="D8" s="19" t="s">
        <v>378</v>
      </c>
      <c r="E8" s="19" t="s">
        <v>294</v>
      </c>
      <c r="F8" s="19" t="s">
        <v>380</v>
      </c>
      <c r="G8" s="18"/>
      <c r="H8" s="4">
        <v>11089.42</v>
      </c>
      <c r="I8" s="27">
        <f>H8/1320</f>
        <v>8.4010757575757573</v>
      </c>
      <c r="J8" s="27" t="s">
        <v>303</v>
      </c>
      <c r="K8" s="72"/>
    </row>
    <row r="9" spans="2:11" ht="45">
      <c r="B9" s="18">
        <v>7</v>
      </c>
      <c r="C9" s="19" t="s">
        <v>321</v>
      </c>
      <c r="D9" s="18"/>
      <c r="E9" s="19" t="s">
        <v>282</v>
      </c>
      <c r="F9" s="19" t="s">
        <v>319</v>
      </c>
      <c r="G9" s="18"/>
      <c r="H9" s="4">
        <v>15947</v>
      </c>
      <c r="I9" s="27">
        <f>H9/1600</f>
        <v>9.9668749999999999</v>
      </c>
      <c r="J9" s="27" t="s">
        <v>323</v>
      </c>
      <c r="K9" s="72" t="s">
        <v>320</v>
      </c>
    </row>
    <row r="10" spans="2:11" ht="45">
      <c r="B10" s="18">
        <v>8</v>
      </c>
      <c r="C10" s="18" t="s">
        <v>317</v>
      </c>
      <c r="D10" s="18"/>
      <c r="E10" s="18" t="s">
        <v>316</v>
      </c>
      <c r="F10" s="19" t="s">
        <v>318</v>
      </c>
      <c r="G10" s="18"/>
      <c r="H10" s="4">
        <v>5600</v>
      </c>
      <c r="I10" s="27">
        <f>H10/660</f>
        <v>8.4848484848484844</v>
      </c>
      <c r="J10" s="27" t="s">
        <v>323</v>
      </c>
      <c r="K10" s="72" t="s">
        <v>320</v>
      </c>
    </row>
    <row r="16" spans="2:11">
      <c r="K16" s="17" t="s">
        <v>338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53"/>
  <sheetViews>
    <sheetView topLeftCell="A117" zoomScale="85" zoomScaleNormal="85" workbookViewId="0">
      <selection activeCell="C129" sqref="C129"/>
    </sheetView>
  </sheetViews>
  <sheetFormatPr defaultRowHeight="15"/>
  <cols>
    <col min="1" max="1" width="4.5703125" style="17" customWidth="1"/>
    <col min="2" max="2" width="6.140625" style="17" bestFit="1" customWidth="1"/>
    <col min="3" max="3" width="35.85546875" style="23" customWidth="1"/>
    <col min="4" max="5" width="12.7109375" style="24" customWidth="1"/>
    <col min="6" max="6" width="12.42578125" style="24" customWidth="1"/>
    <col min="7" max="7" width="10.85546875" style="1" bestFit="1" customWidth="1"/>
    <col min="8" max="8" width="12" style="1" customWidth="1"/>
    <col min="9" max="9" width="6.85546875" style="1" customWidth="1"/>
    <col min="10" max="10" width="12.28515625" style="1" customWidth="1"/>
    <col min="11" max="11" width="10.42578125" style="26" customWidth="1"/>
    <col min="12" max="12" width="11" style="1" customWidth="1"/>
    <col min="13" max="13" width="7.7109375" style="1" customWidth="1"/>
    <col min="14" max="14" width="12.42578125" style="1" customWidth="1"/>
    <col min="15" max="15" width="7.7109375" style="1" bestFit="1" customWidth="1"/>
    <col min="16" max="16" width="14.42578125" style="1" customWidth="1"/>
    <col min="17" max="17" width="16" style="17" bestFit="1" customWidth="1"/>
    <col min="18" max="18" width="14.5703125" style="17" customWidth="1"/>
    <col min="19" max="19" width="9.140625" style="17"/>
    <col min="20" max="20" width="7.85546875" style="17" bestFit="1" customWidth="1"/>
    <col min="21" max="16384" width="9.140625" style="17"/>
  </cols>
  <sheetData>
    <row r="2" spans="2:18">
      <c r="K2" s="34">
        <v>45245</v>
      </c>
      <c r="P2" s="1">
        <f>SUBTOTAL(9,P4:P132)</f>
        <v>4386877289.4570761</v>
      </c>
      <c r="Q2" s="1"/>
      <c r="R2" s="1">
        <f>SUBTOTAL(9,R4:R132)</f>
        <v>4260306102.9434519</v>
      </c>
    </row>
    <row r="3" spans="2:18" ht="63.75" customHeight="1">
      <c r="B3" s="5" t="s">
        <v>0</v>
      </c>
      <c r="C3" s="5" t="s">
        <v>11</v>
      </c>
      <c r="D3" s="5" t="s">
        <v>1</v>
      </c>
      <c r="E3" s="5" t="s">
        <v>177</v>
      </c>
      <c r="F3" s="5" t="s">
        <v>159</v>
      </c>
      <c r="G3" s="29" t="s">
        <v>15</v>
      </c>
      <c r="H3" s="32" t="s">
        <v>13</v>
      </c>
      <c r="I3" s="5" t="s">
        <v>14</v>
      </c>
      <c r="J3" s="5" t="s">
        <v>2</v>
      </c>
      <c r="K3" s="31" t="s">
        <v>6</v>
      </c>
      <c r="L3" s="5" t="s">
        <v>5</v>
      </c>
      <c r="M3" s="2" t="s">
        <v>3</v>
      </c>
      <c r="N3" s="2" t="s">
        <v>4</v>
      </c>
      <c r="O3" s="5" t="s">
        <v>10</v>
      </c>
      <c r="P3" s="5" t="s">
        <v>7</v>
      </c>
      <c r="Q3" s="2" t="s">
        <v>9</v>
      </c>
      <c r="R3" s="5" t="s">
        <v>8</v>
      </c>
    </row>
    <row r="4" spans="2:18">
      <c r="B4" s="18"/>
      <c r="C4" s="35" t="s">
        <v>25</v>
      </c>
      <c r="D4" s="19"/>
      <c r="E4" s="19"/>
      <c r="F4" s="19"/>
      <c r="G4" s="4"/>
      <c r="H4" s="4"/>
      <c r="I4" s="6"/>
      <c r="J4" s="18"/>
      <c r="K4" s="27"/>
      <c r="L4" s="18"/>
      <c r="M4" s="20"/>
      <c r="N4" s="21"/>
      <c r="O4" s="4"/>
      <c r="P4" s="4"/>
      <c r="Q4" s="3"/>
      <c r="R4" s="8"/>
    </row>
    <row r="5" spans="2:18" ht="30">
      <c r="B5" s="18">
        <v>1</v>
      </c>
      <c r="C5" s="25" t="s">
        <v>26</v>
      </c>
      <c r="D5" s="19" t="s">
        <v>149</v>
      </c>
      <c r="E5" s="19" t="s">
        <v>150</v>
      </c>
      <c r="F5" s="19" t="s">
        <v>160</v>
      </c>
      <c r="G5" s="4">
        <v>12285</v>
      </c>
      <c r="H5" s="4">
        <f t="shared" ref="H5:H30" si="0">G5*10.7639</f>
        <v>132234.51149999999</v>
      </c>
      <c r="I5" s="6"/>
      <c r="J5" s="33">
        <v>45022</v>
      </c>
      <c r="K5" s="27">
        <f>YEARFRAC(J5,$K$2)</f>
        <v>0.60833333333333328</v>
      </c>
      <c r="L5" s="18">
        <v>60</v>
      </c>
      <c r="M5" s="20">
        <v>0.1</v>
      </c>
      <c r="N5" s="21">
        <f t="shared" ref="N5:N30" si="1">(1-M5)/L5</f>
        <v>1.5000000000000001E-2</v>
      </c>
      <c r="O5" s="4">
        <v>1000</v>
      </c>
      <c r="P5" s="4">
        <f t="shared" ref="P5:P126" si="2">O5*H5</f>
        <v>132234511.5</v>
      </c>
      <c r="Q5" s="3">
        <f t="shared" ref="Q5:Q30" si="3">P5*N5*IF(K5&gt;L5,L5,K5)</f>
        <v>1206639.9174374999</v>
      </c>
      <c r="R5" s="8">
        <f t="shared" ref="R5:R30" si="4">P5-Q5</f>
        <v>131027871.58256251</v>
      </c>
    </row>
    <row r="6" spans="2:18" ht="60">
      <c r="B6" s="18">
        <v>2</v>
      </c>
      <c r="C6" s="25" t="s">
        <v>27</v>
      </c>
      <c r="D6" s="19" t="s">
        <v>149</v>
      </c>
      <c r="E6" s="19" t="s">
        <v>173</v>
      </c>
      <c r="F6" s="19" t="s">
        <v>161</v>
      </c>
      <c r="G6" s="4">
        <v>8987</v>
      </c>
      <c r="H6" s="4">
        <f t="shared" si="0"/>
        <v>96735.169299999994</v>
      </c>
      <c r="I6" s="14"/>
      <c r="J6" s="33">
        <v>45022</v>
      </c>
      <c r="K6" s="27">
        <f t="shared" ref="K6:K69" si="5">YEARFRAC(J6,$K$2)</f>
        <v>0.60833333333333328</v>
      </c>
      <c r="L6" s="18">
        <v>60</v>
      </c>
      <c r="M6" s="20">
        <v>0.1</v>
      </c>
      <c r="N6" s="21">
        <f t="shared" si="1"/>
        <v>1.5000000000000001E-2</v>
      </c>
      <c r="O6" s="4">
        <v>1000</v>
      </c>
      <c r="P6" s="4">
        <f t="shared" si="2"/>
        <v>96735169.299999997</v>
      </c>
      <c r="Q6" s="3">
        <f t="shared" si="3"/>
        <v>882708.41986249993</v>
      </c>
      <c r="R6" s="8">
        <f t="shared" si="4"/>
        <v>95852460.880137503</v>
      </c>
    </row>
    <row r="7" spans="2:18" ht="30">
      <c r="B7" s="18">
        <v>3</v>
      </c>
      <c r="C7" s="25" t="s">
        <v>28</v>
      </c>
      <c r="D7" s="19" t="s">
        <v>149</v>
      </c>
      <c r="E7" s="19" t="s">
        <v>150</v>
      </c>
      <c r="F7" s="19" t="s">
        <v>162</v>
      </c>
      <c r="G7" s="4">
        <v>10818.24</v>
      </c>
      <c r="H7" s="4">
        <f t="shared" si="0"/>
        <v>116446.45353599999</v>
      </c>
      <c r="I7" s="14"/>
      <c r="J7" s="33">
        <v>45022</v>
      </c>
      <c r="K7" s="27">
        <f t="shared" si="5"/>
        <v>0.60833333333333328</v>
      </c>
      <c r="L7" s="18">
        <v>25</v>
      </c>
      <c r="M7" s="20">
        <v>0.1</v>
      </c>
      <c r="N7" s="21">
        <f t="shared" si="1"/>
        <v>3.6000000000000004E-2</v>
      </c>
      <c r="O7" s="4">
        <v>500</v>
      </c>
      <c r="P7" s="4">
        <f t="shared" si="2"/>
        <v>58223226.767999992</v>
      </c>
      <c r="Q7" s="3">
        <f t="shared" si="3"/>
        <v>1275088.6662191998</v>
      </c>
      <c r="R7" s="8">
        <f t="shared" si="4"/>
        <v>56948138.101780795</v>
      </c>
    </row>
    <row r="8" spans="2:18">
      <c r="B8" s="18">
        <v>4</v>
      </c>
      <c r="C8" s="25" t="s">
        <v>29</v>
      </c>
      <c r="D8" s="19" t="s">
        <v>150</v>
      </c>
      <c r="E8" s="19" t="s">
        <v>150</v>
      </c>
      <c r="F8" s="19" t="s">
        <v>156</v>
      </c>
      <c r="G8" s="4">
        <v>1748</v>
      </c>
      <c r="H8" s="4">
        <f t="shared" si="0"/>
        <v>18815.297200000001</v>
      </c>
      <c r="I8" s="14"/>
      <c r="J8" s="33">
        <v>45022</v>
      </c>
      <c r="K8" s="27">
        <f t="shared" si="5"/>
        <v>0.60833333333333328</v>
      </c>
      <c r="L8" s="18">
        <v>25</v>
      </c>
      <c r="M8" s="20">
        <v>0.1</v>
      </c>
      <c r="N8" s="21">
        <f t="shared" si="1"/>
        <v>3.6000000000000004E-2</v>
      </c>
      <c r="O8" s="4">
        <v>500</v>
      </c>
      <c r="P8" s="4">
        <f t="shared" si="2"/>
        <v>9407648.5999999996</v>
      </c>
      <c r="Q8" s="3">
        <f t="shared" si="3"/>
        <v>206027.50433999998</v>
      </c>
      <c r="R8" s="8">
        <f t="shared" si="4"/>
        <v>9201621.0956599992</v>
      </c>
    </row>
    <row r="9" spans="2:18">
      <c r="B9" s="18">
        <v>5</v>
      </c>
      <c r="C9" s="25" t="s">
        <v>30</v>
      </c>
      <c r="D9" s="19" t="s">
        <v>150</v>
      </c>
      <c r="E9" s="19" t="s">
        <v>150</v>
      </c>
      <c r="F9" s="19" t="s">
        <v>156</v>
      </c>
      <c r="G9" s="4">
        <v>669.66</v>
      </c>
      <c r="H9" s="4">
        <f t="shared" si="0"/>
        <v>7208.1532739999993</v>
      </c>
      <c r="I9" s="14"/>
      <c r="J9" s="33">
        <v>45022</v>
      </c>
      <c r="K9" s="27">
        <f t="shared" si="5"/>
        <v>0.60833333333333328</v>
      </c>
      <c r="L9" s="18">
        <v>30</v>
      </c>
      <c r="M9" s="20">
        <v>0.1</v>
      </c>
      <c r="N9" s="21">
        <f t="shared" si="1"/>
        <v>3.0000000000000002E-2</v>
      </c>
      <c r="O9" s="4">
        <v>500</v>
      </c>
      <c r="P9" s="4">
        <f t="shared" si="2"/>
        <v>3604076.6369999996</v>
      </c>
      <c r="Q9" s="3">
        <f t="shared" si="3"/>
        <v>65774.398625249989</v>
      </c>
      <c r="R9" s="8">
        <f t="shared" si="4"/>
        <v>3538302.2383747497</v>
      </c>
    </row>
    <row r="10" spans="2:18" ht="30">
      <c r="B10" s="18">
        <v>6</v>
      </c>
      <c r="C10" s="25" t="s">
        <v>31</v>
      </c>
      <c r="D10" s="19" t="s">
        <v>149</v>
      </c>
      <c r="E10" s="19" t="s">
        <v>150</v>
      </c>
      <c r="F10" s="19" t="s">
        <v>163</v>
      </c>
      <c r="G10" s="4">
        <v>2352</v>
      </c>
      <c r="H10" s="4">
        <f t="shared" si="0"/>
        <v>25316.692800000001</v>
      </c>
      <c r="I10" s="14"/>
      <c r="J10" s="33">
        <v>45022</v>
      </c>
      <c r="K10" s="27">
        <f t="shared" si="5"/>
        <v>0.60833333333333328</v>
      </c>
      <c r="L10" s="18">
        <v>60</v>
      </c>
      <c r="M10" s="20">
        <v>0.1</v>
      </c>
      <c r="N10" s="21">
        <f t="shared" si="1"/>
        <v>1.5000000000000001E-2</v>
      </c>
      <c r="O10" s="4">
        <v>1000</v>
      </c>
      <c r="P10" s="4">
        <f t="shared" si="2"/>
        <v>25316692.800000001</v>
      </c>
      <c r="Q10" s="3">
        <f t="shared" si="3"/>
        <v>231014.82180000001</v>
      </c>
      <c r="R10" s="8">
        <f t="shared" si="4"/>
        <v>25085677.9782</v>
      </c>
    </row>
    <row r="11" spans="2:18" ht="30">
      <c r="B11" s="18">
        <v>7</v>
      </c>
      <c r="C11" s="25" t="s">
        <v>32</v>
      </c>
      <c r="D11" s="19" t="s">
        <v>149</v>
      </c>
      <c r="E11" s="19" t="s">
        <v>150</v>
      </c>
      <c r="F11" s="19" t="s">
        <v>162</v>
      </c>
      <c r="G11" s="4">
        <v>1681</v>
      </c>
      <c r="H11" s="4">
        <f t="shared" si="0"/>
        <v>18094.115900000001</v>
      </c>
      <c r="I11" s="14"/>
      <c r="J11" s="33">
        <v>45022</v>
      </c>
      <c r="K11" s="27">
        <f t="shared" si="5"/>
        <v>0.60833333333333328</v>
      </c>
      <c r="L11" s="18">
        <v>60</v>
      </c>
      <c r="M11" s="20">
        <v>0.1</v>
      </c>
      <c r="N11" s="21">
        <f t="shared" si="1"/>
        <v>1.5000000000000001E-2</v>
      </c>
      <c r="O11" s="4">
        <v>1000</v>
      </c>
      <c r="P11" s="4">
        <f t="shared" si="2"/>
        <v>18094115.900000002</v>
      </c>
      <c r="Q11" s="3">
        <f t="shared" si="3"/>
        <v>165108.80758750002</v>
      </c>
      <c r="R11" s="8">
        <f t="shared" si="4"/>
        <v>17929007.092412502</v>
      </c>
    </row>
    <row r="12" spans="2:18">
      <c r="B12" s="18">
        <v>8</v>
      </c>
      <c r="C12" s="25" t="s">
        <v>33</v>
      </c>
      <c r="D12" s="19" t="s">
        <v>150</v>
      </c>
      <c r="E12" s="19"/>
      <c r="F12" s="19" t="s">
        <v>164</v>
      </c>
      <c r="G12" s="4">
        <v>226</v>
      </c>
      <c r="H12" s="4">
        <f t="shared" si="0"/>
        <v>2432.6414</v>
      </c>
      <c r="I12" s="14"/>
      <c r="J12" s="33">
        <v>45022</v>
      </c>
      <c r="K12" s="27">
        <f t="shared" si="5"/>
        <v>0.60833333333333328</v>
      </c>
      <c r="L12" s="18">
        <v>25</v>
      </c>
      <c r="M12" s="20">
        <v>0.1</v>
      </c>
      <c r="N12" s="21">
        <f t="shared" si="1"/>
        <v>3.6000000000000004E-2</v>
      </c>
      <c r="O12" s="4">
        <v>500</v>
      </c>
      <c r="P12" s="4">
        <f t="shared" si="2"/>
        <v>1216320.7</v>
      </c>
      <c r="Q12" s="3">
        <f t="shared" si="3"/>
        <v>26637.423329999998</v>
      </c>
      <c r="R12" s="8">
        <f t="shared" si="4"/>
        <v>1189683.2766700001</v>
      </c>
    </row>
    <row r="13" spans="2:18" ht="30">
      <c r="B13" s="18">
        <v>9</v>
      </c>
      <c r="C13" s="25" t="s">
        <v>34</v>
      </c>
      <c r="D13" s="19" t="s">
        <v>149</v>
      </c>
      <c r="E13" s="19" t="s">
        <v>150</v>
      </c>
      <c r="F13" s="19" t="s">
        <v>165</v>
      </c>
      <c r="G13" s="4">
        <v>2422</v>
      </c>
      <c r="H13" s="4">
        <f t="shared" si="0"/>
        <v>26070.165799999999</v>
      </c>
      <c r="I13" s="14"/>
      <c r="J13" s="33">
        <v>45022</v>
      </c>
      <c r="K13" s="27">
        <f t="shared" si="5"/>
        <v>0.60833333333333328</v>
      </c>
      <c r="L13" s="18">
        <v>40</v>
      </c>
      <c r="M13" s="20">
        <v>0.1</v>
      </c>
      <c r="N13" s="21">
        <f t="shared" si="1"/>
        <v>2.2499999999999999E-2</v>
      </c>
      <c r="O13" s="4">
        <v>800</v>
      </c>
      <c r="P13" s="4">
        <f t="shared" si="2"/>
        <v>20856132.640000001</v>
      </c>
      <c r="Q13" s="3">
        <f t="shared" si="3"/>
        <v>285468.31550999999</v>
      </c>
      <c r="R13" s="8">
        <f t="shared" si="4"/>
        <v>20570664.32449</v>
      </c>
    </row>
    <row r="14" spans="2:18" ht="30">
      <c r="B14" s="18">
        <v>10</v>
      </c>
      <c r="C14" s="25" t="s">
        <v>35</v>
      </c>
      <c r="D14" s="19" t="s">
        <v>149</v>
      </c>
      <c r="E14" s="19" t="s">
        <v>150</v>
      </c>
      <c r="F14" s="19" t="s">
        <v>156</v>
      </c>
      <c r="G14" s="4">
        <v>115.20000000000002</v>
      </c>
      <c r="H14" s="4">
        <f t="shared" si="0"/>
        <v>1240.0012800000002</v>
      </c>
      <c r="I14" s="14"/>
      <c r="J14" s="33">
        <v>45022</v>
      </c>
      <c r="K14" s="27">
        <f t="shared" si="5"/>
        <v>0.60833333333333328</v>
      </c>
      <c r="L14" s="18">
        <v>60</v>
      </c>
      <c r="M14" s="20">
        <v>0.1</v>
      </c>
      <c r="N14" s="21">
        <f t="shared" si="1"/>
        <v>1.5000000000000001E-2</v>
      </c>
      <c r="O14" s="4">
        <v>1000</v>
      </c>
      <c r="P14" s="4">
        <f t="shared" si="2"/>
        <v>1240001.2800000003</v>
      </c>
      <c r="Q14" s="3">
        <f t="shared" si="3"/>
        <v>11315.011680000003</v>
      </c>
      <c r="R14" s="8">
        <f t="shared" si="4"/>
        <v>1228686.2683200003</v>
      </c>
    </row>
    <row r="15" spans="2:18" ht="30">
      <c r="B15" s="18">
        <v>11</v>
      </c>
      <c r="C15" s="22" t="s">
        <v>36</v>
      </c>
      <c r="D15" s="19" t="s">
        <v>149</v>
      </c>
      <c r="E15" s="19" t="s">
        <v>150</v>
      </c>
      <c r="F15" s="19" t="s">
        <v>156</v>
      </c>
      <c r="G15" s="4">
        <v>1250.5</v>
      </c>
      <c r="H15" s="4">
        <f t="shared" si="0"/>
        <v>13460.256949999999</v>
      </c>
      <c r="I15" s="14"/>
      <c r="J15" s="33">
        <v>45022</v>
      </c>
      <c r="K15" s="27">
        <f t="shared" si="5"/>
        <v>0.60833333333333328</v>
      </c>
      <c r="L15" s="18">
        <v>60</v>
      </c>
      <c r="M15" s="20">
        <v>0.1</v>
      </c>
      <c r="N15" s="21">
        <f t="shared" si="1"/>
        <v>1.5000000000000001E-2</v>
      </c>
      <c r="O15" s="4">
        <v>1000</v>
      </c>
      <c r="P15" s="4">
        <f t="shared" si="2"/>
        <v>13460256.949999999</v>
      </c>
      <c r="Q15" s="3">
        <f t="shared" si="3"/>
        <v>122824.84466875</v>
      </c>
      <c r="R15" s="8">
        <f t="shared" si="4"/>
        <v>13337432.10533125</v>
      </c>
    </row>
    <row r="16" spans="2:18" ht="30">
      <c r="B16" s="18">
        <v>12</v>
      </c>
      <c r="C16" s="25" t="s">
        <v>37</v>
      </c>
      <c r="D16" s="19" t="s">
        <v>149</v>
      </c>
      <c r="E16" s="19" t="s">
        <v>150</v>
      </c>
      <c r="F16" s="19" t="s">
        <v>156</v>
      </c>
      <c r="G16" s="4">
        <v>845</v>
      </c>
      <c r="H16" s="4">
        <f t="shared" si="0"/>
        <v>9095.4954999999991</v>
      </c>
      <c r="I16" s="14"/>
      <c r="J16" s="33">
        <v>45022</v>
      </c>
      <c r="K16" s="27">
        <f t="shared" si="5"/>
        <v>0.60833333333333328</v>
      </c>
      <c r="L16" s="18">
        <v>60</v>
      </c>
      <c r="M16" s="20">
        <v>0.1</v>
      </c>
      <c r="N16" s="21">
        <f t="shared" si="1"/>
        <v>1.5000000000000001E-2</v>
      </c>
      <c r="O16" s="4">
        <v>1000</v>
      </c>
      <c r="P16" s="4">
        <f t="shared" si="2"/>
        <v>9095495.5</v>
      </c>
      <c r="Q16" s="3">
        <f t="shared" si="3"/>
        <v>82996.396437500007</v>
      </c>
      <c r="R16" s="8">
        <f t="shared" si="4"/>
        <v>9012499.1035625003</v>
      </c>
    </row>
    <row r="17" spans="2:18" ht="30">
      <c r="B17" s="18">
        <v>13</v>
      </c>
      <c r="C17" s="25" t="s">
        <v>38</v>
      </c>
      <c r="D17" s="19" t="s">
        <v>150</v>
      </c>
      <c r="E17" s="19" t="s">
        <v>150</v>
      </c>
      <c r="F17" s="19" t="s">
        <v>156</v>
      </c>
      <c r="G17" s="4">
        <v>24</v>
      </c>
      <c r="H17" s="4">
        <f t="shared" si="0"/>
        <v>258.33359999999999</v>
      </c>
      <c r="I17" s="14"/>
      <c r="J17" s="33">
        <v>45022</v>
      </c>
      <c r="K17" s="27">
        <f t="shared" si="5"/>
        <v>0.60833333333333328</v>
      </c>
      <c r="L17" s="18">
        <v>60</v>
      </c>
      <c r="M17" s="20">
        <v>0.1</v>
      </c>
      <c r="N17" s="21">
        <f t="shared" si="1"/>
        <v>1.5000000000000001E-2</v>
      </c>
      <c r="O17" s="4">
        <v>1000</v>
      </c>
      <c r="P17" s="4">
        <f t="shared" si="2"/>
        <v>258333.59999999998</v>
      </c>
      <c r="Q17" s="3">
        <f t="shared" si="3"/>
        <v>2357.2940999999996</v>
      </c>
      <c r="R17" s="8">
        <f t="shared" si="4"/>
        <v>255976.30589999998</v>
      </c>
    </row>
    <row r="18" spans="2:18" ht="30">
      <c r="B18" s="18">
        <v>14</v>
      </c>
      <c r="C18" s="25" t="s">
        <v>179</v>
      </c>
      <c r="D18" s="19"/>
      <c r="E18" s="19"/>
      <c r="F18" s="19"/>
      <c r="G18" s="4"/>
      <c r="H18" s="4"/>
      <c r="I18" s="14"/>
      <c r="J18" s="33"/>
      <c r="K18" s="27"/>
      <c r="L18" s="18"/>
      <c r="M18" s="20"/>
      <c r="N18" s="21"/>
      <c r="O18" s="4"/>
      <c r="P18" s="4"/>
      <c r="Q18" s="3"/>
      <c r="R18" s="8"/>
    </row>
    <row r="19" spans="2:18" ht="30">
      <c r="B19" s="18">
        <v>15</v>
      </c>
      <c r="C19" s="25" t="s">
        <v>39</v>
      </c>
      <c r="D19" s="19" t="s">
        <v>149</v>
      </c>
      <c r="E19" s="19" t="s">
        <v>150</v>
      </c>
      <c r="F19" s="19" t="s">
        <v>156</v>
      </c>
      <c r="G19" s="4">
        <v>5304</v>
      </c>
      <c r="H19" s="4">
        <f t="shared" si="0"/>
        <v>57091.725599999998</v>
      </c>
      <c r="I19" s="14"/>
      <c r="J19" s="33">
        <v>45022</v>
      </c>
      <c r="K19" s="27">
        <f t="shared" si="5"/>
        <v>0.60833333333333328</v>
      </c>
      <c r="L19" s="18">
        <v>60</v>
      </c>
      <c r="M19" s="20">
        <v>0.1</v>
      </c>
      <c r="N19" s="21">
        <f t="shared" si="1"/>
        <v>1.5000000000000001E-2</v>
      </c>
      <c r="O19" s="4">
        <v>1000</v>
      </c>
      <c r="P19" s="4">
        <f t="shared" si="2"/>
        <v>57091725.600000001</v>
      </c>
      <c r="Q19" s="3">
        <f t="shared" si="3"/>
        <v>520961.99609999999</v>
      </c>
      <c r="R19" s="8">
        <f t="shared" si="4"/>
        <v>56570763.6039</v>
      </c>
    </row>
    <row r="20" spans="2:18" ht="30">
      <c r="B20" s="18">
        <v>16</v>
      </c>
      <c r="C20" s="25" t="s">
        <v>178</v>
      </c>
      <c r="D20" s="19"/>
      <c r="E20" s="19"/>
      <c r="F20" s="19"/>
      <c r="G20" s="4"/>
      <c r="H20" s="4"/>
      <c r="I20" s="6"/>
      <c r="J20" s="33"/>
      <c r="K20" s="27"/>
      <c r="L20" s="18"/>
      <c r="M20" s="20"/>
      <c r="N20" s="21"/>
      <c r="O20" s="4"/>
      <c r="P20" s="4"/>
      <c r="Q20" s="3"/>
      <c r="R20" s="8"/>
    </row>
    <row r="21" spans="2:18">
      <c r="B21" s="18">
        <v>17</v>
      </c>
      <c r="C21" s="25" t="s">
        <v>40</v>
      </c>
      <c r="D21" s="19" t="s">
        <v>150</v>
      </c>
      <c r="E21" s="19" t="s">
        <v>150</v>
      </c>
      <c r="F21" s="19" t="s">
        <v>166</v>
      </c>
      <c r="G21" s="4">
        <v>396</v>
      </c>
      <c r="H21" s="4">
        <f t="shared" si="0"/>
        <v>4262.5043999999998</v>
      </c>
      <c r="I21" s="6"/>
      <c r="J21" s="33">
        <v>45022</v>
      </c>
      <c r="K21" s="27">
        <f t="shared" si="5"/>
        <v>0.60833333333333328</v>
      </c>
      <c r="L21" s="18">
        <v>30</v>
      </c>
      <c r="M21" s="20">
        <v>0.1</v>
      </c>
      <c r="N21" s="21">
        <f t="shared" si="1"/>
        <v>3.0000000000000002E-2</v>
      </c>
      <c r="O21" s="4">
        <v>500</v>
      </c>
      <c r="P21" s="4">
        <f t="shared" si="2"/>
        <v>2131252.1999999997</v>
      </c>
      <c r="Q21" s="3">
        <f t="shared" si="3"/>
        <v>38895.352649999993</v>
      </c>
      <c r="R21" s="8">
        <f t="shared" si="4"/>
        <v>2092356.8473499997</v>
      </c>
    </row>
    <row r="22" spans="2:18">
      <c r="B22" s="18">
        <v>18</v>
      </c>
      <c r="C22" s="25" t="s">
        <v>41</v>
      </c>
      <c r="D22" s="19"/>
      <c r="E22" s="19" t="s">
        <v>150</v>
      </c>
      <c r="F22" s="19" t="s">
        <v>156</v>
      </c>
      <c r="G22" s="4">
        <v>285</v>
      </c>
      <c r="H22" s="4">
        <f t="shared" si="0"/>
        <v>3067.7114999999999</v>
      </c>
      <c r="I22" s="6"/>
      <c r="J22" s="33">
        <v>45022</v>
      </c>
      <c r="K22" s="27">
        <f t="shared" si="5"/>
        <v>0.60833333333333328</v>
      </c>
      <c r="L22" s="18">
        <v>60</v>
      </c>
      <c r="M22" s="20">
        <v>0.1</v>
      </c>
      <c r="N22" s="21">
        <f t="shared" si="1"/>
        <v>1.5000000000000001E-2</v>
      </c>
      <c r="O22" s="4">
        <v>1000</v>
      </c>
      <c r="P22" s="4">
        <f t="shared" si="2"/>
        <v>3067711.5</v>
      </c>
      <c r="Q22" s="3">
        <f t="shared" si="3"/>
        <v>27992.867437499997</v>
      </c>
      <c r="R22" s="8">
        <f t="shared" si="4"/>
        <v>3039718.6325625</v>
      </c>
    </row>
    <row r="23" spans="2:18" ht="30">
      <c r="B23" s="18">
        <v>19</v>
      </c>
      <c r="C23" s="25" t="s">
        <v>42</v>
      </c>
      <c r="D23" s="19" t="s">
        <v>149</v>
      </c>
      <c r="E23" s="19" t="s">
        <v>150</v>
      </c>
      <c r="F23" s="19" t="s">
        <v>162</v>
      </c>
      <c r="G23" s="4">
        <v>779</v>
      </c>
      <c r="H23" s="4">
        <f t="shared" si="0"/>
        <v>8385.0780999999988</v>
      </c>
      <c r="I23" s="6"/>
      <c r="J23" s="33">
        <v>45022</v>
      </c>
      <c r="K23" s="27">
        <f t="shared" si="5"/>
        <v>0.60833333333333328</v>
      </c>
      <c r="L23" s="18">
        <v>60</v>
      </c>
      <c r="M23" s="20">
        <v>0.1</v>
      </c>
      <c r="N23" s="21">
        <f t="shared" si="1"/>
        <v>1.5000000000000001E-2</v>
      </c>
      <c r="O23" s="4">
        <v>1000</v>
      </c>
      <c r="P23" s="4">
        <f t="shared" si="2"/>
        <v>8385078.0999999987</v>
      </c>
      <c r="Q23" s="3">
        <f t="shared" si="3"/>
        <v>76513.837662499995</v>
      </c>
      <c r="R23" s="8">
        <f t="shared" si="4"/>
        <v>8308564.2623374984</v>
      </c>
    </row>
    <row r="24" spans="2:18">
      <c r="B24" s="18"/>
      <c r="C24" s="36" t="s">
        <v>43</v>
      </c>
      <c r="D24" s="19"/>
      <c r="E24" s="19"/>
      <c r="F24" s="19"/>
      <c r="G24" s="4"/>
      <c r="H24" s="4"/>
      <c r="I24" s="6"/>
      <c r="J24" s="33">
        <v>45022</v>
      </c>
      <c r="K24" s="27">
        <f t="shared" si="5"/>
        <v>0.60833333333333328</v>
      </c>
      <c r="L24" s="18"/>
      <c r="M24" s="20"/>
      <c r="N24" s="21"/>
      <c r="O24" s="4">
        <v>1000</v>
      </c>
      <c r="P24" s="4"/>
      <c r="Q24" s="3"/>
      <c r="R24" s="8"/>
    </row>
    <row r="25" spans="2:18">
      <c r="B25" s="18">
        <v>20</v>
      </c>
      <c r="C25" s="25" t="s">
        <v>44</v>
      </c>
      <c r="D25" s="19"/>
      <c r="E25" s="19" t="s">
        <v>150</v>
      </c>
      <c r="F25" s="19" t="s">
        <v>156</v>
      </c>
      <c r="G25" s="4">
        <v>18313.75</v>
      </c>
      <c r="H25" s="4">
        <f t="shared" si="0"/>
        <v>197127.37362499998</v>
      </c>
      <c r="I25" s="6"/>
      <c r="J25" s="33">
        <v>45022</v>
      </c>
      <c r="K25" s="27">
        <f t="shared" si="5"/>
        <v>0.60833333333333328</v>
      </c>
      <c r="L25" s="18">
        <v>60</v>
      </c>
      <c r="M25" s="20">
        <v>0.1</v>
      </c>
      <c r="N25" s="21">
        <f t="shared" si="1"/>
        <v>1.5000000000000001E-2</v>
      </c>
      <c r="O25" s="4">
        <v>1000</v>
      </c>
      <c r="P25" s="4">
        <f t="shared" si="2"/>
        <v>197127373.62499997</v>
      </c>
      <c r="Q25" s="3">
        <f t="shared" si="3"/>
        <v>1798787.2843281247</v>
      </c>
      <c r="R25" s="8">
        <f t="shared" si="4"/>
        <v>195328586.34067184</v>
      </c>
    </row>
    <row r="26" spans="2:18" ht="30">
      <c r="B26" s="18">
        <v>21</v>
      </c>
      <c r="C26" s="25" t="s">
        <v>45</v>
      </c>
      <c r="D26" s="19" t="s">
        <v>149</v>
      </c>
      <c r="E26" s="19"/>
      <c r="F26" s="19" t="s">
        <v>164</v>
      </c>
      <c r="G26" s="4">
        <v>19220</v>
      </c>
      <c r="H26" s="4">
        <f t="shared" si="0"/>
        <v>206882.158</v>
      </c>
      <c r="I26" s="6"/>
      <c r="J26" s="33">
        <v>45022</v>
      </c>
      <c r="K26" s="27">
        <f t="shared" si="5"/>
        <v>0.60833333333333328</v>
      </c>
      <c r="L26" s="18">
        <v>40</v>
      </c>
      <c r="M26" s="20">
        <v>0.1</v>
      </c>
      <c r="N26" s="21">
        <f t="shared" si="1"/>
        <v>2.2499999999999999E-2</v>
      </c>
      <c r="O26" s="4">
        <v>800</v>
      </c>
      <c r="P26" s="4">
        <f t="shared" si="2"/>
        <v>165505726.40000001</v>
      </c>
      <c r="Q26" s="3">
        <f t="shared" si="3"/>
        <v>2265359.6300999997</v>
      </c>
      <c r="R26" s="8">
        <f t="shared" si="4"/>
        <v>163240366.76989999</v>
      </c>
    </row>
    <row r="27" spans="2:18" ht="30">
      <c r="B27" s="18">
        <v>22</v>
      </c>
      <c r="C27" s="25" t="s">
        <v>46</v>
      </c>
      <c r="D27" s="19" t="s">
        <v>149</v>
      </c>
      <c r="E27" s="19" t="s">
        <v>150</v>
      </c>
      <c r="F27" s="19" t="s">
        <v>163</v>
      </c>
      <c r="G27" s="4">
        <v>632</v>
      </c>
      <c r="H27" s="4">
        <f t="shared" si="0"/>
        <v>6802.7847999999994</v>
      </c>
      <c r="I27" s="6"/>
      <c r="J27" s="33">
        <v>45022</v>
      </c>
      <c r="K27" s="27">
        <f t="shared" si="5"/>
        <v>0.60833333333333328</v>
      </c>
      <c r="L27" s="18">
        <v>60</v>
      </c>
      <c r="M27" s="20">
        <v>0.1</v>
      </c>
      <c r="N27" s="21">
        <f t="shared" si="1"/>
        <v>1.5000000000000001E-2</v>
      </c>
      <c r="O27" s="4">
        <v>1000</v>
      </c>
      <c r="P27" s="4">
        <f t="shared" si="2"/>
        <v>6802784.7999999998</v>
      </c>
      <c r="Q27" s="3">
        <f t="shared" si="3"/>
        <v>62075.4113</v>
      </c>
      <c r="R27" s="8">
        <f t="shared" si="4"/>
        <v>6740709.3887</v>
      </c>
    </row>
    <row r="28" spans="2:18" ht="30">
      <c r="B28" s="18">
        <v>23</v>
      </c>
      <c r="C28" s="25" t="s">
        <v>47</v>
      </c>
      <c r="D28" s="19" t="s">
        <v>149</v>
      </c>
      <c r="E28" s="19" t="s">
        <v>150</v>
      </c>
      <c r="F28" s="19" t="s">
        <v>162</v>
      </c>
      <c r="G28" s="4">
        <v>656</v>
      </c>
      <c r="H28" s="4">
        <f t="shared" si="0"/>
        <v>7061.1183999999994</v>
      </c>
      <c r="I28" s="6"/>
      <c r="J28" s="33">
        <v>45022</v>
      </c>
      <c r="K28" s="27">
        <f t="shared" si="5"/>
        <v>0.60833333333333328</v>
      </c>
      <c r="L28" s="18">
        <v>60</v>
      </c>
      <c r="M28" s="20">
        <v>0.1</v>
      </c>
      <c r="N28" s="21">
        <f t="shared" si="1"/>
        <v>1.5000000000000001E-2</v>
      </c>
      <c r="O28" s="4">
        <v>1000</v>
      </c>
      <c r="P28" s="4">
        <f t="shared" si="2"/>
        <v>7061118.3999999994</v>
      </c>
      <c r="Q28" s="3">
        <f t="shared" si="3"/>
        <v>64432.705399999992</v>
      </c>
      <c r="R28" s="8">
        <f t="shared" si="4"/>
        <v>6996685.6945999991</v>
      </c>
    </row>
    <row r="29" spans="2:18">
      <c r="B29" s="18">
        <v>24</v>
      </c>
      <c r="C29" s="25" t="s">
        <v>48</v>
      </c>
      <c r="D29" s="19" t="s">
        <v>150</v>
      </c>
      <c r="E29" s="19" t="s">
        <v>150</v>
      </c>
      <c r="F29" s="19" t="s">
        <v>164</v>
      </c>
      <c r="G29" s="4">
        <v>6630</v>
      </c>
      <c r="H29" s="4">
        <f t="shared" si="0"/>
        <v>71364.656999999992</v>
      </c>
      <c r="I29" s="14"/>
      <c r="J29" s="33">
        <v>45022</v>
      </c>
      <c r="K29" s="27">
        <f t="shared" si="5"/>
        <v>0.60833333333333328</v>
      </c>
      <c r="L29" s="18">
        <v>60</v>
      </c>
      <c r="M29" s="20">
        <v>0.1</v>
      </c>
      <c r="N29" s="21">
        <f t="shared" si="1"/>
        <v>1.5000000000000001E-2</v>
      </c>
      <c r="O29" s="4">
        <v>1000</v>
      </c>
      <c r="P29" s="4">
        <f t="shared" si="2"/>
        <v>71364656.999999985</v>
      </c>
      <c r="Q29" s="3">
        <f t="shared" si="3"/>
        <v>651202.49512499978</v>
      </c>
      <c r="R29" s="8">
        <f t="shared" si="4"/>
        <v>70713454.504874989</v>
      </c>
    </row>
    <row r="30" spans="2:18" ht="30">
      <c r="B30" s="18">
        <v>25</v>
      </c>
      <c r="C30" s="25" t="s">
        <v>49</v>
      </c>
      <c r="D30" s="19" t="s">
        <v>149</v>
      </c>
      <c r="E30" s="19" t="s">
        <v>150</v>
      </c>
      <c r="F30" s="19" t="s">
        <v>162</v>
      </c>
      <c r="G30" s="4">
        <v>194.75</v>
      </c>
      <c r="H30" s="4">
        <f t="shared" si="0"/>
        <v>2096.2695249999997</v>
      </c>
      <c r="I30" s="14"/>
      <c r="J30" s="33">
        <v>45022</v>
      </c>
      <c r="K30" s="27">
        <f t="shared" si="5"/>
        <v>0.60833333333333328</v>
      </c>
      <c r="L30" s="18">
        <v>60</v>
      </c>
      <c r="M30" s="20">
        <v>0.1</v>
      </c>
      <c r="N30" s="21">
        <f t="shared" si="1"/>
        <v>1.5000000000000001E-2</v>
      </c>
      <c r="O30" s="4">
        <v>1000</v>
      </c>
      <c r="P30" s="4">
        <f t="shared" si="2"/>
        <v>2096269.5249999997</v>
      </c>
      <c r="Q30" s="3">
        <f t="shared" si="3"/>
        <v>19128.459415624999</v>
      </c>
      <c r="R30" s="8">
        <f t="shared" si="4"/>
        <v>2077141.0655843746</v>
      </c>
    </row>
    <row r="31" spans="2:18">
      <c r="B31" s="18"/>
      <c r="C31" s="36" t="s">
        <v>50</v>
      </c>
      <c r="D31" s="19"/>
      <c r="E31" s="19"/>
      <c r="F31" s="19"/>
      <c r="G31" s="4"/>
      <c r="H31" s="4"/>
      <c r="I31" s="6"/>
      <c r="J31" s="33">
        <v>45022</v>
      </c>
      <c r="K31" s="27">
        <f t="shared" si="5"/>
        <v>0.60833333333333328</v>
      </c>
      <c r="L31" s="18"/>
      <c r="M31" s="20"/>
      <c r="N31" s="21"/>
      <c r="O31" s="4">
        <v>1000</v>
      </c>
      <c r="P31" s="4"/>
      <c r="Q31" s="3"/>
      <c r="R31" s="8"/>
    </row>
    <row r="32" spans="2:18">
      <c r="B32" s="18">
        <v>26</v>
      </c>
      <c r="C32" s="25" t="s">
        <v>51</v>
      </c>
      <c r="D32" s="19" t="s">
        <v>150</v>
      </c>
      <c r="E32" s="19" t="s">
        <v>150</v>
      </c>
      <c r="F32" s="19" t="s">
        <v>156</v>
      </c>
      <c r="G32" s="4">
        <v>17275.2</v>
      </c>
      <c r="H32" s="4">
        <f t="shared" ref="H32:H102" si="6">G32*10.7639</f>
        <v>185948.52528</v>
      </c>
      <c r="I32" s="14"/>
      <c r="J32" s="33">
        <v>45022</v>
      </c>
      <c r="K32" s="27">
        <f t="shared" si="5"/>
        <v>0.60833333333333328</v>
      </c>
      <c r="L32" s="18">
        <v>60</v>
      </c>
      <c r="M32" s="20">
        <v>0.1</v>
      </c>
      <c r="N32" s="21">
        <f t="shared" ref="N32:N102" si="7">(1-M32)/L32</f>
        <v>1.5000000000000001E-2</v>
      </c>
      <c r="O32" s="4">
        <v>1000</v>
      </c>
      <c r="P32" s="4">
        <f t="shared" ref="P32:P102" si="8">O32*H32</f>
        <v>185948525.28</v>
      </c>
      <c r="Q32" s="3">
        <f t="shared" ref="Q32:Q102" si="9">P32*N32*IF(K32&gt;L32,L32,K32)</f>
        <v>1696780.29318</v>
      </c>
      <c r="R32" s="8">
        <f t="shared" ref="R32:R102" si="10">P32-Q32</f>
        <v>184251744.98682001</v>
      </c>
    </row>
    <row r="33" spans="2:18" ht="30">
      <c r="B33" s="18">
        <v>27</v>
      </c>
      <c r="C33" s="25" t="s">
        <v>52</v>
      </c>
      <c r="D33" s="19" t="s">
        <v>150</v>
      </c>
      <c r="E33" s="19"/>
      <c r="F33" s="19" t="s">
        <v>164</v>
      </c>
      <c r="G33" s="4">
        <v>2656.29</v>
      </c>
      <c r="H33" s="4">
        <f t="shared" si="6"/>
        <v>28592.039930999999</v>
      </c>
      <c r="I33" s="14"/>
      <c r="J33" s="33">
        <v>45022</v>
      </c>
      <c r="K33" s="27">
        <f t="shared" si="5"/>
        <v>0.60833333333333328</v>
      </c>
      <c r="L33" s="18">
        <v>30</v>
      </c>
      <c r="M33" s="20">
        <v>0.1</v>
      </c>
      <c r="N33" s="21">
        <f t="shared" si="7"/>
        <v>3.0000000000000002E-2</v>
      </c>
      <c r="O33" s="4">
        <v>500</v>
      </c>
      <c r="P33" s="4">
        <f t="shared" si="8"/>
        <v>14296019.965499999</v>
      </c>
      <c r="Q33" s="3">
        <f t="shared" si="9"/>
        <v>260902.364370375</v>
      </c>
      <c r="R33" s="8">
        <f t="shared" si="10"/>
        <v>14035117.601129623</v>
      </c>
    </row>
    <row r="34" spans="2:18" ht="30">
      <c r="B34" s="18">
        <v>28</v>
      </c>
      <c r="C34" s="25" t="s">
        <v>53</v>
      </c>
      <c r="D34" s="19" t="s">
        <v>150</v>
      </c>
      <c r="E34" s="19" t="s">
        <v>150</v>
      </c>
      <c r="F34" s="19" t="s">
        <v>156</v>
      </c>
      <c r="G34" s="4">
        <v>2318.8000000000002</v>
      </c>
      <c r="H34" s="4">
        <f t="shared" si="6"/>
        <v>24959.331320000001</v>
      </c>
      <c r="I34" s="14"/>
      <c r="J34" s="33">
        <v>45022</v>
      </c>
      <c r="K34" s="27">
        <f t="shared" si="5"/>
        <v>0.60833333333333328</v>
      </c>
      <c r="L34" s="18">
        <v>60</v>
      </c>
      <c r="M34" s="20">
        <v>0.1</v>
      </c>
      <c r="N34" s="21">
        <f t="shared" si="7"/>
        <v>1.5000000000000001E-2</v>
      </c>
      <c r="O34" s="4">
        <v>1000</v>
      </c>
      <c r="P34" s="4">
        <f t="shared" si="8"/>
        <v>24959331.32</v>
      </c>
      <c r="Q34" s="3">
        <f t="shared" si="9"/>
        <v>227753.89829499999</v>
      </c>
      <c r="R34" s="8">
        <f t="shared" si="10"/>
        <v>24731577.421705</v>
      </c>
    </row>
    <row r="35" spans="2:18" ht="30">
      <c r="B35" s="18">
        <v>29</v>
      </c>
      <c r="C35" s="25" t="s">
        <v>54</v>
      </c>
      <c r="D35" s="19" t="s">
        <v>149</v>
      </c>
      <c r="E35" s="19" t="s">
        <v>150</v>
      </c>
      <c r="F35" s="19" t="s">
        <v>156</v>
      </c>
      <c r="G35" s="4">
        <v>1211.25</v>
      </c>
      <c r="H35" s="4">
        <f t="shared" si="6"/>
        <v>13037.773874999999</v>
      </c>
      <c r="I35" s="14"/>
      <c r="J35" s="33">
        <v>45022</v>
      </c>
      <c r="K35" s="27">
        <f t="shared" si="5"/>
        <v>0.60833333333333328</v>
      </c>
      <c r="L35" s="18">
        <v>60</v>
      </c>
      <c r="M35" s="20">
        <v>0.1</v>
      </c>
      <c r="N35" s="21">
        <f t="shared" si="7"/>
        <v>1.5000000000000001E-2</v>
      </c>
      <c r="O35" s="4">
        <v>1000</v>
      </c>
      <c r="P35" s="4">
        <f t="shared" si="8"/>
        <v>13037773.874999998</v>
      </c>
      <c r="Q35" s="3">
        <f t="shared" si="9"/>
        <v>118969.68660937498</v>
      </c>
      <c r="R35" s="8">
        <f t="shared" si="10"/>
        <v>12918804.188390624</v>
      </c>
    </row>
    <row r="36" spans="2:18" ht="30">
      <c r="B36" s="18">
        <v>30</v>
      </c>
      <c r="C36" s="25" t="s">
        <v>55</v>
      </c>
      <c r="D36" s="19" t="s">
        <v>150</v>
      </c>
      <c r="E36" s="19" t="s">
        <v>150</v>
      </c>
      <c r="F36" s="19" t="s">
        <v>156</v>
      </c>
      <c r="G36" s="4">
        <v>3360</v>
      </c>
      <c r="H36" s="4">
        <f t="shared" si="6"/>
        <v>36166.703999999998</v>
      </c>
      <c r="I36" s="14"/>
      <c r="J36" s="33">
        <v>45022</v>
      </c>
      <c r="K36" s="27">
        <f t="shared" si="5"/>
        <v>0.60833333333333328</v>
      </c>
      <c r="L36" s="18">
        <v>60</v>
      </c>
      <c r="M36" s="20">
        <v>0.1</v>
      </c>
      <c r="N36" s="21">
        <f t="shared" si="7"/>
        <v>1.5000000000000001E-2</v>
      </c>
      <c r="O36" s="4">
        <v>1000</v>
      </c>
      <c r="P36" s="4">
        <f t="shared" si="8"/>
        <v>36166704</v>
      </c>
      <c r="Q36" s="3">
        <f t="shared" si="9"/>
        <v>330021.174</v>
      </c>
      <c r="R36" s="8">
        <f t="shared" si="10"/>
        <v>35836682.825999998</v>
      </c>
    </row>
    <row r="37" spans="2:18">
      <c r="B37" s="18">
        <v>31</v>
      </c>
      <c r="C37" s="25" t="s">
        <v>56</v>
      </c>
      <c r="D37" s="19"/>
      <c r="E37" s="19" t="s">
        <v>150</v>
      </c>
      <c r="F37" s="19" t="s">
        <v>156</v>
      </c>
      <c r="G37" s="4">
        <v>179.3</v>
      </c>
      <c r="H37" s="4">
        <f t="shared" si="6"/>
        <v>1929.9672700000001</v>
      </c>
      <c r="I37" s="14"/>
      <c r="J37" s="33">
        <v>45022</v>
      </c>
      <c r="K37" s="27">
        <f t="shared" si="5"/>
        <v>0.60833333333333328</v>
      </c>
      <c r="L37" s="18">
        <v>60</v>
      </c>
      <c r="M37" s="20">
        <v>0.1</v>
      </c>
      <c r="N37" s="21">
        <f t="shared" si="7"/>
        <v>1.5000000000000001E-2</v>
      </c>
      <c r="O37" s="4">
        <v>1000</v>
      </c>
      <c r="P37" s="4">
        <f t="shared" si="8"/>
        <v>1929967.27</v>
      </c>
      <c r="Q37" s="3">
        <f t="shared" si="9"/>
        <v>17610.951338750001</v>
      </c>
      <c r="R37" s="8">
        <f t="shared" si="10"/>
        <v>1912356.3186612499</v>
      </c>
    </row>
    <row r="38" spans="2:18">
      <c r="B38" s="18">
        <v>32</v>
      </c>
      <c r="C38" s="25" t="s">
        <v>57</v>
      </c>
      <c r="D38" s="19"/>
      <c r="E38" s="19" t="s">
        <v>150</v>
      </c>
      <c r="F38" s="19" t="s">
        <v>166</v>
      </c>
      <c r="G38" s="4">
        <v>56</v>
      </c>
      <c r="H38" s="4">
        <f t="shared" si="6"/>
        <v>602.77839999999992</v>
      </c>
      <c r="I38" s="14"/>
      <c r="J38" s="33">
        <v>45022</v>
      </c>
      <c r="K38" s="27">
        <f t="shared" si="5"/>
        <v>0.60833333333333328</v>
      </c>
      <c r="L38" s="18">
        <v>40</v>
      </c>
      <c r="M38" s="20">
        <v>0.1</v>
      </c>
      <c r="N38" s="21">
        <f t="shared" si="7"/>
        <v>2.2499999999999999E-2</v>
      </c>
      <c r="O38" s="4">
        <v>800</v>
      </c>
      <c r="P38" s="4">
        <f t="shared" si="8"/>
        <v>482222.71999999991</v>
      </c>
      <c r="Q38" s="3">
        <f t="shared" si="9"/>
        <v>6600.4234799999977</v>
      </c>
      <c r="R38" s="8">
        <f t="shared" si="10"/>
        <v>475622.29651999992</v>
      </c>
    </row>
    <row r="39" spans="2:18">
      <c r="B39" s="18">
        <v>33</v>
      </c>
      <c r="C39" s="25" t="s">
        <v>58</v>
      </c>
      <c r="D39" s="19"/>
      <c r="E39" s="19"/>
      <c r="F39" s="19" t="s">
        <v>164</v>
      </c>
      <c r="G39" s="4">
        <v>5665.59</v>
      </c>
      <c r="H39" s="4">
        <f t="shared" si="6"/>
        <v>60983.844201</v>
      </c>
      <c r="I39" s="14"/>
      <c r="J39" s="33">
        <v>45022</v>
      </c>
      <c r="K39" s="27">
        <f t="shared" si="5"/>
        <v>0.60833333333333328</v>
      </c>
      <c r="L39" s="18">
        <v>30</v>
      </c>
      <c r="M39" s="20">
        <v>0.1</v>
      </c>
      <c r="N39" s="21">
        <f t="shared" si="7"/>
        <v>3.0000000000000002E-2</v>
      </c>
      <c r="O39" s="4">
        <v>500</v>
      </c>
      <c r="P39" s="4">
        <f t="shared" si="8"/>
        <v>30491922.100499999</v>
      </c>
      <c r="Q39" s="3">
        <f t="shared" si="9"/>
        <v>556477.57833412499</v>
      </c>
      <c r="R39" s="8">
        <f t="shared" si="10"/>
        <v>29935444.522165872</v>
      </c>
    </row>
    <row r="40" spans="2:18">
      <c r="B40" s="18">
        <v>34</v>
      </c>
      <c r="C40" s="25" t="s">
        <v>59</v>
      </c>
      <c r="D40" s="19"/>
      <c r="E40" s="19"/>
      <c r="F40" s="19" t="s">
        <v>164</v>
      </c>
      <c r="G40" s="4">
        <v>1501</v>
      </c>
      <c r="H40" s="4">
        <f t="shared" si="6"/>
        <v>16156.613899999998</v>
      </c>
      <c r="I40" s="14"/>
      <c r="J40" s="33">
        <v>45022</v>
      </c>
      <c r="K40" s="27">
        <f t="shared" si="5"/>
        <v>0.60833333333333328</v>
      </c>
      <c r="L40" s="18">
        <v>40</v>
      </c>
      <c r="M40" s="20">
        <v>0.1</v>
      </c>
      <c r="N40" s="21">
        <f t="shared" si="7"/>
        <v>2.2499999999999999E-2</v>
      </c>
      <c r="O40" s="4">
        <v>800</v>
      </c>
      <c r="P40" s="4">
        <f t="shared" si="8"/>
        <v>12925291.119999999</v>
      </c>
      <c r="Q40" s="3">
        <f t="shared" si="9"/>
        <v>176914.92220499998</v>
      </c>
      <c r="R40" s="8">
        <f t="shared" si="10"/>
        <v>12748376.197795</v>
      </c>
    </row>
    <row r="41" spans="2:18" ht="30">
      <c r="B41" s="18">
        <v>35</v>
      </c>
      <c r="C41" s="25" t="s">
        <v>60</v>
      </c>
      <c r="D41" s="19" t="s">
        <v>149</v>
      </c>
      <c r="E41" s="19" t="s">
        <v>150</v>
      </c>
      <c r="F41" s="19" t="s">
        <v>156</v>
      </c>
      <c r="G41" s="4">
        <v>640</v>
      </c>
      <c r="H41" s="4">
        <f t="shared" si="6"/>
        <v>6888.8959999999997</v>
      </c>
      <c r="I41" s="14"/>
      <c r="J41" s="33">
        <v>45022</v>
      </c>
      <c r="K41" s="27">
        <f t="shared" si="5"/>
        <v>0.60833333333333328</v>
      </c>
      <c r="L41" s="18">
        <v>60</v>
      </c>
      <c r="M41" s="20">
        <v>0.1</v>
      </c>
      <c r="N41" s="21">
        <f t="shared" si="7"/>
        <v>1.5000000000000001E-2</v>
      </c>
      <c r="O41" s="4">
        <v>1000</v>
      </c>
      <c r="P41" s="4">
        <f t="shared" si="8"/>
        <v>6888896</v>
      </c>
      <c r="Q41" s="3">
        <f t="shared" si="9"/>
        <v>62861.175999999999</v>
      </c>
      <c r="R41" s="8">
        <f t="shared" si="10"/>
        <v>6826034.824</v>
      </c>
    </row>
    <row r="42" spans="2:18" ht="45">
      <c r="B42" s="18">
        <v>36</v>
      </c>
      <c r="C42" s="25" t="s">
        <v>61</v>
      </c>
      <c r="D42" s="19"/>
      <c r="E42" s="19"/>
      <c r="F42" s="19" t="s">
        <v>164</v>
      </c>
      <c r="G42" s="4">
        <v>1664</v>
      </c>
      <c r="H42" s="4">
        <f t="shared" si="6"/>
        <v>17911.1296</v>
      </c>
      <c r="I42" s="14"/>
      <c r="J42" s="33">
        <v>45022</v>
      </c>
      <c r="K42" s="27">
        <f t="shared" si="5"/>
        <v>0.60833333333333328</v>
      </c>
      <c r="L42" s="18">
        <v>30</v>
      </c>
      <c r="M42" s="20">
        <v>0.1</v>
      </c>
      <c r="N42" s="21">
        <f t="shared" si="7"/>
        <v>3.0000000000000002E-2</v>
      </c>
      <c r="O42" s="4">
        <v>500</v>
      </c>
      <c r="P42" s="4">
        <f t="shared" si="8"/>
        <v>8955564.8000000007</v>
      </c>
      <c r="Q42" s="3">
        <f t="shared" si="9"/>
        <v>163439.0576</v>
      </c>
      <c r="R42" s="8">
        <f t="shared" si="10"/>
        <v>8792125.7423999999</v>
      </c>
    </row>
    <row r="43" spans="2:18">
      <c r="B43" s="18">
        <v>37</v>
      </c>
      <c r="C43" s="25" t="s">
        <v>62</v>
      </c>
      <c r="D43" s="19" t="s">
        <v>150</v>
      </c>
      <c r="E43" s="19" t="s">
        <v>150</v>
      </c>
      <c r="F43" s="19" t="s">
        <v>166</v>
      </c>
      <c r="G43" s="4">
        <v>150</v>
      </c>
      <c r="H43" s="4">
        <f t="shared" si="6"/>
        <v>1614.585</v>
      </c>
      <c r="I43" s="14"/>
      <c r="J43" s="33">
        <v>45022</v>
      </c>
      <c r="K43" s="27">
        <f t="shared" si="5"/>
        <v>0.60833333333333328</v>
      </c>
      <c r="L43" s="18">
        <v>30</v>
      </c>
      <c r="M43" s="20">
        <v>0.1</v>
      </c>
      <c r="N43" s="21">
        <f t="shared" si="7"/>
        <v>3.0000000000000002E-2</v>
      </c>
      <c r="O43" s="4">
        <v>500</v>
      </c>
      <c r="P43" s="4">
        <f t="shared" si="8"/>
        <v>807292.5</v>
      </c>
      <c r="Q43" s="3">
        <f t="shared" si="9"/>
        <v>14733.088125</v>
      </c>
      <c r="R43" s="8">
        <f t="shared" si="10"/>
        <v>792559.41187499999</v>
      </c>
    </row>
    <row r="44" spans="2:18" ht="30">
      <c r="B44" s="18">
        <v>38</v>
      </c>
      <c r="C44" s="25" t="s">
        <v>63</v>
      </c>
      <c r="D44" s="19" t="s">
        <v>149</v>
      </c>
      <c r="E44" s="19" t="s">
        <v>150</v>
      </c>
      <c r="F44" s="19" t="s">
        <v>162</v>
      </c>
      <c r="G44" s="4">
        <v>486</v>
      </c>
      <c r="H44" s="4">
        <f t="shared" si="6"/>
        <v>5231.2554</v>
      </c>
      <c r="I44" s="14"/>
      <c r="J44" s="33">
        <v>45022</v>
      </c>
      <c r="K44" s="27">
        <f t="shared" si="5"/>
        <v>0.60833333333333328</v>
      </c>
      <c r="L44" s="18">
        <v>60</v>
      </c>
      <c r="M44" s="20">
        <v>0.1</v>
      </c>
      <c r="N44" s="21">
        <f t="shared" si="7"/>
        <v>1.5000000000000001E-2</v>
      </c>
      <c r="O44" s="4">
        <v>1000</v>
      </c>
      <c r="P44" s="4">
        <f t="shared" si="8"/>
        <v>5231255.4000000004</v>
      </c>
      <c r="Q44" s="3">
        <f t="shared" si="9"/>
        <v>47735.205524999998</v>
      </c>
      <c r="R44" s="8">
        <f t="shared" si="10"/>
        <v>5183520.1944750007</v>
      </c>
    </row>
    <row r="45" spans="2:18">
      <c r="B45" s="18">
        <v>39</v>
      </c>
      <c r="C45" s="25" t="s">
        <v>64</v>
      </c>
      <c r="D45" s="19" t="s">
        <v>150</v>
      </c>
      <c r="E45" s="19"/>
      <c r="F45" s="19" t="s">
        <v>164</v>
      </c>
      <c r="G45" s="4">
        <v>3120</v>
      </c>
      <c r="H45" s="4">
        <f t="shared" si="6"/>
        <v>33583.368000000002</v>
      </c>
      <c r="I45" s="14"/>
      <c r="J45" s="33">
        <v>45022</v>
      </c>
      <c r="K45" s="27">
        <f t="shared" si="5"/>
        <v>0.60833333333333328</v>
      </c>
      <c r="L45" s="18">
        <v>60</v>
      </c>
      <c r="M45" s="20">
        <v>0.1</v>
      </c>
      <c r="N45" s="21">
        <f t="shared" si="7"/>
        <v>1.5000000000000001E-2</v>
      </c>
      <c r="O45" s="4">
        <v>1000</v>
      </c>
      <c r="P45" s="4">
        <f t="shared" si="8"/>
        <v>33583368</v>
      </c>
      <c r="Q45" s="3">
        <f t="shared" si="9"/>
        <v>306448.23300000001</v>
      </c>
      <c r="R45" s="8">
        <f t="shared" si="10"/>
        <v>33276919.767000001</v>
      </c>
    </row>
    <row r="46" spans="2:18" ht="30">
      <c r="B46" s="18">
        <v>40</v>
      </c>
      <c r="C46" s="25" t="s">
        <v>65</v>
      </c>
      <c r="D46" s="19" t="s">
        <v>149</v>
      </c>
      <c r="E46" s="19" t="s">
        <v>150</v>
      </c>
      <c r="F46" s="19" t="s">
        <v>162</v>
      </c>
      <c r="G46" s="4">
        <v>235.79999999999998</v>
      </c>
      <c r="H46" s="4">
        <f t="shared" si="6"/>
        <v>2538.1276199999998</v>
      </c>
      <c r="I46" s="6"/>
      <c r="J46" s="33">
        <v>45022</v>
      </c>
      <c r="K46" s="27">
        <f t="shared" si="5"/>
        <v>0.60833333333333328</v>
      </c>
      <c r="L46" s="18">
        <v>60</v>
      </c>
      <c r="M46" s="20">
        <v>0.1</v>
      </c>
      <c r="N46" s="21">
        <f t="shared" si="7"/>
        <v>1.5000000000000001E-2</v>
      </c>
      <c r="O46" s="4">
        <v>1000</v>
      </c>
      <c r="P46" s="4">
        <f t="shared" si="8"/>
        <v>2538127.6199999996</v>
      </c>
      <c r="Q46" s="3">
        <f t="shared" si="9"/>
        <v>23160.414532499995</v>
      </c>
      <c r="R46" s="8">
        <f t="shared" si="10"/>
        <v>2514967.2054674998</v>
      </c>
    </row>
    <row r="47" spans="2:18">
      <c r="B47" s="18"/>
      <c r="C47" s="36" t="s">
        <v>66</v>
      </c>
      <c r="D47" s="19"/>
      <c r="E47" s="19"/>
      <c r="F47" s="19"/>
      <c r="G47" s="4"/>
      <c r="H47" s="4"/>
      <c r="I47" s="6"/>
      <c r="J47" s="33">
        <v>45022</v>
      </c>
      <c r="K47" s="27">
        <f t="shared" si="5"/>
        <v>0.60833333333333328</v>
      </c>
      <c r="L47" s="18"/>
      <c r="M47" s="20"/>
      <c r="N47" s="21"/>
      <c r="O47" s="4">
        <v>1000</v>
      </c>
      <c r="P47" s="4"/>
      <c r="Q47" s="3"/>
      <c r="R47" s="8"/>
    </row>
    <row r="48" spans="2:18">
      <c r="B48" s="18">
        <v>41</v>
      </c>
      <c r="C48" s="25" t="s">
        <v>67</v>
      </c>
      <c r="D48" s="19"/>
      <c r="E48" s="19" t="s">
        <v>150</v>
      </c>
      <c r="F48" s="19" t="s">
        <v>156</v>
      </c>
      <c r="G48" s="4">
        <v>1767.5</v>
      </c>
      <c r="H48" s="4">
        <f t="shared" si="6"/>
        <v>19025.19325</v>
      </c>
      <c r="I48" s="6"/>
      <c r="J48" s="33">
        <v>45022</v>
      </c>
      <c r="K48" s="27">
        <f t="shared" si="5"/>
        <v>0.60833333333333328</v>
      </c>
      <c r="L48" s="18">
        <v>60</v>
      </c>
      <c r="M48" s="20">
        <v>0.1</v>
      </c>
      <c r="N48" s="21">
        <f t="shared" si="7"/>
        <v>1.5000000000000001E-2</v>
      </c>
      <c r="O48" s="4">
        <v>1000</v>
      </c>
      <c r="P48" s="4">
        <f t="shared" si="8"/>
        <v>19025193.25</v>
      </c>
      <c r="Q48" s="3">
        <f t="shared" si="9"/>
        <v>173604.88840625001</v>
      </c>
      <c r="R48" s="8">
        <f t="shared" si="10"/>
        <v>18851588.361593749</v>
      </c>
    </row>
    <row r="49" spans="2:18">
      <c r="B49" s="18">
        <v>42</v>
      </c>
      <c r="C49" s="25" t="s">
        <v>68</v>
      </c>
      <c r="D49" s="19" t="s">
        <v>150</v>
      </c>
      <c r="E49" s="19" t="s">
        <v>150</v>
      </c>
      <c r="F49" s="19" t="s">
        <v>165</v>
      </c>
      <c r="G49" s="4">
        <v>693.82</v>
      </c>
      <c r="H49" s="4">
        <f t="shared" si="6"/>
        <v>7468.2090980000003</v>
      </c>
      <c r="I49" s="6"/>
      <c r="J49" s="33">
        <v>45022</v>
      </c>
      <c r="K49" s="27">
        <f t="shared" si="5"/>
        <v>0.60833333333333328</v>
      </c>
      <c r="L49" s="18">
        <v>60</v>
      </c>
      <c r="M49" s="20">
        <v>0.1</v>
      </c>
      <c r="N49" s="21">
        <f t="shared" si="7"/>
        <v>1.5000000000000001E-2</v>
      </c>
      <c r="O49" s="4">
        <v>1000</v>
      </c>
      <c r="P49" s="4">
        <f t="shared" si="8"/>
        <v>7468209.0980000002</v>
      </c>
      <c r="Q49" s="3">
        <f t="shared" si="9"/>
        <v>68147.408019249997</v>
      </c>
      <c r="R49" s="8">
        <f t="shared" si="10"/>
        <v>7400061.68998075</v>
      </c>
    </row>
    <row r="50" spans="2:18" ht="30">
      <c r="B50" s="18">
        <v>43</v>
      </c>
      <c r="C50" s="25" t="s">
        <v>69</v>
      </c>
      <c r="D50" s="19" t="s">
        <v>151</v>
      </c>
      <c r="E50" s="19" t="s">
        <v>150</v>
      </c>
      <c r="F50" s="19" t="s">
        <v>163</v>
      </c>
      <c r="G50" s="4">
        <v>540</v>
      </c>
      <c r="H50" s="4">
        <f t="shared" si="6"/>
        <v>5812.5059999999994</v>
      </c>
      <c r="I50" s="6"/>
      <c r="J50" s="33">
        <v>45022</v>
      </c>
      <c r="K50" s="27">
        <f t="shared" si="5"/>
        <v>0.60833333333333328</v>
      </c>
      <c r="L50" s="18">
        <v>60</v>
      </c>
      <c r="M50" s="20">
        <v>0.1</v>
      </c>
      <c r="N50" s="21">
        <f t="shared" si="7"/>
        <v>1.5000000000000001E-2</v>
      </c>
      <c r="O50" s="4">
        <v>1000</v>
      </c>
      <c r="P50" s="4">
        <f t="shared" si="8"/>
        <v>5812505.9999999991</v>
      </c>
      <c r="Q50" s="3">
        <f t="shared" si="9"/>
        <v>53039.117249999996</v>
      </c>
      <c r="R50" s="8">
        <f t="shared" si="10"/>
        <v>5759466.8827499989</v>
      </c>
    </row>
    <row r="51" spans="2:18">
      <c r="B51" s="18">
        <v>44</v>
      </c>
      <c r="C51" s="25" t="s">
        <v>70</v>
      </c>
      <c r="D51" s="19"/>
      <c r="E51" s="19" t="s">
        <v>150</v>
      </c>
      <c r="F51" s="19" t="s">
        <v>156</v>
      </c>
      <c r="G51" s="4">
        <v>1903.5</v>
      </c>
      <c r="H51" s="4">
        <f t="shared" si="6"/>
        <v>20489.08365</v>
      </c>
      <c r="I51" s="6"/>
      <c r="J51" s="33">
        <v>45022</v>
      </c>
      <c r="K51" s="27">
        <f t="shared" si="5"/>
        <v>0.60833333333333328</v>
      </c>
      <c r="L51" s="18">
        <v>60</v>
      </c>
      <c r="M51" s="20">
        <v>0.1</v>
      </c>
      <c r="N51" s="21">
        <f t="shared" si="7"/>
        <v>1.5000000000000001E-2</v>
      </c>
      <c r="O51" s="4">
        <v>1000</v>
      </c>
      <c r="P51" s="4">
        <f t="shared" si="8"/>
        <v>20489083.650000002</v>
      </c>
      <c r="Q51" s="3">
        <f t="shared" si="9"/>
        <v>186962.88830625004</v>
      </c>
      <c r="R51" s="8">
        <f t="shared" si="10"/>
        <v>20302120.761693753</v>
      </c>
    </row>
    <row r="52" spans="2:18" ht="30">
      <c r="B52" s="18">
        <v>45</v>
      </c>
      <c r="C52" s="25" t="s">
        <v>71</v>
      </c>
      <c r="D52" s="19" t="s">
        <v>151</v>
      </c>
      <c r="E52" s="19" t="s">
        <v>150</v>
      </c>
      <c r="F52" s="19" t="s">
        <v>156</v>
      </c>
      <c r="G52" s="4">
        <v>508</v>
      </c>
      <c r="H52" s="4">
        <f t="shared" si="6"/>
        <v>5468.0612000000001</v>
      </c>
      <c r="I52" s="6"/>
      <c r="J52" s="33">
        <v>45022</v>
      </c>
      <c r="K52" s="27">
        <f t="shared" si="5"/>
        <v>0.60833333333333328</v>
      </c>
      <c r="L52" s="18">
        <v>60</v>
      </c>
      <c r="M52" s="20">
        <v>0.1</v>
      </c>
      <c r="N52" s="21">
        <f t="shared" si="7"/>
        <v>1.5000000000000001E-2</v>
      </c>
      <c r="O52" s="4">
        <v>1000</v>
      </c>
      <c r="P52" s="4">
        <f t="shared" si="8"/>
        <v>5468061.2000000002</v>
      </c>
      <c r="Q52" s="3">
        <f t="shared" si="9"/>
        <v>49896.058449999997</v>
      </c>
      <c r="R52" s="8">
        <f t="shared" si="10"/>
        <v>5418165.1415499998</v>
      </c>
    </row>
    <row r="53" spans="2:18" ht="30">
      <c r="B53" s="18">
        <v>46</v>
      </c>
      <c r="C53" s="25" t="s">
        <v>72</v>
      </c>
      <c r="D53" s="19" t="s">
        <v>151</v>
      </c>
      <c r="E53" s="19" t="s">
        <v>150</v>
      </c>
      <c r="F53" s="19" t="s">
        <v>156</v>
      </c>
      <c r="G53" s="4">
        <v>283.5</v>
      </c>
      <c r="H53" s="4">
        <f t="shared" si="6"/>
        <v>3051.56565</v>
      </c>
      <c r="I53" s="6"/>
      <c r="J53" s="33">
        <v>45022</v>
      </c>
      <c r="K53" s="27">
        <f t="shared" si="5"/>
        <v>0.60833333333333328</v>
      </c>
      <c r="L53" s="18">
        <v>60</v>
      </c>
      <c r="M53" s="20">
        <v>0.1</v>
      </c>
      <c r="N53" s="21">
        <f t="shared" si="7"/>
        <v>1.5000000000000001E-2</v>
      </c>
      <c r="O53" s="4">
        <v>1000</v>
      </c>
      <c r="P53" s="4">
        <f t="shared" si="8"/>
        <v>3051565.65</v>
      </c>
      <c r="Q53" s="3">
        <f t="shared" si="9"/>
        <v>27845.536556250001</v>
      </c>
      <c r="R53" s="8">
        <f t="shared" si="10"/>
        <v>3023720.11344375</v>
      </c>
    </row>
    <row r="54" spans="2:18" ht="30">
      <c r="B54" s="18">
        <v>47</v>
      </c>
      <c r="C54" s="25" t="s">
        <v>73</v>
      </c>
      <c r="D54" s="19" t="s">
        <v>151</v>
      </c>
      <c r="E54" s="19" t="s">
        <v>150</v>
      </c>
      <c r="F54" s="19" t="s">
        <v>165</v>
      </c>
      <c r="G54" s="4">
        <v>1073.8700000000001</v>
      </c>
      <c r="H54" s="4">
        <f t="shared" si="6"/>
        <v>11559.029293000001</v>
      </c>
      <c r="I54" s="6"/>
      <c r="J54" s="33">
        <v>45022</v>
      </c>
      <c r="K54" s="27">
        <f t="shared" si="5"/>
        <v>0.60833333333333328</v>
      </c>
      <c r="L54" s="18">
        <v>60</v>
      </c>
      <c r="M54" s="20">
        <v>0.1</v>
      </c>
      <c r="N54" s="21">
        <f t="shared" si="7"/>
        <v>1.5000000000000001E-2</v>
      </c>
      <c r="O54" s="4">
        <v>1000</v>
      </c>
      <c r="P54" s="4">
        <f t="shared" si="8"/>
        <v>11559029.293000001</v>
      </c>
      <c r="Q54" s="3">
        <f t="shared" si="9"/>
        <v>105476.14229862501</v>
      </c>
      <c r="R54" s="8">
        <f t="shared" si="10"/>
        <v>11453553.150701376</v>
      </c>
    </row>
    <row r="55" spans="2:18">
      <c r="B55" s="18"/>
      <c r="C55" s="36" t="s">
        <v>74</v>
      </c>
      <c r="D55" s="19"/>
      <c r="E55" s="19"/>
      <c r="F55" s="19"/>
      <c r="G55" s="4"/>
      <c r="H55" s="4"/>
      <c r="I55" s="14"/>
      <c r="J55" s="33">
        <v>45022</v>
      </c>
      <c r="K55" s="27">
        <f t="shared" si="5"/>
        <v>0.60833333333333328</v>
      </c>
      <c r="L55" s="18"/>
      <c r="M55" s="20"/>
      <c r="N55" s="21"/>
      <c r="O55" s="4">
        <v>1000</v>
      </c>
      <c r="P55" s="4"/>
      <c r="Q55" s="3"/>
      <c r="R55" s="8"/>
    </row>
    <row r="56" spans="2:18" ht="45">
      <c r="B56" s="18">
        <v>48</v>
      </c>
      <c r="C56" s="25" t="s">
        <v>75</v>
      </c>
      <c r="D56" s="19" t="s">
        <v>152</v>
      </c>
      <c r="E56" s="19" t="s">
        <v>174</v>
      </c>
      <c r="F56" s="19" t="s">
        <v>167</v>
      </c>
      <c r="G56" s="4">
        <v>1176</v>
      </c>
      <c r="H56" s="4">
        <f t="shared" si="6"/>
        <v>12658.3464</v>
      </c>
      <c r="I56" s="14"/>
      <c r="J56" s="33">
        <v>45022</v>
      </c>
      <c r="K56" s="27">
        <f t="shared" si="5"/>
        <v>0.60833333333333328</v>
      </c>
      <c r="L56" s="18">
        <v>60</v>
      </c>
      <c r="M56" s="20">
        <v>0.1</v>
      </c>
      <c r="N56" s="21">
        <f t="shared" si="7"/>
        <v>1.5000000000000001E-2</v>
      </c>
      <c r="O56" s="4">
        <v>1000</v>
      </c>
      <c r="P56" s="4">
        <f t="shared" si="8"/>
        <v>12658346.4</v>
      </c>
      <c r="Q56" s="3">
        <f t="shared" si="9"/>
        <v>115507.4109</v>
      </c>
      <c r="R56" s="8">
        <f t="shared" si="10"/>
        <v>12542838.9891</v>
      </c>
    </row>
    <row r="57" spans="2:18" ht="30">
      <c r="B57" s="18">
        <v>49</v>
      </c>
      <c r="C57" s="25" t="s">
        <v>76</v>
      </c>
      <c r="D57" s="19" t="s">
        <v>153</v>
      </c>
      <c r="E57" s="19" t="s">
        <v>150</v>
      </c>
      <c r="F57" s="19" t="s">
        <v>156</v>
      </c>
      <c r="G57" s="4">
        <v>279</v>
      </c>
      <c r="H57" s="4">
        <f t="shared" ref="H57:H82" si="11">G57*10.7639</f>
        <v>3003.1280999999999</v>
      </c>
      <c r="I57" s="6"/>
      <c r="J57" s="33">
        <v>45022</v>
      </c>
      <c r="K57" s="27">
        <f t="shared" si="5"/>
        <v>0.60833333333333328</v>
      </c>
      <c r="L57" s="18">
        <v>60</v>
      </c>
      <c r="M57" s="20">
        <v>0.1</v>
      </c>
      <c r="N57" s="21">
        <f t="shared" ref="N57:N82" si="12">(1-M57)/L57</f>
        <v>1.5000000000000001E-2</v>
      </c>
      <c r="O57" s="4">
        <v>1000</v>
      </c>
      <c r="P57" s="4">
        <f t="shared" ref="P57:P82" si="13">O57*H57</f>
        <v>3003128.1</v>
      </c>
      <c r="Q57" s="3">
        <f t="shared" ref="Q57:Q82" si="14">P57*N57*IF(K57&gt;L57,L57,K57)</f>
        <v>27403.543912500001</v>
      </c>
      <c r="R57" s="8">
        <f t="shared" ref="R57:R82" si="15">P57-Q57</f>
        <v>2975724.5560875</v>
      </c>
    </row>
    <row r="58" spans="2:18" ht="30">
      <c r="B58" s="18">
        <v>50</v>
      </c>
      <c r="C58" s="25" t="s">
        <v>77</v>
      </c>
      <c r="D58" s="19" t="s">
        <v>151</v>
      </c>
      <c r="E58" s="19" t="s">
        <v>150</v>
      </c>
      <c r="F58" s="19" t="s">
        <v>168</v>
      </c>
      <c r="G58" s="4">
        <v>407</v>
      </c>
      <c r="H58" s="4">
        <f t="shared" si="11"/>
        <v>4380.9072999999999</v>
      </c>
      <c r="I58" s="14"/>
      <c r="J58" s="33">
        <v>45022</v>
      </c>
      <c r="K58" s="27">
        <f t="shared" si="5"/>
        <v>0.60833333333333328</v>
      </c>
      <c r="L58" s="18">
        <v>60</v>
      </c>
      <c r="M58" s="20">
        <v>0.1</v>
      </c>
      <c r="N58" s="21">
        <f t="shared" si="12"/>
        <v>1.5000000000000001E-2</v>
      </c>
      <c r="O58" s="4">
        <v>1000</v>
      </c>
      <c r="P58" s="4">
        <f t="shared" si="13"/>
        <v>4380907.3</v>
      </c>
      <c r="Q58" s="3">
        <f t="shared" si="14"/>
        <v>39975.7791125</v>
      </c>
      <c r="R58" s="8">
        <f t="shared" si="15"/>
        <v>4340931.5208874997</v>
      </c>
    </row>
    <row r="59" spans="2:18" ht="30">
      <c r="B59" s="18">
        <v>51</v>
      </c>
      <c r="C59" s="25" t="s">
        <v>78</v>
      </c>
      <c r="D59" s="19" t="s">
        <v>151</v>
      </c>
      <c r="E59" s="19" t="s">
        <v>150</v>
      </c>
      <c r="F59" s="19" t="s">
        <v>169</v>
      </c>
      <c r="G59" s="4">
        <v>896.04000000000008</v>
      </c>
      <c r="H59" s="4">
        <f t="shared" si="11"/>
        <v>9644.8849559999999</v>
      </c>
      <c r="I59" s="14"/>
      <c r="J59" s="33">
        <v>45022</v>
      </c>
      <c r="K59" s="27">
        <f t="shared" si="5"/>
        <v>0.60833333333333328</v>
      </c>
      <c r="L59" s="18">
        <v>60</v>
      </c>
      <c r="M59" s="20">
        <v>0.1</v>
      </c>
      <c r="N59" s="21">
        <f t="shared" si="12"/>
        <v>1.5000000000000001E-2</v>
      </c>
      <c r="O59" s="4">
        <v>1000</v>
      </c>
      <c r="P59" s="4">
        <f t="shared" si="13"/>
        <v>9644884.9560000002</v>
      </c>
      <c r="Q59" s="3">
        <f t="shared" si="14"/>
        <v>88009.575223499996</v>
      </c>
      <c r="R59" s="8">
        <f t="shared" si="15"/>
        <v>9556875.3807765003</v>
      </c>
    </row>
    <row r="60" spans="2:18" ht="30">
      <c r="B60" s="18">
        <v>52</v>
      </c>
      <c r="C60" s="25" t="s">
        <v>79</v>
      </c>
      <c r="D60" s="19" t="s">
        <v>151</v>
      </c>
      <c r="E60" s="19" t="s">
        <v>150</v>
      </c>
      <c r="F60" s="19" t="s">
        <v>165</v>
      </c>
      <c r="G60" s="4">
        <v>494.84000000000003</v>
      </c>
      <c r="H60" s="4">
        <f t="shared" si="11"/>
        <v>5326.4082760000001</v>
      </c>
      <c r="I60" s="14"/>
      <c r="J60" s="33">
        <v>45022</v>
      </c>
      <c r="K60" s="27">
        <f t="shared" si="5"/>
        <v>0.60833333333333328</v>
      </c>
      <c r="L60" s="18">
        <v>60</v>
      </c>
      <c r="M60" s="20">
        <v>0.1</v>
      </c>
      <c r="N60" s="21">
        <f t="shared" si="12"/>
        <v>1.5000000000000001E-2</v>
      </c>
      <c r="O60" s="4">
        <v>1000</v>
      </c>
      <c r="P60" s="4">
        <f t="shared" si="13"/>
        <v>5326408.2760000005</v>
      </c>
      <c r="Q60" s="3">
        <f t="shared" si="14"/>
        <v>48603.475518500003</v>
      </c>
      <c r="R60" s="8">
        <f t="shared" si="15"/>
        <v>5277804.8004815001</v>
      </c>
    </row>
    <row r="61" spans="2:18" ht="30">
      <c r="B61" s="18">
        <v>53</v>
      </c>
      <c r="C61" s="25" t="s">
        <v>80</v>
      </c>
      <c r="D61" s="19" t="s">
        <v>151</v>
      </c>
      <c r="E61" s="19" t="s">
        <v>150</v>
      </c>
      <c r="F61" s="19" t="s">
        <v>163</v>
      </c>
      <c r="G61" s="4">
        <v>196</v>
      </c>
      <c r="H61" s="4">
        <f t="shared" si="11"/>
        <v>2109.7244000000001</v>
      </c>
      <c r="I61" s="14"/>
      <c r="J61" s="33">
        <v>45022</v>
      </c>
      <c r="K61" s="27">
        <f t="shared" si="5"/>
        <v>0.60833333333333328</v>
      </c>
      <c r="L61" s="18">
        <v>60</v>
      </c>
      <c r="M61" s="20">
        <v>0.1</v>
      </c>
      <c r="N61" s="21">
        <f t="shared" si="12"/>
        <v>1.5000000000000001E-2</v>
      </c>
      <c r="O61" s="4">
        <v>1000</v>
      </c>
      <c r="P61" s="4">
        <f t="shared" si="13"/>
        <v>2109724.4</v>
      </c>
      <c r="Q61" s="3">
        <f t="shared" si="14"/>
        <v>19251.23515</v>
      </c>
      <c r="R61" s="8">
        <f t="shared" si="15"/>
        <v>2090473.1648499998</v>
      </c>
    </row>
    <row r="62" spans="2:18">
      <c r="B62" s="18">
        <v>54</v>
      </c>
      <c r="C62" s="25" t="s">
        <v>81</v>
      </c>
      <c r="D62" s="19" t="s">
        <v>150</v>
      </c>
      <c r="E62" s="19" t="s">
        <v>150</v>
      </c>
      <c r="F62" s="19" t="s">
        <v>166</v>
      </c>
      <c r="G62" s="4">
        <v>1025.7</v>
      </c>
      <c r="H62" s="4">
        <f t="shared" si="11"/>
        <v>11040.532230000001</v>
      </c>
      <c r="I62" s="14"/>
      <c r="J62" s="33">
        <v>45022</v>
      </c>
      <c r="K62" s="27">
        <f t="shared" si="5"/>
        <v>0.60833333333333328</v>
      </c>
      <c r="L62" s="18">
        <v>40</v>
      </c>
      <c r="M62" s="20">
        <v>0.1</v>
      </c>
      <c r="N62" s="21">
        <f t="shared" si="12"/>
        <v>2.2499999999999999E-2</v>
      </c>
      <c r="O62" s="4">
        <v>800</v>
      </c>
      <c r="P62" s="4">
        <f t="shared" si="13"/>
        <v>8832425.784</v>
      </c>
      <c r="Q62" s="3">
        <f t="shared" si="14"/>
        <v>120893.8279185</v>
      </c>
      <c r="R62" s="8">
        <f t="shared" si="15"/>
        <v>8711531.9560815003</v>
      </c>
    </row>
    <row r="63" spans="2:18" ht="45">
      <c r="B63" s="18">
        <v>55</v>
      </c>
      <c r="C63" s="25" t="s">
        <v>82</v>
      </c>
      <c r="D63" s="19" t="s">
        <v>154</v>
      </c>
      <c r="E63" s="19" t="s">
        <v>150</v>
      </c>
      <c r="F63" s="19" t="s">
        <v>170</v>
      </c>
      <c r="G63" s="4">
        <v>735.25</v>
      </c>
      <c r="H63" s="4">
        <f t="shared" si="11"/>
        <v>7914.157475</v>
      </c>
      <c r="I63" s="14"/>
      <c r="J63" s="33">
        <v>45022</v>
      </c>
      <c r="K63" s="27">
        <f t="shared" si="5"/>
        <v>0.60833333333333328</v>
      </c>
      <c r="L63" s="18">
        <v>40</v>
      </c>
      <c r="M63" s="20">
        <v>0.1</v>
      </c>
      <c r="N63" s="21">
        <f t="shared" si="12"/>
        <v>2.2499999999999999E-2</v>
      </c>
      <c r="O63" s="4">
        <v>800</v>
      </c>
      <c r="P63" s="4">
        <f t="shared" si="13"/>
        <v>6331325.9800000004</v>
      </c>
      <c r="Q63" s="3">
        <f t="shared" si="14"/>
        <v>86660.024351249987</v>
      </c>
      <c r="R63" s="8">
        <f t="shared" si="15"/>
        <v>6244665.9556487501</v>
      </c>
    </row>
    <row r="64" spans="2:18" ht="30">
      <c r="B64" s="18">
        <v>56</v>
      </c>
      <c r="C64" s="25" t="s">
        <v>83</v>
      </c>
      <c r="D64" s="19" t="s">
        <v>155</v>
      </c>
      <c r="E64" s="19" t="s">
        <v>150</v>
      </c>
      <c r="F64" s="19" t="s">
        <v>171</v>
      </c>
      <c r="G64" s="4">
        <v>196.5</v>
      </c>
      <c r="H64" s="4">
        <f t="shared" si="11"/>
        <v>2115.10635</v>
      </c>
      <c r="I64" s="14"/>
      <c r="J64" s="33">
        <v>45022</v>
      </c>
      <c r="K64" s="27">
        <f t="shared" si="5"/>
        <v>0.60833333333333328</v>
      </c>
      <c r="L64" s="18">
        <v>40</v>
      </c>
      <c r="M64" s="20">
        <v>0.1</v>
      </c>
      <c r="N64" s="21">
        <f t="shared" si="12"/>
        <v>2.2499999999999999E-2</v>
      </c>
      <c r="O64" s="4">
        <v>800</v>
      </c>
      <c r="P64" s="4">
        <f t="shared" si="13"/>
        <v>1692085.08</v>
      </c>
      <c r="Q64" s="3">
        <f t="shared" si="14"/>
        <v>23160.414532499995</v>
      </c>
      <c r="R64" s="8">
        <f t="shared" si="15"/>
        <v>1668924.6654675</v>
      </c>
    </row>
    <row r="65" spans="2:18">
      <c r="B65" s="18">
        <v>57</v>
      </c>
      <c r="C65" s="25" t="s">
        <v>84</v>
      </c>
      <c r="D65" s="19" t="s">
        <v>150</v>
      </c>
      <c r="E65" s="19" t="s">
        <v>150</v>
      </c>
      <c r="F65" s="19" t="s">
        <v>156</v>
      </c>
      <c r="G65" s="4">
        <v>9288.5</v>
      </c>
      <c r="H65" s="4">
        <f t="shared" si="11"/>
        <v>99980.485149999993</v>
      </c>
      <c r="I65" s="14"/>
      <c r="J65" s="33">
        <v>45022</v>
      </c>
      <c r="K65" s="27">
        <f t="shared" si="5"/>
        <v>0.60833333333333328</v>
      </c>
      <c r="L65" s="18">
        <v>40</v>
      </c>
      <c r="M65" s="20">
        <v>0.1</v>
      </c>
      <c r="N65" s="21">
        <f t="shared" si="12"/>
        <v>2.2499999999999999E-2</v>
      </c>
      <c r="O65" s="4">
        <v>800</v>
      </c>
      <c r="P65" s="4">
        <f t="shared" si="13"/>
        <v>79984388.11999999</v>
      </c>
      <c r="Q65" s="3">
        <f t="shared" si="14"/>
        <v>1094786.3123924998</v>
      </c>
      <c r="R65" s="8">
        <f t="shared" si="15"/>
        <v>78889601.807607487</v>
      </c>
    </row>
    <row r="66" spans="2:18" ht="45">
      <c r="B66" s="18">
        <v>58</v>
      </c>
      <c r="C66" s="25" t="s">
        <v>85</v>
      </c>
      <c r="D66" s="19" t="s">
        <v>154</v>
      </c>
      <c r="E66" s="19" t="s">
        <v>150</v>
      </c>
      <c r="F66" s="19" t="s">
        <v>170</v>
      </c>
      <c r="G66" s="4">
        <v>1844.5</v>
      </c>
      <c r="H66" s="4">
        <f t="shared" si="11"/>
        <v>19854.01355</v>
      </c>
      <c r="I66" s="14"/>
      <c r="J66" s="33">
        <v>45022</v>
      </c>
      <c r="K66" s="27">
        <f t="shared" si="5"/>
        <v>0.60833333333333328</v>
      </c>
      <c r="L66" s="18">
        <v>40</v>
      </c>
      <c r="M66" s="20">
        <v>0.1</v>
      </c>
      <c r="N66" s="21">
        <f t="shared" si="12"/>
        <v>2.2499999999999999E-2</v>
      </c>
      <c r="O66" s="4">
        <v>800</v>
      </c>
      <c r="P66" s="4">
        <f t="shared" si="13"/>
        <v>15883210.84</v>
      </c>
      <c r="Q66" s="3">
        <f t="shared" si="14"/>
        <v>217401.44837249999</v>
      </c>
      <c r="R66" s="8">
        <f t="shared" si="15"/>
        <v>15665809.3916275</v>
      </c>
    </row>
    <row r="67" spans="2:18" ht="30">
      <c r="B67" s="18">
        <v>59</v>
      </c>
      <c r="C67" s="25" t="s">
        <v>86</v>
      </c>
      <c r="D67" s="19" t="s">
        <v>155</v>
      </c>
      <c r="E67" s="19" t="s">
        <v>150</v>
      </c>
      <c r="F67" s="19" t="s">
        <v>171</v>
      </c>
      <c r="G67" s="4">
        <v>259</v>
      </c>
      <c r="H67" s="4">
        <f t="shared" si="11"/>
        <v>2787.8501000000001</v>
      </c>
      <c r="I67" s="14"/>
      <c r="J67" s="33">
        <v>45022</v>
      </c>
      <c r="K67" s="27">
        <f t="shared" si="5"/>
        <v>0.60833333333333328</v>
      </c>
      <c r="L67" s="18">
        <v>40</v>
      </c>
      <c r="M67" s="20">
        <v>0.1</v>
      </c>
      <c r="N67" s="21">
        <f t="shared" si="12"/>
        <v>2.2499999999999999E-2</v>
      </c>
      <c r="O67" s="4">
        <v>800</v>
      </c>
      <c r="P67" s="4">
        <f t="shared" si="13"/>
        <v>2230280.08</v>
      </c>
      <c r="Q67" s="3">
        <f t="shared" si="14"/>
        <v>30526.958594999996</v>
      </c>
      <c r="R67" s="8">
        <f t="shared" si="15"/>
        <v>2199753.1214049999</v>
      </c>
    </row>
    <row r="68" spans="2:18">
      <c r="B68" s="18">
        <v>60</v>
      </c>
      <c r="C68" s="25" t="s">
        <v>87</v>
      </c>
      <c r="D68" s="19"/>
      <c r="E68" s="19" t="s">
        <v>150</v>
      </c>
      <c r="F68" s="19" t="s">
        <v>156</v>
      </c>
      <c r="G68" s="4">
        <v>63600</v>
      </c>
      <c r="H68" s="4">
        <f t="shared" si="11"/>
        <v>684584.03999999992</v>
      </c>
      <c r="I68" s="14"/>
      <c r="J68" s="33">
        <v>45022</v>
      </c>
      <c r="K68" s="27">
        <f t="shared" si="5"/>
        <v>0.60833333333333328</v>
      </c>
      <c r="L68" s="18">
        <v>60</v>
      </c>
      <c r="M68" s="20">
        <v>0.1</v>
      </c>
      <c r="N68" s="21">
        <f t="shared" si="12"/>
        <v>1.5000000000000001E-2</v>
      </c>
      <c r="O68" s="4">
        <v>1000</v>
      </c>
      <c r="P68" s="4">
        <f t="shared" si="13"/>
        <v>684584039.99999988</v>
      </c>
      <c r="Q68" s="3">
        <f t="shared" si="14"/>
        <v>6246829.3649999993</v>
      </c>
      <c r="R68" s="8">
        <f t="shared" si="15"/>
        <v>678337210.63499987</v>
      </c>
    </row>
    <row r="69" spans="2:18" ht="30">
      <c r="B69" s="18">
        <v>61</v>
      </c>
      <c r="C69" s="25" t="s">
        <v>88</v>
      </c>
      <c r="D69" s="19" t="s">
        <v>151</v>
      </c>
      <c r="E69" s="19" t="s">
        <v>150</v>
      </c>
      <c r="F69" s="19" t="s">
        <v>162</v>
      </c>
      <c r="G69" s="4">
        <v>779</v>
      </c>
      <c r="H69" s="4">
        <f t="shared" si="11"/>
        <v>8385.0780999999988</v>
      </c>
      <c r="I69" s="14"/>
      <c r="J69" s="33">
        <v>45022</v>
      </c>
      <c r="K69" s="27">
        <f t="shared" si="5"/>
        <v>0.60833333333333328</v>
      </c>
      <c r="L69" s="18">
        <v>60</v>
      </c>
      <c r="M69" s="20">
        <v>0.1</v>
      </c>
      <c r="N69" s="21">
        <f t="shared" si="12"/>
        <v>1.5000000000000001E-2</v>
      </c>
      <c r="O69" s="4">
        <v>1000</v>
      </c>
      <c r="P69" s="4">
        <f t="shared" si="13"/>
        <v>8385078.0999999987</v>
      </c>
      <c r="Q69" s="3">
        <f t="shared" si="14"/>
        <v>76513.837662499995</v>
      </c>
      <c r="R69" s="8">
        <f t="shared" si="15"/>
        <v>8308564.2623374984</v>
      </c>
    </row>
    <row r="70" spans="2:18" ht="30">
      <c r="B70" s="18">
        <v>62</v>
      </c>
      <c r="C70" s="25" t="s">
        <v>89</v>
      </c>
      <c r="D70" s="19" t="s">
        <v>150</v>
      </c>
      <c r="E70" s="19" t="s">
        <v>150</v>
      </c>
      <c r="F70" s="19" t="s">
        <v>156</v>
      </c>
      <c r="G70" s="4">
        <v>270.45</v>
      </c>
      <c r="H70" s="4">
        <f t="shared" si="11"/>
        <v>2911.0967549999996</v>
      </c>
      <c r="I70" s="14"/>
      <c r="J70" s="33">
        <v>45022</v>
      </c>
      <c r="K70" s="27">
        <f t="shared" ref="K70:K127" si="16">YEARFRAC(J70,$K$2)</f>
        <v>0.60833333333333328</v>
      </c>
      <c r="L70" s="18">
        <v>60</v>
      </c>
      <c r="M70" s="20">
        <v>0.1</v>
      </c>
      <c r="N70" s="21">
        <f t="shared" si="12"/>
        <v>1.5000000000000001E-2</v>
      </c>
      <c r="O70" s="4">
        <v>1000</v>
      </c>
      <c r="P70" s="4">
        <f t="shared" si="13"/>
        <v>2911096.7549999994</v>
      </c>
      <c r="Q70" s="3">
        <f t="shared" si="14"/>
        <v>26563.757889374996</v>
      </c>
      <c r="R70" s="8">
        <f t="shared" si="15"/>
        <v>2884532.9971106243</v>
      </c>
    </row>
    <row r="71" spans="2:18">
      <c r="B71" s="18">
        <v>63</v>
      </c>
      <c r="C71" s="25" t="s">
        <v>90</v>
      </c>
      <c r="D71" s="19" t="s">
        <v>150</v>
      </c>
      <c r="E71" s="19" t="s">
        <v>150</v>
      </c>
      <c r="F71" s="19" t="s">
        <v>166</v>
      </c>
      <c r="G71" s="4">
        <v>559.44000000000005</v>
      </c>
      <c r="H71" s="4">
        <f t="shared" si="11"/>
        <v>6021.7562160000007</v>
      </c>
      <c r="I71" s="14"/>
      <c r="J71" s="33">
        <v>45022</v>
      </c>
      <c r="K71" s="27">
        <f t="shared" si="16"/>
        <v>0.60833333333333328</v>
      </c>
      <c r="L71" s="18">
        <v>30</v>
      </c>
      <c r="M71" s="20">
        <v>0.1</v>
      </c>
      <c r="N71" s="21">
        <f t="shared" si="12"/>
        <v>3.0000000000000002E-2</v>
      </c>
      <c r="O71" s="4">
        <v>500</v>
      </c>
      <c r="P71" s="4">
        <f t="shared" si="13"/>
        <v>3010878.1080000005</v>
      </c>
      <c r="Q71" s="3">
        <f t="shared" si="14"/>
        <v>54948.525471000008</v>
      </c>
      <c r="R71" s="8">
        <f t="shared" si="15"/>
        <v>2955929.5825290005</v>
      </c>
    </row>
    <row r="72" spans="2:18" ht="30">
      <c r="B72" s="18">
        <v>64</v>
      </c>
      <c r="C72" s="25" t="s">
        <v>91</v>
      </c>
      <c r="D72" s="19" t="s">
        <v>156</v>
      </c>
      <c r="E72" s="19" t="s">
        <v>150</v>
      </c>
      <c r="F72" s="19" t="s">
        <v>156</v>
      </c>
      <c r="G72" s="4">
        <v>117</v>
      </c>
      <c r="H72" s="4">
        <f t="shared" si="11"/>
        <v>1259.3762999999999</v>
      </c>
      <c r="I72" s="6"/>
      <c r="J72" s="33">
        <v>45022</v>
      </c>
      <c r="K72" s="27">
        <f t="shared" si="16"/>
        <v>0.60833333333333328</v>
      </c>
      <c r="L72" s="18">
        <v>60</v>
      </c>
      <c r="M72" s="20">
        <v>0.1</v>
      </c>
      <c r="N72" s="21">
        <f t="shared" si="12"/>
        <v>1.5000000000000001E-2</v>
      </c>
      <c r="O72" s="4">
        <v>1000</v>
      </c>
      <c r="P72" s="4">
        <f t="shared" si="13"/>
        <v>1259376.2999999998</v>
      </c>
      <c r="Q72" s="3">
        <f t="shared" si="14"/>
        <v>11491.808737499998</v>
      </c>
      <c r="R72" s="8">
        <f t="shared" si="15"/>
        <v>1247884.4912624997</v>
      </c>
    </row>
    <row r="73" spans="2:18" ht="30">
      <c r="B73" s="18">
        <v>65</v>
      </c>
      <c r="C73" s="25" t="s">
        <v>92</v>
      </c>
      <c r="D73" s="19" t="s">
        <v>151</v>
      </c>
      <c r="E73" s="19" t="s">
        <v>150</v>
      </c>
      <c r="F73" s="19" t="s">
        <v>156</v>
      </c>
      <c r="G73" s="4">
        <v>126</v>
      </c>
      <c r="H73" s="4">
        <f t="shared" si="11"/>
        <v>1356.2513999999999</v>
      </c>
      <c r="I73" s="6"/>
      <c r="J73" s="33">
        <v>45022</v>
      </c>
      <c r="K73" s="27">
        <f t="shared" si="16"/>
        <v>0.60833333333333328</v>
      </c>
      <c r="L73" s="18">
        <v>60</v>
      </c>
      <c r="M73" s="20">
        <v>0.1</v>
      </c>
      <c r="N73" s="21">
        <f t="shared" si="12"/>
        <v>1.5000000000000001E-2</v>
      </c>
      <c r="O73" s="4">
        <v>1000</v>
      </c>
      <c r="P73" s="4">
        <f t="shared" si="13"/>
        <v>1356251.4</v>
      </c>
      <c r="Q73" s="3">
        <f t="shared" si="14"/>
        <v>12375.794024999999</v>
      </c>
      <c r="R73" s="8">
        <f t="shared" si="15"/>
        <v>1343875.605975</v>
      </c>
    </row>
    <row r="74" spans="2:18" ht="30">
      <c r="B74" s="18">
        <v>66</v>
      </c>
      <c r="C74" s="25" t="s">
        <v>93</v>
      </c>
      <c r="D74" s="19" t="s">
        <v>151</v>
      </c>
      <c r="E74" s="19" t="s">
        <v>150</v>
      </c>
      <c r="F74" s="19" t="s">
        <v>156</v>
      </c>
      <c r="G74" s="4">
        <v>360</v>
      </c>
      <c r="H74" s="4">
        <f t="shared" si="11"/>
        <v>3875.0039999999999</v>
      </c>
      <c r="I74" s="6"/>
      <c r="J74" s="33">
        <v>45022</v>
      </c>
      <c r="K74" s="27">
        <f t="shared" si="16"/>
        <v>0.60833333333333328</v>
      </c>
      <c r="L74" s="18">
        <v>60</v>
      </c>
      <c r="M74" s="20">
        <v>0.1</v>
      </c>
      <c r="N74" s="21">
        <f t="shared" si="12"/>
        <v>1.5000000000000001E-2</v>
      </c>
      <c r="O74" s="4">
        <v>1000</v>
      </c>
      <c r="P74" s="4">
        <f t="shared" si="13"/>
        <v>3875004</v>
      </c>
      <c r="Q74" s="3">
        <f t="shared" si="14"/>
        <v>35359.411500000002</v>
      </c>
      <c r="R74" s="8">
        <f t="shared" si="15"/>
        <v>3839644.5885000001</v>
      </c>
    </row>
    <row r="75" spans="2:18" ht="30">
      <c r="B75" s="18">
        <v>67</v>
      </c>
      <c r="C75" s="25" t="s">
        <v>94</v>
      </c>
      <c r="D75" s="19" t="s">
        <v>151</v>
      </c>
      <c r="E75" s="19" t="s">
        <v>150</v>
      </c>
      <c r="F75" s="19" t="s">
        <v>156</v>
      </c>
      <c r="G75" s="4">
        <v>150</v>
      </c>
      <c r="H75" s="4">
        <f t="shared" si="11"/>
        <v>1614.585</v>
      </c>
      <c r="I75" s="6"/>
      <c r="J75" s="33">
        <v>45022</v>
      </c>
      <c r="K75" s="27">
        <f t="shared" si="16"/>
        <v>0.60833333333333328</v>
      </c>
      <c r="L75" s="18">
        <v>60</v>
      </c>
      <c r="M75" s="20">
        <v>0.1</v>
      </c>
      <c r="N75" s="21">
        <f t="shared" si="12"/>
        <v>1.5000000000000001E-2</v>
      </c>
      <c r="O75" s="4">
        <v>1000</v>
      </c>
      <c r="P75" s="4">
        <f t="shared" si="13"/>
        <v>1614585</v>
      </c>
      <c r="Q75" s="3">
        <f t="shared" si="14"/>
        <v>14733.088125</v>
      </c>
      <c r="R75" s="8">
        <f t="shared" si="15"/>
        <v>1599851.911875</v>
      </c>
    </row>
    <row r="76" spans="2:18" ht="30">
      <c r="B76" s="18">
        <v>68</v>
      </c>
      <c r="C76" s="25" t="s">
        <v>95</v>
      </c>
      <c r="D76" s="19" t="s">
        <v>151</v>
      </c>
      <c r="E76" s="19" t="s">
        <v>150</v>
      </c>
      <c r="F76" s="19" t="s">
        <v>156</v>
      </c>
      <c r="G76" s="4">
        <v>84</v>
      </c>
      <c r="H76" s="4">
        <f t="shared" si="11"/>
        <v>904.16759999999999</v>
      </c>
      <c r="I76" s="6"/>
      <c r="J76" s="33">
        <v>45022</v>
      </c>
      <c r="K76" s="27">
        <f t="shared" si="16"/>
        <v>0.60833333333333328</v>
      </c>
      <c r="L76" s="18">
        <v>40</v>
      </c>
      <c r="M76" s="20">
        <v>0.1</v>
      </c>
      <c r="N76" s="21">
        <f t="shared" si="12"/>
        <v>2.2499999999999999E-2</v>
      </c>
      <c r="O76" s="4">
        <v>800</v>
      </c>
      <c r="P76" s="4">
        <f t="shared" si="13"/>
        <v>723334.08</v>
      </c>
      <c r="Q76" s="3">
        <f t="shared" si="14"/>
        <v>9900.6352199999983</v>
      </c>
      <c r="R76" s="8">
        <f t="shared" si="15"/>
        <v>713433.4447799999</v>
      </c>
    </row>
    <row r="77" spans="2:18" ht="30">
      <c r="B77" s="18">
        <v>69</v>
      </c>
      <c r="C77" s="25" t="s">
        <v>96</v>
      </c>
      <c r="D77" s="19"/>
      <c r="E77" s="19" t="s">
        <v>150</v>
      </c>
      <c r="F77" s="19" t="s">
        <v>156</v>
      </c>
      <c r="G77" s="4">
        <v>864</v>
      </c>
      <c r="H77" s="4">
        <f t="shared" si="11"/>
        <v>9300.0095999999994</v>
      </c>
      <c r="I77" s="6"/>
      <c r="J77" s="33">
        <v>45022</v>
      </c>
      <c r="K77" s="27">
        <f t="shared" si="16"/>
        <v>0.60833333333333328</v>
      </c>
      <c r="L77" s="18">
        <v>30</v>
      </c>
      <c r="M77" s="20">
        <v>0.1</v>
      </c>
      <c r="N77" s="21">
        <f t="shared" si="12"/>
        <v>3.0000000000000002E-2</v>
      </c>
      <c r="O77" s="4">
        <v>500</v>
      </c>
      <c r="P77" s="4">
        <f t="shared" si="13"/>
        <v>4650004.8</v>
      </c>
      <c r="Q77" s="3">
        <f t="shared" si="14"/>
        <v>84862.587599999999</v>
      </c>
      <c r="R77" s="8">
        <f t="shared" si="15"/>
        <v>4565142.2123999996</v>
      </c>
    </row>
    <row r="78" spans="2:18">
      <c r="B78" s="18">
        <v>70</v>
      </c>
      <c r="C78" s="25" t="s">
        <v>97</v>
      </c>
      <c r="D78" s="19" t="s">
        <v>150</v>
      </c>
      <c r="E78" s="19" t="s">
        <v>150</v>
      </c>
      <c r="F78" s="19" t="s">
        <v>156</v>
      </c>
      <c r="G78" s="4">
        <v>173.25</v>
      </c>
      <c r="H78" s="4">
        <f t="shared" si="11"/>
        <v>1864.845675</v>
      </c>
      <c r="I78" s="6"/>
      <c r="J78" s="33">
        <v>45022</v>
      </c>
      <c r="K78" s="27">
        <f t="shared" si="16"/>
        <v>0.60833333333333328</v>
      </c>
      <c r="L78" s="18">
        <v>60</v>
      </c>
      <c r="M78" s="20">
        <v>0.1</v>
      </c>
      <c r="N78" s="21">
        <f t="shared" si="12"/>
        <v>1.5000000000000001E-2</v>
      </c>
      <c r="O78" s="4">
        <v>1000</v>
      </c>
      <c r="P78" s="4">
        <f t="shared" si="13"/>
        <v>1864845.675</v>
      </c>
      <c r="Q78" s="3">
        <f t="shared" si="14"/>
        <v>17016.716784374999</v>
      </c>
      <c r="R78" s="8">
        <f t="shared" si="15"/>
        <v>1847828.958215625</v>
      </c>
    </row>
    <row r="79" spans="2:18" ht="30">
      <c r="B79" s="18">
        <v>71</v>
      </c>
      <c r="C79" s="25" t="s">
        <v>98</v>
      </c>
      <c r="D79" s="19" t="s">
        <v>151</v>
      </c>
      <c r="E79" s="19" t="s">
        <v>150</v>
      </c>
      <c r="F79" s="19" t="s">
        <v>156</v>
      </c>
      <c r="G79" s="4">
        <v>672</v>
      </c>
      <c r="H79" s="4">
        <f t="shared" si="11"/>
        <v>7233.3407999999999</v>
      </c>
      <c r="I79" s="6"/>
      <c r="J79" s="33">
        <v>45022</v>
      </c>
      <c r="K79" s="27">
        <f t="shared" si="16"/>
        <v>0.60833333333333328</v>
      </c>
      <c r="L79" s="18">
        <v>60</v>
      </c>
      <c r="M79" s="20">
        <v>0.1</v>
      </c>
      <c r="N79" s="21">
        <f t="shared" si="12"/>
        <v>1.5000000000000001E-2</v>
      </c>
      <c r="O79" s="4">
        <v>1000</v>
      </c>
      <c r="P79" s="4">
        <f t="shared" si="13"/>
        <v>7233340.7999999998</v>
      </c>
      <c r="Q79" s="3">
        <f t="shared" si="14"/>
        <v>66004.234800000006</v>
      </c>
      <c r="R79" s="8">
        <f t="shared" si="15"/>
        <v>7167336.5652000001</v>
      </c>
    </row>
    <row r="80" spans="2:18" ht="30">
      <c r="B80" s="18">
        <v>72</v>
      </c>
      <c r="C80" s="25" t="s">
        <v>99</v>
      </c>
      <c r="D80" s="19" t="s">
        <v>151</v>
      </c>
      <c r="E80" s="19" t="s">
        <v>150</v>
      </c>
      <c r="F80" s="19" t="s">
        <v>156</v>
      </c>
      <c r="G80" s="4">
        <v>372.75</v>
      </c>
      <c r="H80" s="4">
        <f t="shared" si="11"/>
        <v>4012.2437249999998</v>
      </c>
      <c r="I80" s="6"/>
      <c r="J80" s="33">
        <v>45022</v>
      </c>
      <c r="K80" s="27">
        <f t="shared" si="16"/>
        <v>0.60833333333333328</v>
      </c>
      <c r="L80" s="18">
        <v>60</v>
      </c>
      <c r="M80" s="20">
        <v>0.1</v>
      </c>
      <c r="N80" s="21">
        <f t="shared" si="12"/>
        <v>1.5000000000000001E-2</v>
      </c>
      <c r="O80" s="4">
        <v>1000</v>
      </c>
      <c r="P80" s="4">
        <f t="shared" si="13"/>
        <v>4012243.7249999996</v>
      </c>
      <c r="Q80" s="3">
        <f t="shared" si="14"/>
        <v>36611.723990624996</v>
      </c>
      <c r="R80" s="8">
        <f t="shared" si="15"/>
        <v>3975632.0010093749</v>
      </c>
    </row>
    <row r="81" spans="2:18">
      <c r="B81" s="18">
        <v>73</v>
      </c>
      <c r="C81" s="25" t="s">
        <v>100</v>
      </c>
      <c r="D81" s="19" t="s">
        <v>150</v>
      </c>
      <c r="E81" s="19" t="s">
        <v>150</v>
      </c>
      <c r="F81" s="19" t="s">
        <v>165</v>
      </c>
      <c r="G81" s="4">
        <v>225</v>
      </c>
      <c r="H81" s="4">
        <f t="shared" si="11"/>
        <v>2421.8775000000001</v>
      </c>
      <c r="I81" s="14"/>
      <c r="J81" s="33">
        <v>45022</v>
      </c>
      <c r="K81" s="27">
        <f t="shared" si="16"/>
        <v>0.60833333333333328</v>
      </c>
      <c r="L81" s="18">
        <v>40</v>
      </c>
      <c r="M81" s="20">
        <v>0.1</v>
      </c>
      <c r="N81" s="21">
        <f t="shared" si="12"/>
        <v>2.2499999999999999E-2</v>
      </c>
      <c r="O81" s="4">
        <v>800</v>
      </c>
      <c r="P81" s="4">
        <f t="shared" si="13"/>
        <v>1937502</v>
      </c>
      <c r="Q81" s="3">
        <f t="shared" si="14"/>
        <v>26519.558624999998</v>
      </c>
      <c r="R81" s="8">
        <f t="shared" si="15"/>
        <v>1910982.4413749999</v>
      </c>
    </row>
    <row r="82" spans="2:18">
      <c r="B82" s="18">
        <v>74</v>
      </c>
      <c r="C82" s="22" t="s">
        <v>101</v>
      </c>
      <c r="D82" s="19" t="s">
        <v>150</v>
      </c>
      <c r="E82" s="19" t="s">
        <v>150</v>
      </c>
      <c r="F82" s="19" t="s">
        <v>165</v>
      </c>
      <c r="G82" s="4">
        <v>842.43</v>
      </c>
      <c r="H82" s="4">
        <f t="shared" si="11"/>
        <v>9067.8322769999995</v>
      </c>
      <c r="I82" s="14"/>
      <c r="J82" s="33">
        <v>45022</v>
      </c>
      <c r="K82" s="27">
        <f t="shared" si="16"/>
        <v>0.60833333333333328</v>
      </c>
      <c r="L82" s="18">
        <v>40</v>
      </c>
      <c r="M82" s="20">
        <v>0.1</v>
      </c>
      <c r="N82" s="21">
        <f t="shared" si="12"/>
        <v>2.2499999999999999E-2</v>
      </c>
      <c r="O82" s="4">
        <v>800</v>
      </c>
      <c r="P82" s="4">
        <f t="shared" si="13"/>
        <v>7254265.8215999994</v>
      </c>
      <c r="Q82" s="3">
        <f t="shared" si="14"/>
        <v>99292.763433149987</v>
      </c>
      <c r="R82" s="8">
        <f t="shared" si="15"/>
        <v>7154973.0581668494</v>
      </c>
    </row>
    <row r="83" spans="2:18" ht="30">
      <c r="B83" s="18">
        <v>75</v>
      </c>
      <c r="C83" s="25" t="s">
        <v>102</v>
      </c>
      <c r="D83" s="19" t="s">
        <v>151</v>
      </c>
      <c r="E83" s="19" t="s">
        <v>150</v>
      </c>
      <c r="F83" s="19" t="s">
        <v>156</v>
      </c>
      <c r="G83" s="4">
        <v>278.39999999999998</v>
      </c>
      <c r="H83" s="4">
        <f t="shared" si="6"/>
        <v>2996.6697599999998</v>
      </c>
      <c r="I83" s="14"/>
      <c r="J83" s="33">
        <v>45022</v>
      </c>
      <c r="K83" s="27">
        <f t="shared" si="16"/>
        <v>0.60833333333333328</v>
      </c>
      <c r="L83" s="18">
        <v>40</v>
      </c>
      <c r="M83" s="20">
        <v>0.1</v>
      </c>
      <c r="N83" s="21">
        <f t="shared" si="7"/>
        <v>2.2499999999999999E-2</v>
      </c>
      <c r="O83" s="4">
        <v>800</v>
      </c>
      <c r="P83" s="4">
        <f t="shared" si="8"/>
        <v>2397335.8079999997</v>
      </c>
      <c r="Q83" s="3">
        <f t="shared" si="9"/>
        <v>32813.533871999993</v>
      </c>
      <c r="R83" s="8">
        <f t="shared" si="10"/>
        <v>2364522.2741279998</v>
      </c>
    </row>
    <row r="84" spans="2:18" ht="30">
      <c r="B84" s="18">
        <v>76</v>
      </c>
      <c r="C84" s="25" t="s">
        <v>103</v>
      </c>
      <c r="D84" s="19" t="s">
        <v>151</v>
      </c>
      <c r="E84" s="19" t="s">
        <v>150</v>
      </c>
      <c r="F84" s="19" t="s">
        <v>156</v>
      </c>
      <c r="G84" s="4">
        <v>151.20000000000002</v>
      </c>
      <c r="H84" s="4">
        <f t="shared" si="6"/>
        <v>1627.5016800000001</v>
      </c>
      <c r="I84" s="14"/>
      <c r="J84" s="33">
        <v>45022</v>
      </c>
      <c r="K84" s="27">
        <f t="shared" si="16"/>
        <v>0.60833333333333328</v>
      </c>
      <c r="L84" s="18">
        <v>60</v>
      </c>
      <c r="M84" s="20">
        <v>0.1</v>
      </c>
      <c r="N84" s="21">
        <f t="shared" si="7"/>
        <v>1.5000000000000001E-2</v>
      </c>
      <c r="O84" s="4">
        <v>1000</v>
      </c>
      <c r="P84" s="4">
        <f t="shared" si="8"/>
        <v>1627501.6800000002</v>
      </c>
      <c r="Q84" s="3">
        <f t="shared" si="9"/>
        <v>14850.95283</v>
      </c>
      <c r="R84" s="8">
        <f t="shared" si="10"/>
        <v>1612650.7271700001</v>
      </c>
    </row>
    <row r="85" spans="2:18">
      <c r="B85" s="18">
        <v>77</v>
      </c>
      <c r="C85" s="25" t="s">
        <v>104</v>
      </c>
      <c r="D85" s="19"/>
      <c r="E85" s="19" t="s">
        <v>150</v>
      </c>
      <c r="F85" s="19" t="s">
        <v>156</v>
      </c>
      <c r="G85" s="4">
        <v>75.599999999999994</v>
      </c>
      <c r="H85" s="4">
        <f t="shared" si="6"/>
        <v>813.75083999999993</v>
      </c>
      <c r="I85" s="14"/>
      <c r="J85" s="33">
        <v>45022</v>
      </c>
      <c r="K85" s="27">
        <f t="shared" si="16"/>
        <v>0.60833333333333328</v>
      </c>
      <c r="L85" s="18">
        <v>60</v>
      </c>
      <c r="M85" s="20">
        <v>0.1</v>
      </c>
      <c r="N85" s="21">
        <f t="shared" si="7"/>
        <v>1.5000000000000001E-2</v>
      </c>
      <c r="O85" s="4">
        <v>1000</v>
      </c>
      <c r="P85" s="4">
        <f t="shared" si="8"/>
        <v>813750.84</v>
      </c>
      <c r="Q85" s="3">
        <f t="shared" si="9"/>
        <v>7425.4764149999992</v>
      </c>
      <c r="R85" s="8">
        <f t="shared" si="10"/>
        <v>806325.36358499993</v>
      </c>
    </row>
    <row r="86" spans="2:18">
      <c r="B86" s="18">
        <v>78</v>
      </c>
      <c r="C86" s="25" t="s">
        <v>105</v>
      </c>
      <c r="D86" s="19"/>
      <c r="E86" s="19" t="s">
        <v>150</v>
      </c>
      <c r="F86" s="19" t="s">
        <v>156</v>
      </c>
      <c r="G86" s="4"/>
      <c r="H86" s="4">
        <f t="shared" si="6"/>
        <v>0</v>
      </c>
      <c r="I86" s="14"/>
      <c r="J86" s="33">
        <v>45022</v>
      </c>
      <c r="K86" s="27">
        <f t="shared" si="16"/>
        <v>0.60833333333333328</v>
      </c>
      <c r="L86" s="18">
        <v>60</v>
      </c>
      <c r="M86" s="20">
        <v>0.1</v>
      </c>
      <c r="N86" s="21">
        <f t="shared" si="7"/>
        <v>1.5000000000000001E-2</v>
      </c>
      <c r="O86" s="4">
        <v>1000</v>
      </c>
      <c r="P86" s="4">
        <f t="shared" si="8"/>
        <v>0</v>
      </c>
      <c r="Q86" s="3">
        <f t="shared" si="9"/>
        <v>0</v>
      </c>
      <c r="R86" s="8">
        <f t="shared" si="10"/>
        <v>0</v>
      </c>
    </row>
    <row r="87" spans="2:18">
      <c r="B87" s="18">
        <v>79</v>
      </c>
      <c r="C87" s="25" t="s">
        <v>106</v>
      </c>
      <c r="D87" s="19"/>
      <c r="E87" s="19" t="s">
        <v>150</v>
      </c>
      <c r="F87" s="19" t="s">
        <v>156</v>
      </c>
      <c r="G87" s="4">
        <v>249.31</v>
      </c>
      <c r="H87" s="4">
        <f t="shared" si="6"/>
        <v>2683.5479089999999</v>
      </c>
      <c r="I87" s="14"/>
      <c r="J87" s="33">
        <v>45022</v>
      </c>
      <c r="K87" s="27">
        <f t="shared" si="16"/>
        <v>0.60833333333333328</v>
      </c>
      <c r="L87" s="18">
        <v>60</v>
      </c>
      <c r="M87" s="20">
        <v>0.1</v>
      </c>
      <c r="N87" s="21">
        <f t="shared" si="7"/>
        <v>1.5000000000000001E-2</v>
      </c>
      <c r="O87" s="4">
        <v>1000</v>
      </c>
      <c r="P87" s="4">
        <f t="shared" si="8"/>
        <v>2683547.909</v>
      </c>
      <c r="Q87" s="3">
        <f t="shared" si="9"/>
        <v>24487.374669625002</v>
      </c>
      <c r="R87" s="8">
        <f t="shared" si="10"/>
        <v>2659060.534330375</v>
      </c>
    </row>
    <row r="88" spans="2:18">
      <c r="B88" s="18">
        <v>80</v>
      </c>
      <c r="C88" s="25" t="s">
        <v>107</v>
      </c>
      <c r="D88" s="19"/>
      <c r="E88" s="19" t="s">
        <v>150</v>
      </c>
      <c r="F88" s="19" t="s">
        <v>162</v>
      </c>
      <c r="G88" s="4">
        <v>52.5</v>
      </c>
      <c r="H88" s="4">
        <f t="shared" si="6"/>
        <v>565.10474999999997</v>
      </c>
      <c r="I88" s="14"/>
      <c r="J88" s="33">
        <v>45022</v>
      </c>
      <c r="K88" s="27">
        <f t="shared" si="16"/>
        <v>0.60833333333333328</v>
      </c>
      <c r="L88" s="18">
        <v>60</v>
      </c>
      <c r="M88" s="20">
        <v>0.1</v>
      </c>
      <c r="N88" s="21">
        <f t="shared" si="7"/>
        <v>1.5000000000000001E-2</v>
      </c>
      <c r="O88" s="4">
        <v>1000</v>
      </c>
      <c r="P88" s="4">
        <f t="shared" si="8"/>
        <v>565104.75</v>
      </c>
      <c r="Q88" s="3">
        <f t="shared" si="9"/>
        <v>5156.58084375</v>
      </c>
      <c r="R88" s="8">
        <f t="shared" si="10"/>
        <v>559948.16915624996</v>
      </c>
    </row>
    <row r="89" spans="2:18">
      <c r="B89" s="18">
        <v>81</v>
      </c>
      <c r="C89" s="25" t="s">
        <v>108</v>
      </c>
      <c r="D89" s="19"/>
      <c r="E89" s="19" t="s">
        <v>150</v>
      </c>
      <c r="F89" s="19" t="s">
        <v>156</v>
      </c>
      <c r="G89" s="4">
        <v>228.48</v>
      </c>
      <c r="H89" s="4">
        <f t="shared" si="6"/>
        <v>2459.3358719999997</v>
      </c>
      <c r="I89" s="14"/>
      <c r="J89" s="33">
        <v>45022</v>
      </c>
      <c r="K89" s="27">
        <f t="shared" si="16"/>
        <v>0.60833333333333328</v>
      </c>
      <c r="L89" s="18">
        <v>60</v>
      </c>
      <c r="M89" s="20">
        <v>0.1</v>
      </c>
      <c r="N89" s="21">
        <f t="shared" si="7"/>
        <v>1.5000000000000001E-2</v>
      </c>
      <c r="O89" s="4">
        <v>1000</v>
      </c>
      <c r="P89" s="4">
        <f t="shared" si="8"/>
        <v>2459335.8719999995</v>
      </c>
      <c r="Q89" s="3">
        <f t="shared" si="9"/>
        <v>22441.439831999996</v>
      </c>
      <c r="R89" s="8">
        <f t="shared" si="10"/>
        <v>2436894.4321679994</v>
      </c>
    </row>
    <row r="90" spans="2:18" ht="30">
      <c r="B90" s="18">
        <v>82</v>
      </c>
      <c r="C90" s="25" t="s">
        <v>109</v>
      </c>
      <c r="D90" s="19"/>
      <c r="E90" s="19" t="s">
        <v>150</v>
      </c>
      <c r="F90" s="19" t="s">
        <v>156</v>
      </c>
      <c r="G90" s="4">
        <v>163.35</v>
      </c>
      <c r="H90" s="4">
        <f t="shared" si="6"/>
        <v>1758.2830649999999</v>
      </c>
      <c r="I90" s="14"/>
      <c r="J90" s="33">
        <v>45022</v>
      </c>
      <c r="K90" s="27">
        <f t="shared" si="16"/>
        <v>0.60833333333333328</v>
      </c>
      <c r="L90" s="18">
        <v>60</v>
      </c>
      <c r="M90" s="20">
        <v>0.1</v>
      </c>
      <c r="N90" s="21">
        <f t="shared" si="7"/>
        <v>1.5000000000000001E-2</v>
      </c>
      <c r="O90" s="4">
        <v>1000</v>
      </c>
      <c r="P90" s="4">
        <f t="shared" si="8"/>
        <v>1758283.0649999999</v>
      </c>
      <c r="Q90" s="3">
        <f t="shared" si="9"/>
        <v>16044.332968125</v>
      </c>
      <c r="R90" s="8">
        <f t="shared" si="10"/>
        <v>1742238.7320318751</v>
      </c>
    </row>
    <row r="91" spans="2:18" ht="45">
      <c r="B91" s="18">
        <v>83</v>
      </c>
      <c r="C91" s="25" t="s">
        <v>110</v>
      </c>
      <c r="D91" s="19"/>
      <c r="E91" s="19" t="s">
        <v>175</v>
      </c>
      <c r="F91" s="19" t="s">
        <v>164</v>
      </c>
      <c r="G91" s="4">
        <v>207355.51500000001</v>
      </c>
      <c r="H91" s="4">
        <f t="shared" si="6"/>
        <v>2231954.0279085003</v>
      </c>
      <c r="I91" s="14"/>
      <c r="J91" s="33">
        <v>45022</v>
      </c>
      <c r="K91" s="27">
        <f t="shared" si="16"/>
        <v>0.60833333333333328</v>
      </c>
      <c r="L91" s="18">
        <v>30</v>
      </c>
      <c r="M91" s="20">
        <v>0.1</v>
      </c>
      <c r="N91" s="21">
        <f t="shared" si="7"/>
        <v>3.0000000000000002E-2</v>
      </c>
      <c r="O91" s="4">
        <v>500</v>
      </c>
      <c r="P91" s="4">
        <f t="shared" si="8"/>
        <v>1115977013.9542501</v>
      </c>
      <c r="Q91" s="3">
        <f t="shared" si="9"/>
        <v>20366580.504665062</v>
      </c>
      <c r="R91" s="8">
        <f t="shared" si="10"/>
        <v>1095610433.449585</v>
      </c>
    </row>
    <row r="92" spans="2:18">
      <c r="B92" s="18">
        <v>84</v>
      </c>
      <c r="C92" s="25" t="s">
        <v>111</v>
      </c>
      <c r="D92" s="19"/>
      <c r="E92" s="19" t="s">
        <v>150</v>
      </c>
      <c r="F92" s="19" t="s">
        <v>156</v>
      </c>
      <c r="G92" s="4">
        <v>226.86500000000001</v>
      </c>
      <c r="H92" s="4">
        <f t="shared" si="6"/>
        <v>2441.9521734999998</v>
      </c>
      <c r="I92" s="14"/>
      <c r="J92" s="33">
        <v>45022</v>
      </c>
      <c r="K92" s="27">
        <f t="shared" si="16"/>
        <v>0.60833333333333328</v>
      </c>
      <c r="L92" s="18">
        <v>30</v>
      </c>
      <c r="M92" s="20">
        <v>0.1</v>
      </c>
      <c r="N92" s="21">
        <f t="shared" si="7"/>
        <v>3.0000000000000002E-2</v>
      </c>
      <c r="O92" s="4">
        <v>500</v>
      </c>
      <c r="P92" s="4">
        <f t="shared" si="8"/>
        <v>1220976.08675</v>
      </c>
      <c r="Q92" s="3">
        <f t="shared" si="9"/>
        <v>22282.813583187501</v>
      </c>
      <c r="R92" s="8">
        <f t="shared" si="10"/>
        <v>1198693.2731668125</v>
      </c>
    </row>
    <row r="93" spans="2:18">
      <c r="B93" s="18">
        <v>85</v>
      </c>
      <c r="C93" s="25" t="s">
        <v>112</v>
      </c>
      <c r="D93" s="19"/>
      <c r="E93" s="19" t="s">
        <v>150</v>
      </c>
      <c r="F93" s="19" t="s">
        <v>156</v>
      </c>
      <c r="G93" s="4">
        <v>179.56</v>
      </c>
      <c r="H93" s="4">
        <f t="shared" si="6"/>
        <v>1932.7658839999999</v>
      </c>
      <c r="I93" s="14"/>
      <c r="J93" s="33">
        <v>45022</v>
      </c>
      <c r="K93" s="27">
        <f t="shared" si="16"/>
        <v>0.60833333333333328</v>
      </c>
      <c r="L93" s="18">
        <v>30</v>
      </c>
      <c r="M93" s="20">
        <v>0.1</v>
      </c>
      <c r="N93" s="21">
        <f t="shared" si="7"/>
        <v>3.0000000000000002E-2</v>
      </c>
      <c r="O93" s="4">
        <v>500</v>
      </c>
      <c r="P93" s="4">
        <f t="shared" si="8"/>
        <v>966382.94199999992</v>
      </c>
      <c r="Q93" s="3">
        <f t="shared" si="9"/>
        <v>17636.488691499999</v>
      </c>
      <c r="R93" s="8">
        <f t="shared" si="10"/>
        <v>948746.45330849988</v>
      </c>
    </row>
    <row r="94" spans="2:18">
      <c r="B94" s="18">
        <v>86</v>
      </c>
      <c r="C94" s="25" t="s">
        <v>113</v>
      </c>
      <c r="D94" s="19"/>
      <c r="E94" s="19" t="s">
        <v>150</v>
      </c>
      <c r="F94" s="19" t="s">
        <v>156</v>
      </c>
      <c r="G94" s="4">
        <v>36</v>
      </c>
      <c r="H94" s="4">
        <f t="shared" si="6"/>
        <v>387.50040000000001</v>
      </c>
      <c r="I94" s="14"/>
      <c r="J94" s="33">
        <v>45022</v>
      </c>
      <c r="K94" s="27">
        <f t="shared" si="16"/>
        <v>0.60833333333333328</v>
      </c>
      <c r="L94" s="18">
        <v>30</v>
      </c>
      <c r="M94" s="20">
        <v>0.1</v>
      </c>
      <c r="N94" s="21">
        <f t="shared" si="7"/>
        <v>3.0000000000000002E-2</v>
      </c>
      <c r="O94" s="4">
        <v>500</v>
      </c>
      <c r="P94" s="4">
        <f t="shared" si="8"/>
        <v>193750.2</v>
      </c>
      <c r="Q94" s="3">
        <f t="shared" si="9"/>
        <v>3535.9411500000006</v>
      </c>
      <c r="R94" s="8">
        <f t="shared" si="10"/>
        <v>190214.25885000001</v>
      </c>
    </row>
    <row r="95" spans="2:18">
      <c r="B95" s="18">
        <v>87</v>
      </c>
      <c r="C95" s="25" t="s">
        <v>114</v>
      </c>
      <c r="D95" s="19"/>
      <c r="E95" s="19" t="s">
        <v>150</v>
      </c>
      <c r="F95" s="19" t="s">
        <v>156</v>
      </c>
      <c r="G95" s="4">
        <v>25</v>
      </c>
      <c r="H95" s="4">
        <f t="shared" si="6"/>
        <v>269.09749999999997</v>
      </c>
      <c r="I95" s="6"/>
      <c r="J95" s="33">
        <v>45022</v>
      </c>
      <c r="K95" s="27">
        <f t="shared" si="16"/>
        <v>0.60833333333333328</v>
      </c>
      <c r="L95" s="18">
        <v>30</v>
      </c>
      <c r="M95" s="20">
        <v>0.1</v>
      </c>
      <c r="N95" s="21">
        <f t="shared" si="7"/>
        <v>3.0000000000000002E-2</v>
      </c>
      <c r="O95" s="4">
        <v>500</v>
      </c>
      <c r="P95" s="4">
        <f t="shared" si="8"/>
        <v>134548.74999999997</v>
      </c>
      <c r="Q95" s="3">
        <f t="shared" si="9"/>
        <v>2455.5146874999996</v>
      </c>
      <c r="R95" s="8">
        <f t="shared" si="10"/>
        <v>132093.23531249998</v>
      </c>
    </row>
    <row r="96" spans="2:18">
      <c r="B96" s="18">
        <v>88</v>
      </c>
      <c r="C96" s="25" t="s">
        <v>115</v>
      </c>
      <c r="D96" s="19"/>
      <c r="E96" s="19"/>
      <c r="F96" s="19" t="s">
        <v>164</v>
      </c>
      <c r="G96" s="4">
        <v>168.48650000000001</v>
      </c>
      <c r="H96" s="4">
        <f t="shared" si="6"/>
        <v>1813.5718373499999</v>
      </c>
      <c r="I96" s="6"/>
      <c r="J96" s="33">
        <v>45022</v>
      </c>
      <c r="K96" s="27">
        <f t="shared" si="16"/>
        <v>0.60833333333333328</v>
      </c>
      <c r="L96" s="18">
        <v>30</v>
      </c>
      <c r="M96" s="20">
        <v>0.1</v>
      </c>
      <c r="N96" s="21">
        <f t="shared" si="7"/>
        <v>3.0000000000000002E-2</v>
      </c>
      <c r="O96" s="4">
        <v>500</v>
      </c>
      <c r="P96" s="4">
        <f t="shared" si="8"/>
        <v>906785.91867499996</v>
      </c>
      <c r="Q96" s="3">
        <f t="shared" si="9"/>
        <v>16548.843015818748</v>
      </c>
      <c r="R96" s="8">
        <f t="shared" si="10"/>
        <v>890237.07565918122</v>
      </c>
    </row>
    <row r="97" spans="2:18">
      <c r="B97" s="18">
        <v>89</v>
      </c>
      <c r="C97" s="25" t="s">
        <v>116</v>
      </c>
      <c r="D97" s="19"/>
      <c r="E97" s="19" t="s">
        <v>150</v>
      </c>
      <c r="F97" s="19" t="s">
        <v>165</v>
      </c>
      <c r="G97" s="4">
        <v>90</v>
      </c>
      <c r="H97" s="4">
        <f t="shared" si="6"/>
        <v>968.75099999999998</v>
      </c>
      <c r="I97" s="6"/>
      <c r="J97" s="33">
        <v>45022</v>
      </c>
      <c r="K97" s="27">
        <f t="shared" si="16"/>
        <v>0.60833333333333328</v>
      </c>
      <c r="L97" s="18">
        <v>60</v>
      </c>
      <c r="M97" s="20">
        <v>0.1</v>
      </c>
      <c r="N97" s="21">
        <f t="shared" si="7"/>
        <v>1.5000000000000001E-2</v>
      </c>
      <c r="O97" s="4">
        <v>1000</v>
      </c>
      <c r="P97" s="4">
        <f t="shared" si="8"/>
        <v>968751</v>
      </c>
      <c r="Q97" s="3">
        <f t="shared" si="9"/>
        <v>8839.8528750000005</v>
      </c>
      <c r="R97" s="8">
        <f t="shared" si="10"/>
        <v>959911.14712500002</v>
      </c>
    </row>
    <row r="98" spans="2:18">
      <c r="B98" s="18">
        <v>90</v>
      </c>
      <c r="C98" s="25" t="s">
        <v>117</v>
      </c>
      <c r="D98" s="19"/>
      <c r="E98" s="19" t="s">
        <v>150</v>
      </c>
      <c r="F98" s="19" t="s">
        <v>171</v>
      </c>
      <c r="G98" s="4">
        <v>244.2</v>
      </c>
      <c r="H98" s="4">
        <f t="shared" si="6"/>
        <v>2628.5443799999998</v>
      </c>
      <c r="I98" s="6"/>
      <c r="J98" s="33">
        <v>45022</v>
      </c>
      <c r="K98" s="27">
        <f t="shared" si="16"/>
        <v>0.60833333333333328</v>
      </c>
      <c r="L98" s="18">
        <v>40</v>
      </c>
      <c r="M98" s="20">
        <v>0.1</v>
      </c>
      <c r="N98" s="21">
        <f t="shared" si="7"/>
        <v>2.2499999999999999E-2</v>
      </c>
      <c r="O98" s="4">
        <v>800</v>
      </c>
      <c r="P98" s="4">
        <f t="shared" si="8"/>
        <v>2102835.5039999997</v>
      </c>
      <c r="Q98" s="3">
        <f t="shared" si="9"/>
        <v>28782.560960999992</v>
      </c>
      <c r="R98" s="8">
        <f t="shared" si="10"/>
        <v>2074052.9430389998</v>
      </c>
    </row>
    <row r="99" spans="2:18">
      <c r="B99" s="18"/>
      <c r="C99" s="36" t="s">
        <v>118</v>
      </c>
      <c r="D99" s="19"/>
      <c r="E99" s="19"/>
      <c r="F99" s="19"/>
      <c r="G99" s="4"/>
      <c r="H99" s="4"/>
      <c r="I99" s="6"/>
      <c r="J99" s="33">
        <v>45022</v>
      </c>
      <c r="K99" s="27">
        <f t="shared" si="16"/>
        <v>0.60833333333333328</v>
      </c>
      <c r="L99" s="18"/>
      <c r="M99" s="20"/>
      <c r="N99" s="21"/>
      <c r="O99" s="4">
        <v>1000</v>
      </c>
      <c r="P99" s="4"/>
      <c r="Q99" s="3"/>
      <c r="R99" s="8"/>
    </row>
    <row r="100" spans="2:18">
      <c r="B100" s="18">
        <v>91</v>
      </c>
      <c r="C100" s="25" t="s">
        <v>119</v>
      </c>
      <c r="D100" s="19" t="s">
        <v>150</v>
      </c>
      <c r="E100" s="19" t="s">
        <v>150</v>
      </c>
      <c r="F100" s="19" t="s">
        <v>156</v>
      </c>
      <c r="G100" s="4">
        <v>250.79999999999998</v>
      </c>
      <c r="H100" s="4">
        <f t="shared" si="6"/>
        <v>2699.5861199999999</v>
      </c>
      <c r="I100" s="6"/>
      <c r="J100" s="33">
        <v>45022</v>
      </c>
      <c r="K100" s="27">
        <f t="shared" si="16"/>
        <v>0.60833333333333328</v>
      </c>
      <c r="L100" s="18">
        <v>60</v>
      </c>
      <c r="M100" s="20">
        <v>0.1</v>
      </c>
      <c r="N100" s="21">
        <f t="shared" si="7"/>
        <v>1.5000000000000001E-2</v>
      </c>
      <c r="O100" s="4">
        <v>1000</v>
      </c>
      <c r="P100" s="4">
        <f t="shared" si="8"/>
        <v>2699586.12</v>
      </c>
      <c r="Q100" s="3">
        <f t="shared" si="9"/>
        <v>24633.723345000002</v>
      </c>
      <c r="R100" s="8">
        <f t="shared" si="10"/>
        <v>2674952.3966550003</v>
      </c>
    </row>
    <row r="101" spans="2:18" ht="30">
      <c r="B101" s="18">
        <v>92</v>
      </c>
      <c r="C101" s="25" t="s">
        <v>120</v>
      </c>
      <c r="D101" s="19" t="s">
        <v>151</v>
      </c>
      <c r="E101" s="19" t="s">
        <v>150</v>
      </c>
      <c r="F101" s="19" t="s">
        <v>156</v>
      </c>
      <c r="G101" s="4">
        <v>504</v>
      </c>
      <c r="H101" s="4">
        <f t="shared" si="6"/>
        <v>5425.0055999999995</v>
      </c>
      <c r="I101" s="6"/>
      <c r="J101" s="33">
        <v>45022</v>
      </c>
      <c r="K101" s="27">
        <f t="shared" si="16"/>
        <v>0.60833333333333328</v>
      </c>
      <c r="L101" s="18">
        <v>60</v>
      </c>
      <c r="M101" s="20">
        <v>0.1</v>
      </c>
      <c r="N101" s="21">
        <f t="shared" si="7"/>
        <v>1.5000000000000001E-2</v>
      </c>
      <c r="O101" s="4">
        <v>1000</v>
      </c>
      <c r="P101" s="4">
        <f t="shared" si="8"/>
        <v>5425005.5999999996</v>
      </c>
      <c r="Q101" s="3">
        <f t="shared" si="9"/>
        <v>49503.176099999997</v>
      </c>
      <c r="R101" s="8">
        <f t="shared" si="10"/>
        <v>5375502.4238999998</v>
      </c>
    </row>
    <row r="102" spans="2:18">
      <c r="B102" s="18">
        <v>93</v>
      </c>
      <c r="C102" s="25" t="s">
        <v>121</v>
      </c>
      <c r="D102" s="19"/>
      <c r="E102" s="19" t="s">
        <v>150</v>
      </c>
      <c r="F102" s="19" t="s">
        <v>156</v>
      </c>
      <c r="G102" s="4">
        <v>2275</v>
      </c>
      <c r="H102" s="4">
        <f t="shared" si="6"/>
        <v>24487.872499999998</v>
      </c>
      <c r="I102" s="6"/>
      <c r="J102" s="33">
        <v>45022</v>
      </c>
      <c r="K102" s="27">
        <f t="shared" si="16"/>
        <v>0.60833333333333328</v>
      </c>
      <c r="L102" s="18">
        <v>30</v>
      </c>
      <c r="M102" s="20">
        <v>0.1</v>
      </c>
      <c r="N102" s="21">
        <f t="shared" si="7"/>
        <v>3.0000000000000002E-2</v>
      </c>
      <c r="O102" s="4">
        <v>500</v>
      </c>
      <c r="P102" s="4">
        <f t="shared" si="8"/>
        <v>12243936.249999998</v>
      </c>
      <c r="Q102" s="3">
        <f t="shared" si="9"/>
        <v>223451.83656249996</v>
      </c>
      <c r="R102" s="8">
        <f t="shared" si="10"/>
        <v>12020484.413437499</v>
      </c>
    </row>
    <row r="103" spans="2:18" ht="30">
      <c r="B103" s="18">
        <v>94</v>
      </c>
      <c r="C103" s="25" t="s">
        <v>122</v>
      </c>
      <c r="D103" s="19" t="s">
        <v>157</v>
      </c>
      <c r="E103" s="19" t="s">
        <v>150</v>
      </c>
      <c r="F103" s="19" t="s">
        <v>156</v>
      </c>
      <c r="G103" s="4">
        <v>490.5</v>
      </c>
      <c r="H103" s="4">
        <f t="shared" ref="H103:H129" si="17">G103*10.7639</f>
        <v>5279.6929499999997</v>
      </c>
      <c r="I103" s="6"/>
      <c r="J103" s="33">
        <v>45022</v>
      </c>
      <c r="K103" s="27">
        <f t="shared" si="16"/>
        <v>0.60833333333333328</v>
      </c>
      <c r="L103" s="18">
        <v>60</v>
      </c>
      <c r="M103" s="20">
        <v>0.1</v>
      </c>
      <c r="N103" s="21">
        <f t="shared" ref="N103:N126" si="18">(1-M103)/L103</f>
        <v>1.5000000000000001E-2</v>
      </c>
      <c r="O103" s="4">
        <v>1000</v>
      </c>
      <c r="P103" s="4">
        <f t="shared" si="2"/>
        <v>5279692.9499999993</v>
      </c>
      <c r="Q103" s="3">
        <f t="shared" ref="Q103:Q126" si="19">P103*N103*IF(K103&gt;L103,L103,K103)</f>
        <v>48177.198168749994</v>
      </c>
      <c r="R103" s="8">
        <f t="shared" ref="R103:R126" si="20">P103-Q103</f>
        <v>5231515.7518312493</v>
      </c>
    </row>
    <row r="104" spans="2:18">
      <c r="B104" s="18">
        <v>95</v>
      </c>
      <c r="C104" s="25" t="s">
        <v>123</v>
      </c>
      <c r="D104" s="19" t="s">
        <v>150</v>
      </c>
      <c r="E104" s="19" t="s">
        <v>150</v>
      </c>
      <c r="F104" s="19" t="s">
        <v>156</v>
      </c>
      <c r="G104" s="4">
        <v>252</v>
      </c>
      <c r="H104" s="4">
        <f t="shared" ref="H104" si="21">G104*10.7639</f>
        <v>2712.5027999999998</v>
      </c>
      <c r="I104" s="14"/>
      <c r="J104" s="33">
        <v>45022</v>
      </c>
      <c r="K104" s="27">
        <f t="shared" si="16"/>
        <v>0.60833333333333328</v>
      </c>
      <c r="L104" s="18">
        <v>60</v>
      </c>
      <c r="M104" s="20">
        <v>0.1</v>
      </c>
      <c r="N104" s="21">
        <f t="shared" ref="N104" si="22">(1-M104)/L104</f>
        <v>1.5000000000000001E-2</v>
      </c>
      <c r="O104" s="4">
        <v>1000</v>
      </c>
      <c r="P104" s="4">
        <f t="shared" ref="P104" si="23">O104*H104</f>
        <v>2712502.8</v>
      </c>
      <c r="Q104" s="3">
        <f t="shared" ref="Q104" si="24">P104*N104*IF(K104&gt;L104,L104,K104)</f>
        <v>24751.588049999998</v>
      </c>
      <c r="R104" s="8">
        <f t="shared" ref="R104" si="25">P104-Q104</f>
        <v>2687751.2119499999</v>
      </c>
    </row>
    <row r="105" spans="2:18">
      <c r="B105" s="18">
        <v>96</v>
      </c>
      <c r="C105" s="25" t="s">
        <v>124</v>
      </c>
      <c r="D105" s="19" t="s">
        <v>150</v>
      </c>
      <c r="E105" s="19" t="s">
        <v>150</v>
      </c>
      <c r="F105" s="19" t="s">
        <v>156</v>
      </c>
      <c r="G105" s="4">
        <v>270</v>
      </c>
      <c r="H105" s="4">
        <f t="shared" si="17"/>
        <v>2906.2529999999997</v>
      </c>
      <c r="I105" s="14"/>
      <c r="J105" s="33">
        <v>45022</v>
      </c>
      <c r="K105" s="27">
        <f t="shared" si="16"/>
        <v>0.60833333333333328</v>
      </c>
      <c r="L105" s="18">
        <v>60</v>
      </c>
      <c r="M105" s="20">
        <v>0.1</v>
      </c>
      <c r="N105" s="21">
        <f t="shared" si="18"/>
        <v>1.5000000000000001E-2</v>
      </c>
      <c r="O105" s="4">
        <v>1000</v>
      </c>
      <c r="P105" s="4">
        <f t="shared" si="2"/>
        <v>2906252.9999999995</v>
      </c>
      <c r="Q105" s="3">
        <f t="shared" si="19"/>
        <v>26519.558624999998</v>
      </c>
      <c r="R105" s="8">
        <f t="shared" si="20"/>
        <v>2879733.4413749995</v>
      </c>
    </row>
    <row r="106" spans="2:18">
      <c r="B106" s="18"/>
      <c r="C106" s="36" t="s">
        <v>125</v>
      </c>
      <c r="D106" s="19"/>
      <c r="E106" s="19"/>
      <c r="F106" s="19"/>
      <c r="G106" s="4"/>
      <c r="H106" s="4"/>
      <c r="I106" s="14"/>
      <c r="J106" s="33">
        <v>45022</v>
      </c>
      <c r="K106" s="27">
        <f t="shared" si="16"/>
        <v>0.60833333333333328</v>
      </c>
      <c r="L106" s="18"/>
      <c r="M106" s="20"/>
      <c r="N106" s="21"/>
      <c r="O106" s="4">
        <v>1000</v>
      </c>
      <c r="P106" s="4"/>
      <c r="Q106" s="3"/>
      <c r="R106" s="8"/>
    </row>
    <row r="107" spans="2:18">
      <c r="B107" s="18">
        <v>97</v>
      </c>
      <c r="C107" s="25" t="s">
        <v>126</v>
      </c>
      <c r="D107" s="19" t="s">
        <v>150</v>
      </c>
      <c r="E107" s="19" t="s">
        <v>150</v>
      </c>
      <c r="F107" s="19" t="s">
        <v>156</v>
      </c>
      <c r="G107" s="4">
        <v>218.4</v>
      </c>
      <c r="H107" s="4">
        <f t="shared" si="17"/>
        <v>2350.8357599999999</v>
      </c>
      <c r="I107" s="14"/>
      <c r="J107" s="33">
        <v>45022</v>
      </c>
      <c r="K107" s="27">
        <f t="shared" si="16"/>
        <v>0.60833333333333328</v>
      </c>
      <c r="L107" s="18">
        <v>60</v>
      </c>
      <c r="M107" s="20">
        <v>0.1</v>
      </c>
      <c r="N107" s="21">
        <f t="shared" si="18"/>
        <v>1.5000000000000001E-2</v>
      </c>
      <c r="O107" s="4">
        <v>1000</v>
      </c>
      <c r="P107" s="4">
        <f t="shared" si="2"/>
        <v>2350835.7599999998</v>
      </c>
      <c r="Q107" s="3">
        <f t="shared" si="19"/>
        <v>21451.376309999996</v>
      </c>
      <c r="R107" s="8">
        <f t="shared" si="20"/>
        <v>2329384.3836899996</v>
      </c>
    </row>
    <row r="108" spans="2:18">
      <c r="B108" s="18">
        <v>98</v>
      </c>
      <c r="C108" s="25" t="s">
        <v>127</v>
      </c>
      <c r="D108" s="19" t="s">
        <v>150</v>
      </c>
      <c r="E108" s="19" t="s">
        <v>150</v>
      </c>
      <c r="F108" s="19" t="s">
        <v>162</v>
      </c>
      <c r="G108" s="4">
        <v>2479</v>
      </c>
      <c r="H108" s="4">
        <f t="shared" ref="H108" si="26">G108*10.7639</f>
        <v>26683.7081</v>
      </c>
      <c r="I108" s="14"/>
      <c r="J108" s="33">
        <v>45022</v>
      </c>
      <c r="K108" s="27">
        <f t="shared" si="16"/>
        <v>0.60833333333333328</v>
      </c>
      <c r="L108" s="18">
        <v>60</v>
      </c>
      <c r="M108" s="20">
        <v>0.1</v>
      </c>
      <c r="N108" s="21">
        <f t="shared" ref="N108" si="27">(1-M108)/L108</f>
        <v>1.5000000000000001E-2</v>
      </c>
      <c r="O108" s="4">
        <v>1000</v>
      </c>
      <c r="P108" s="4">
        <f t="shared" ref="P108" si="28">O108*H108</f>
        <v>26683708.100000001</v>
      </c>
      <c r="Q108" s="3">
        <f t="shared" ref="Q108" si="29">P108*N108*IF(K108&gt;L108,L108,K108)</f>
        <v>243488.83641250001</v>
      </c>
      <c r="R108" s="8">
        <f t="shared" ref="R108" si="30">P108-Q108</f>
        <v>26440219.263587501</v>
      </c>
    </row>
    <row r="109" spans="2:18" ht="30">
      <c r="B109" s="18">
        <v>99</v>
      </c>
      <c r="C109" s="25" t="s">
        <v>128</v>
      </c>
      <c r="D109" s="19" t="s">
        <v>151</v>
      </c>
      <c r="E109" s="19" t="s">
        <v>150</v>
      </c>
      <c r="F109" s="19" t="s">
        <v>169</v>
      </c>
      <c r="G109" s="4">
        <v>444</v>
      </c>
      <c r="H109" s="4">
        <f t="shared" si="17"/>
        <v>4779.1715999999997</v>
      </c>
      <c r="I109" s="14"/>
      <c r="J109" s="33">
        <v>45022</v>
      </c>
      <c r="K109" s="27">
        <f t="shared" si="16"/>
        <v>0.60833333333333328</v>
      </c>
      <c r="L109" s="18">
        <v>60</v>
      </c>
      <c r="M109" s="20">
        <v>0.1</v>
      </c>
      <c r="N109" s="21">
        <f t="shared" si="18"/>
        <v>1.5000000000000001E-2</v>
      </c>
      <c r="O109" s="4">
        <v>1000</v>
      </c>
      <c r="P109" s="4">
        <f t="shared" si="2"/>
        <v>4779171.5999999996</v>
      </c>
      <c r="Q109" s="3">
        <f t="shared" si="19"/>
        <v>43609.940849999992</v>
      </c>
      <c r="R109" s="8">
        <f t="shared" si="20"/>
        <v>4735561.6591499997</v>
      </c>
    </row>
    <row r="110" spans="2:18">
      <c r="B110" s="18">
        <v>100</v>
      </c>
      <c r="C110" s="25" t="s">
        <v>129</v>
      </c>
      <c r="D110" s="19"/>
      <c r="E110" s="19" t="s">
        <v>150</v>
      </c>
      <c r="F110" s="19" t="s">
        <v>156</v>
      </c>
      <c r="G110" s="4">
        <v>548.70000000000005</v>
      </c>
      <c r="H110" s="4">
        <f t="shared" ref="H110" si="31">G110*10.7639</f>
        <v>5906.15193</v>
      </c>
      <c r="I110" s="14"/>
      <c r="J110" s="33">
        <v>45022</v>
      </c>
      <c r="K110" s="27">
        <f t="shared" si="16"/>
        <v>0.60833333333333328</v>
      </c>
      <c r="L110" s="18">
        <v>60</v>
      </c>
      <c r="M110" s="20">
        <v>0.1</v>
      </c>
      <c r="N110" s="21">
        <f t="shared" ref="N110" si="32">(1-M110)/L110</f>
        <v>1.5000000000000001E-2</v>
      </c>
      <c r="O110" s="4">
        <v>1000</v>
      </c>
      <c r="P110" s="4">
        <f t="shared" ref="P110" si="33">O110*H110</f>
        <v>5906151.9299999997</v>
      </c>
      <c r="Q110" s="3">
        <f t="shared" ref="Q110" si="34">P110*N110*IF(K110&gt;L110,L110,K110)</f>
        <v>53893.636361249999</v>
      </c>
      <c r="R110" s="8">
        <f t="shared" ref="R110" si="35">P110-Q110</f>
        <v>5852258.29363875</v>
      </c>
    </row>
    <row r="111" spans="2:18">
      <c r="B111" s="18">
        <v>101</v>
      </c>
      <c r="C111" s="25" t="s">
        <v>130</v>
      </c>
      <c r="D111" s="19"/>
      <c r="E111" s="19" t="s">
        <v>150</v>
      </c>
      <c r="F111" s="19" t="s">
        <v>156</v>
      </c>
      <c r="G111" s="4">
        <v>2880</v>
      </c>
      <c r="H111" s="4">
        <f t="shared" si="17"/>
        <v>31000.031999999999</v>
      </c>
      <c r="I111" s="14"/>
      <c r="J111" s="33">
        <v>45022</v>
      </c>
      <c r="K111" s="27">
        <f t="shared" si="16"/>
        <v>0.60833333333333328</v>
      </c>
      <c r="L111" s="18">
        <v>60</v>
      </c>
      <c r="M111" s="20">
        <v>0.1</v>
      </c>
      <c r="N111" s="21">
        <f t="shared" si="18"/>
        <v>1.5000000000000001E-2</v>
      </c>
      <c r="O111" s="4">
        <v>1000</v>
      </c>
      <c r="P111" s="4">
        <f t="shared" si="2"/>
        <v>31000032</v>
      </c>
      <c r="Q111" s="3">
        <f t="shared" si="19"/>
        <v>282875.29200000002</v>
      </c>
      <c r="R111" s="8">
        <f t="shared" si="20"/>
        <v>30717156.708000001</v>
      </c>
    </row>
    <row r="112" spans="2:18">
      <c r="B112" s="18">
        <v>102</v>
      </c>
      <c r="C112" s="25" t="s">
        <v>131</v>
      </c>
      <c r="D112" s="19" t="s">
        <v>150</v>
      </c>
      <c r="E112" s="19" t="s">
        <v>150</v>
      </c>
      <c r="F112" s="19" t="s">
        <v>156</v>
      </c>
      <c r="G112" s="4">
        <v>65</v>
      </c>
      <c r="H112" s="4">
        <f t="shared" si="17"/>
        <v>699.65350000000001</v>
      </c>
      <c r="I112" s="14"/>
      <c r="J112" s="33">
        <v>45022</v>
      </c>
      <c r="K112" s="27">
        <f t="shared" si="16"/>
        <v>0.60833333333333328</v>
      </c>
      <c r="L112" s="18">
        <v>60</v>
      </c>
      <c r="M112" s="20">
        <v>0.1</v>
      </c>
      <c r="N112" s="21">
        <f t="shared" si="18"/>
        <v>1.5000000000000001E-2</v>
      </c>
      <c r="O112" s="4">
        <v>1000</v>
      </c>
      <c r="P112" s="4">
        <f t="shared" si="2"/>
        <v>699653.5</v>
      </c>
      <c r="Q112" s="3">
        <f t="shared" si="19"/>
        <v>6384.3381875000005</v>
      </c>
      <c r="R112" s="8">
        <f t="shared" si="20"/>
        <v>693269.16181249998</v>
      </c>
    </row>
    <row r="113" spans="2:18">
      <c r="B113" s="18">
        <v>103</v>
      </c>
      <c r="C113" s="25" t="s">
        <v>132</v>
      </c>
      <c r="D113" s="19"/>
      <c r="E113" s="19" t="s">
        <v>150</v>
      </c>
      <c r="F113" s="19" t="s">
        <v>156</v>
      </c>
      <c r="G113" s="4">
        <v>96</v>
      </c>
      <c r="H113" s="4">
        <f t="shared" si="17"/>
        <v>1033.3344</v>
      </c>
      <c r="I113" s="14"/>
      <c r="J113" s="33">
        <v>45022</v>
      </c>
      <c r="K113" s="27">
        <f t="shared" si="16"/>
        <v>0.60833333333333328</v>
      </c>
      <c r="L113" s="18">
        <v>60</v>
      </c>
      <c r="M113" s="20">
        <v>0.1</v>
      </c>
      <c r="N113" s="21">
        <f t="shared" si="18"/>
        <v>1.5000000000000001E-2</v>
      </c>
      <c r="O113" s="4">
        <v>1000</v>
      </c>
      <c r="P113" s="4">
        <f t="shared" si="2"/>
        <v>1033334.3999999999</v>
      </c>
      <c r="Q113" s="3">
        <f t="shared" si="19"/>
        <v>9429.1763999999985</v>
      </c>
      <c r="R113" s="8">
        <f t="shared" si="20"/>
        <v>1023905.2235999999</v>
      </c>
    </row>
    <row r="114" spans="2:18" ht="30">
      <c r="B114" s="18">
        <v>104</v>
      </c>
      <c r="C114" s="25" t="s">
        <v>133</v>
      </c>
      <c r="D114" s="19" t="s">
        <v>151</v>
      </c>
      <c r="E114" s="19" t="s">
        <v>150</v>
      </c>
      <c r="F114" s="19" t="s">
        <v>156</v>
      </c>
      <c r="G114" s="4">
        <v>900</v>
      </c>
      <c r="H114" s="4">
        <f t="shared" si="17"/>
        <v>9687.51</v>
      </c>
      <c r="I114" s="14"/>
      <c r="J114" s="33">
        <v>45022</v>
      </c>
      <c r="K114" s="27">
        <f t="shared" si="16"/>
        <v>0.60833333333333328</v>
      </c>
      <c r="L114" s="18">
        <v>60</v>
      </c>
      <c r="M114" s="20">
        <v>0.1</v>
      </c>
      <c r="N114" s="21">
        <f t="shared" si="18"/>
        <v>1.5000000000000001E-2</v>
      </c>
      <c r="O114" s="4">
        <v>1000</v>
      </c>
      <c r="P114" s="4">
        <f t="shared" si="2"/>
        <v>9687510</v>
      </c>
      <c r="Q114" s="3">
        <f t="shared" si="19"/>
        <v>88398.528750000012</v>
      </c>
      <c r="R114" s="8">
        <f t="shared" si="20"/>
        <v>9599111.4712499995</v>
      </c>
    </row>
    <row r="115" spans="2:18" ht="30">
      <c r="B115" s="18">
        <v>105</v>
      </c>
      <c r="C115" s="25" t="s">
        <v>134</v>
      </c>
      <c r="D115" s="19" t="s">
        <v>151</v>
      </c>
      <c r="E115" s="19" t="s">
        <v>150</v>
      </c>
      <c r="F115" s="19" t="s">
        <v>156</v>
      </c>
      <c r="G115" s="4">
        <v>1200</v>
      </c>
      <c r="H115" s="4">
        <f t="shared" ref="H115" si="36">G115*10.7639</f>
        <v>12916.68</v>
      </c>
      <c r="I115" s="14"/>
      <c r="J115" s="33">
        <v>45022</v>
      </c>
      <c r="K115" s="27">
        <f t="shared" si="16"/>
        <v>0.60833333333333328</v>
      </c>
      <c r="L115" s="18">
        <v>60</v>
      </c>
      <c r="M115" s="20">
        <v>0.1</v>
      </c>
      <c r="N115" s="21">
        <f t="shared" ref="N115" si="37">(1-M115)/L115</f>
        <v>1.5000000000000001E-2</v>
      </c>
      <c r="O115" s="4">
        <v>1000</v>
      </c>
      <c r="P115" s="4">
        <f t="shared" ref="P115" si="38">O115*H115</f>
        <v>12916680</v>
      </c>
      <c r="Q115" s="3">
        <f t="shared" ref="Q115" si="39">P115*N115*IF(K115&gt;L115,L115,K115)</f>
        <v>117864.705</v>
      </c>
      <c r="R115" s="8">
        <f t="shared" ref="R115" si="40">P115-Q115</f>
        <v>12798815.295</v>
      </c>
    </row>
    <row r="116" spans="2:18" ht="30">
      <c r="B116" s="18">
        <v>106</v>
      </c>
      <c r="C116" s="25" t="s">
        <v>135</v>
      </c>
      <c r="D116" s="19" t="s">
        <v>151</v>
      </c>
      <c r="E116" s="19" t="s">
        <v>150</v>
      </c>
      <c r="F116" s="19" t="s">
        <v>156</v>
      </c>
      <c r="G116" s="4">
        <v>4000</v>
      </c>
      <c r="H116" s="4">
        <f t="shared" ref="H116:H118" si="41">G116*10.7639</f>
        <v>43055.6</v>
      </c>
      <c r="I116" s="14"/>
      <c r="J116" s="33">
        <v>45022</v>
      </c>
      <c r="K116" s="27">
        <f t="shared" si="16"/>
        <v>0.60833333333333328</v>
      </c>
      <c r="L116" s="18">
        <v>60</v>
      </c>
      <c r="M116" s="20">
        <v>0.1</v>
      </c>
      <c r="N116" s="21">
        <f t="shared" ref="N116:N118" si="42">(1-M116)/L116</f>
        <v>1.5000000000000001E-2</v>
      </c>
      <c r="O116" s="4">
        <v>1000</v>
      </c>
      <c r="P116" s="4">
        <f t="shared" ref="P116:P118" si="43">O116*H116</f>
        <v>43055600</v>
      </c>
      <c r="Q116" s="3">
        <f t="shared" ref="Q116:Q118" si="44">P116*N116*IF(K116&gt;L116,L116,K116)</f>
        <v>392882.35</v>
      </c>
      <c r="R116" s="8">
        <f t="shared" ref="R116:R118" si="45">P116-Q116</f>
        <v>42662717.649999999</v>
      </c>
    </row>
    <row r="117" spans="2:18" ht="60">
      <c r="B117" s="18">
        <v>107</v>
      </c>
      <c r="C117" s="22" t="s">
        <v>136</v>
      </c>
      <c r="D117" s="19" t="s">
        <v>150</v>
      </c>
      <c r="E117" s="19" t="s">
        <v>150</v>
      </c>
      <c r="F117" s="19" t="s">
        <v>172</v>
      </c>
      <c r="G117" s="4">
        <v>31970.16</v>
      </c>
      <c r="H117" s="4">
        <f t="shared" ref="H117" si="46">G117*10.7639</f>
        <v>344123.605224</v>
      </c>
      <c r="I117" s="14"/>
      <c r="J117" s="33">
        <v>45022</v>
      </c>
      <c r="K117" s="27">
        <f t="shared" si="16"/>
        <v>0.60833333333333328</v>
      </c>
      <c r="L117" s="18">
        <v>60</v>
      </c>
      <c r="M117" s="20">
        <v>0.1</v>
      </c>
      <c r="N117" s="21">
        <f t="shared" ref="N117" si="47">(1-M117)/L117</f>
        <v>1.5000000000000001E-2</v>
      </c>
      <c r="O117" s="4">
        <v>1800</v>
      </c>
      <c r="P117" s="4">
        <f t="shared" ref="P117" si="48">O117*H117</f>
        <v>619422489.40320003</v>
      </c>
      <c r="Q117" s="3">
        <f t="shared" ref="Q117" si="49">P117*N117*IF(K117&gt;L117,L117,K117)</f>
        <v>5652230.2158041997</v>
      </c>
      <c r="R117" s="8">
        <f t="shared" ref="R117" si="50">P117-Q117</f>
        <v>613770259.18739581</v>
      </c>
    </row>
    <row r="118" spans="2:18" ht="30">
      <c r="B118" s="18">
        <v>108</v>
      </c>
      <c r="C118" s="25" t="s">
        <v>137</v>
      </c>
      <c r="D118" s="19" t="s">
        <v>151</v>
      </c>
      <c r="E118" s="19" t="s">
        <v>150</v>
      </c>
      <c r="F118" s="19" t="s">
        <v>156</v>
      </c>
      <c r="G118" s="4">
        <v>195</v>
      </c>
      <c r="H118" s="4">
        <f t="shared" si="41"/>
        <v>2098.9605000000001</v>
      </c>
      <c r="I118" s="14"/>
      <c r="J118" s="33">
        <v>45022</v>
      </c>
      <c r="K118" s="27">
        <f t="shared" si="16"/>
        <v>0.60833333333333328</v>
      </c>
      <c r="L118" s="18">
        <v>60</v>
      </c>
      <c r="M118" s="20">
        <v>0.1</v>
      </c>
      <c r="N118" s="21">
        <f t="shared" si="42"/>
        <v>1.5000000000000001E-2</v>
      </c>
      <c r="O118" s="4">
        <v>1000</v>
      </c>
      <c r="P118" s="4">
        <f t="shared" si="43"/>
        <v>2098960.5</v>
      </c>
      <c r="Q118" s="3">
        <f t="shared" si="44"/>
        <v>19153.0145625</v>
      </c>
      <c r="R118" s="8">
        <f t="shared" si="45"/>
        <v>2079807.4854375001</v>
      </c>
    </row>
    <row r="119" spans="2:18" ht="30">
      <c r="B119" s="18">
        <v>109</v>
      </c>
      <c r="C119" s="25" t="s">
        <v>138</v>
      </c>
      <c r="D119" s="19" t="s">
        <v>151</v>
      </c>
      <c r="E119" s="19" t="s">
        <v>150</v>
      </c>
      <c r="F119" s="19" t="s">
        <v>156</v>
      </c>
      <c r="G119" s="4">
        <v>450</v>
      </c>
      <c r="H119" s="4">
        <f t="shared" si="17"/>
        <v>4843.7550000000001</v>
      </c>
      <c r="I119" s="6"/>
      <c r="J119" s="33">
        <v>45022</v>
      </c>
      <c r="K119" s="27">
        <f t="shared" si="16"/>
        <v>0.60833333333333328</v>
      </c>
      <c r="L119" s="18">
        <v>60</v>
      </c>
      <c r="M119" s="20">
        <v>0.1</v>
      </c>
      <c r="N119" s="21">
        <f t="shared" si="18"/>
        <v>1.5000000000000001E-2</v>
      </c>
      <c r="O119" s="4">
        <v>1000</v>
      </c>
      <c r="P119" s="4">
        <f t="shared" si="2"/>
        <v>4843755</v>
      </c>
      <c r="Q119" s="3">
        <f t="shared" si="19"/>
        <v>44199.264375000006</v>
      </c>
      <c r="R119" s="8">
        <f t="shared" si="20"/>
        <v>4799555.7356249997</v>
      </c>
    </row>
    <row r="120" spans="2:18">
      <c r="B120" s="18">
        <v>110</v>
      </c>
      <c r="C120" s="25" t="s">
        <v>139</v>
      </c>
      <c r="D120" s="19"/>
      <c r="E120" s="19"/>
      <c r="F120" s="19" t="s">
        <v>164</v>
      </c>
      <c r="G120" s="4">
        <v>33.6</v>
      </c>
      <c r="H120" s="4">
        <f t="shared" si="17"/>
        <v>361.66703999999999</v>
      </c>
      <c r="I120" s="6"/>
      <c r="J120" s="33">
        <v>45022</v>
      </c>
      <c r="K120" s="27">
        <f t="shared" si="16"/>
        <v>0.60833333333333328</v>
      </c>
      <c r="L120" s="18">
        <v>40</v>
      </c>
      <c r="M120" s="20">
        <v>0.1</v>
      </c>
      <c r="N120" s="21">
        <f t="shared" si="18"/>
        <v>2.2499999999999999E-2</v>
      </c>
      <c r="O120" s="4">
        <v>800</v>
      </c>
      <c r="P120" s="4">
        <f t="shared" si="2"/>
        <v>289333.63199999998</v>
      </c>
      <c r="Q120" s="3">
        <f t="shared" si="19"/>
        <v>3960.2540879999992</v>
      </c>
      <c r="R120" s="8">
        <f t="shared" si="20"/>
        <v>285373.377912</v>
      </c>
    </row>
    <row r="121" spans="2:18" ht="30">
      <c r="B121" s="18">
        <v>111</v>
      </c>
      <c r="C121" s="25" t="s">
        <v>140</v>
      </c>
      <c r="D121" s="19" t="s">
        <v>151</v>
      </c>
      <c r="E121" s="19" t="s">
        <v>150</v>
      </c>
      <c r="F121" s="19" t="s">
        <v>156</v>
      </c>
      <c r="G121" s="4">
        <v>465</v>
      </c>
      <c r="H121" s="4">
        <f t="shared" si="17"/>
        <v>5005.2134999999998</v>
      </c>
      <c r="I121" s="6"/>
      <c r="J121" s="33">
        <v>45022</v>
      </c>
      <c r="K121" s="27">
        <f t="shared" si="16"/>
        <v>0.60833333333333328</v>
      </c>
      <c r="L121" s="18">
        <v>40</v>
      </c>
      <c r="M121" s="20">
        <v>0.1</v>
      </c>
      <c r="N121" s="21">
        <f t="shared" si="18"/>
        <v>2.2499999999999999E-2</v>
      </c>
      <c r="O121" s="4">
        <v>800</v>
      </c>
      <c r="P121" s="4">
        <f t="shared" si="2"/>
        <v>4004170.8</v>
      </c>
      <c r="Q121" s="3">
        <f t="shared" si="19"/>
        <v>54807.087824999988</v>
      </c>
      <c r="R121" s="8">
        <f t="shared" si="20"/>
        <v>3949363.712175</v>
      </c>
    </row>
    <row r="122" spans="2:18" ht="30">
      <c r="B122" s="18">
        <v>112</v>
      </c>
      <c r="C122" s="25" t="s">
        <v>141</v>
      </c>
      <c r="D122" s="19" t="s">
        <v>151</v>
      </c>
      <c r="E122" s="19"/>
      <c r="F122" s="19" t="s">
        <v>164</v>
      </c>
      <c r="G122" s="4">
        <v>3036</v>
      </c>
      <c r="H122" s="4">
        <f t="shared" si="17"/>
        <v>32679.200399999998</v>
      </c>
      <c r="I122" s="6"/>
      <c r="J122" s="33">
        <v>45022</v>
      </c>
      <c r="K122" s="27">
        <f t="shared" si="16"/>
        <v>0.60833333333333328</v>
      </c>
      <c r="L122" s="18">
        <v>40</v>
      </c>
      <c r="M122" s="20">
        <v>0.1</v>
      </c>
      <c r="N122" s="21">
        <f t="shared" si="18"/>
        <v>2.2499999999999999E-2</v>
      </c>
      <c r="O122" s="4">
        <v>800</v>
      </c>
      <c r="P122" s="4">
        <f t="shared" si="2"/>
        <v>26143360.319999997</v>
      </c>
      <c r="Q122" s="3">
        <f t="shared" si="19"/>
        <v>357837.24437999987</v>
      </c>
      <c r="R122" s="8">
        <f t="shared" si="20"/>
        <v>25785523.075619996</v>
      </c>
    </row>
    <row r="123" spans="2:18" ht="30">
      <c r="B123" s="18">
        <v>113</v>
      </c>
      <c r="C123" s="25" t="s">
        <v>142</v>
      </c>
      <c r="D123" s="19" t="s">
        <v>151</v>
      </c>
      <c r="E123" s="19"/>
      <c r="F123" s="19" t="s">
        <v>164</v>
      </c>
      <c r="G123" s="4">
        <v>4250</v>
      </c>
      <c r="H123" s="4">
        <f t="shared" si="17"/>
        <v>45746.574999999997</v>
      </c>
      <c r="I123" s="6"/>
      <c r="J123" s="33">
        <v>45022</v>
      </c>
      <c r="K123" s="27">
        <f t="shared" si="16"/>
        <v>0.60833333333333328</v>
      </c>
      <c r="L123" s="18">
        <v>40</v>
      </c>
      <c r="M123" s="20">
        <v>0.1</v>
      </c>
      <c r="N123" s="21">
        <f t="shared" si="18"/>
        <v>2.2499999999999999E-2</v>
      </c>
      <c r="O123" s="4">
        <v>800</v>
      </c>
      <c r="P123" s="4">
        <f t="shared" si="2"/>
        <v>36597260</v>
      </c>
      <c r="Q123" s="3">
        <f t="shared" si="19"/>
        <v>500924.99624999997</v>
      </c>
      <c r="R123" s="8">
        <f t="shared" si="20"/>
        <v>36096335.003749996</v>
      </c>
    </row>
    <row r="124" spans="2:18" ht="30">
      <c r="B124" s="18">
        <v>114</v>
      </c>
      <c r="C124" s="25" t="s">
        <v>143</v>
      </c>
      <c r="D124" s="19" t="s">
        <v>151</v>
      </c>
      <c r="E124" s="19"/>
      <c r="F124" s="19" t="s">
        <v>164</v>
      </c>
      <c r="G124" s="4">
        <v>2320</v>
      </c>
      <c r="H124" s="4">
        <f t="shared" si="17"/>
        <v>24972.248</v>
      </c>
      <c r="I124" s="6"/>
      <c r="J124" s="33">
        <v>45022</v>
      </c>
      <c r="K124" s="27">
        <f t="shared" si="16"/>
        <v>0.60833333333333328</v>
      </c>
      <c r="L124" s="18">
        <v>40</v>
      </c>
      <c r="M124" s="20">
        <v>0.1</v>
      </c>
      <c r="N124" s="21">
        <f t="shared" ref="N124" si="51">(1-M124)/L124</f>
        <v>2.2499999999999999E-2</v>
      </c>
      <c r="O124" s="4">
        <v>800</v>
      </c>
      <c r="P124" s="4">
        <f t="shared" ref="P124" si="52">O124*H124</f>
        <v>19977798.399999999</v>
      </c>
      <c r="Q124" s="3">
        <f t="shared" ref="Q124" si="53">P124*N124*IF(K124&gt;L124,L124,K124)</f>
        <v>273446.11559999996</v>
      </c>
      <c r="R124" s="8">
        <f t="shared" ref="R124" si="54">P124-Q124</f>
        <v>19704352.284399997</v>
      </c>
    </row>
    <row r="125" spans="2:18" ht="30">
      <c r="B125" s="18">
        <v>115</v>
      </c>
      <c r="C125" s="25" t="s">
        <v>144</v>
      </c>
      <c r="D125" s="19" t="s">
        <v>151</v>
      </c>
      <c r="E125" s="19"/>
      <c r="F125" s="19" t="s">
        <v>164</v>
      </c>
      <c r="G125" s="4">
        <v>337.5</v>
      </c>
      <c r="H125" s="4">
        <f t="shared" ref="H125" si="55">G125*10.7639</f>
        <v>3632.8162499999999</v>
      </c>
      <c r="I125" s="6"/>
      <c r="J125" s="33">
        <v>45022</v>
      </c>
      <c r="K125" s="27">
        <f t="shared" si="16"/>
        <v>0.60833333333333328</v>
      </c>
      <c r="L125" s="18">
        <v>40</v>
      </c>
      <c r="M125" s="20">
        <v>0.1</v>
      </c>
      <c r="N125" s="21">
        <f t="shared" ref="N125" si="56">(1-M125)/L125</f>
        <v>2.2499999999999999E-2</v>
      </c>
      <c r="O125" s="4">
        <v>800</v>
      </c>
      <c r="P125" s="4">
        <f t="shared" ref="P125" si="57">O125*H125</f>
        <v>2906253</v>
      </c>
      <c r="Q125" s="3">
        <f t="shared" ref="Q125" si="58">P125*N125*IF(K125&gt;L125,L125,K125)</f>
        <v>39779.337937499993</v>
      </c>
      <c r="R125" s="8">
        <f t="shared" ref="R125" si="59">P125-Q125</f>
        <v>2866473.6620625001</v>
      </c>
    </row>
    <row r="126" spans="2:18">
      <c r="B126" s="18">
        <v>116</v>
      </c>
      <c r="C126" s="25" t="s">
        <v>145</v>
      </c>
      <c r="D126" s="19" t="s">
        <v>150</v>
      </c>
      <c r="E126" s="19" t="s">
        <v>150</v>
      </c>
      <c r="F126" s="19" t="s">
        <v>162</v>
      </c>
      <c r="G126" s="4">
        <v>212.17000000000002</v>
      </c>
      <c r="H126" s="4">
        <f t="shared" si="17"/>
        <v>2283.7766630000001</v>
      </c>
      <c r="I126" s="6"/>
      <c r="J126" s="33">
        <v>45022</v>
      </c>
      <c r="K126" s="27">
        <f t="shared" si="16"/>
        <v>0.60833333333333328</v>
      </c>
      <c r="L126" s="18">
        <v>60</v>
      </c>
      <c r="M126" s="20">
        <v>0.1</v>
      </c>
      <c r="N126" s="21">
        <f t="shared" si="18"/>
        <v>1.5000000000000001E-2</v>
      </c>
      <c r="O126" s="4">
        <v>1000</v>
      </c>
      <c r="P126" s="4">
        <f t="shared" si="2"/>
        <v>2283776.6630000002</v>
      </c>
      <c r="Q126" s="3">
        <f t="shared" si="19"/>
        <v>20839.462049875001</v>
      </c>
      <c r="R126" s="8">
        <f t="shared" si="20"/>
        <v>2262937.2009501252</v>
      </c>
    </row>
    <row r="127" spans="2:18" ht="30">
      <c r="B127" s="18">
        <v>118</v>
      </c>
      <c r="C127" s="25" t="s">
        <v>147</v>
      </c>
      <c r="D127" s="19" t="s">
        <v>158</v>
      </c>
      <c r="E127" s="19" t="s">
        <v>150</v>
      </c>
      <c r="F127" s="19" t="s">
        <v>162</v>
      </c>
      <c r="G127" s="30">
        <v>229.99999999999997</v>
      </c>
      <c r="H127" s="4">
        <f t="shared" si="17"/>
        <v>2475.6969999999997</v>
      </c>
      <c r="I127" s="6"/>
      <c r="J127" s="33">
        <v>45022</v>
      </c>
      <c r="K127" s="27">
        <f t="shared" si="16"/>
        <v>0.60833333333333328</v>
      </c>
      <c r="L127" s="18">
        <v>60</v>
      </c>
      <c r="M127" s="20">
        <v>0.1</v>
      </c>
      <c r="N127" s="21">
        <f t="shared" ref="N127" si="60">(1-M127)/L127</f>
        <v>1.5000000000000001E-2</v>
      </c>
      <c r="O127" s="4">
        <v>1000</v>
      </c>
      <c r="P127" s="4">
        <f t="shared" ref="P127:P128" si="61">O127*H127</f>
        <v>2475696.9999999995</v>
      </c>
      <c r="Q127" s="3">
        <f t="shared" ref="Q127" si="62">P127*N127*IF(K127&gt;L127,L127,K127)</f>
        <v>22590.735124999996</v>
      </c>
      <c r="R127" s="8">
        <f t="shared" ref="R127" si="63">P127-Q127</f>
        <v>2453106.2648749994</v>
      </c>
    </row>
    <row r="128" spans="2:18" ht="45">
      <c r="B128" s="18">
        <v>117</v>
      </c>
      <c r="C128" s="25" t="s">
        <v>146</v>
      </c>
      <c r="D128" s="19"/>
      <c r="E128" s="19" t="s">
        <v>176</v>
      </c>
      <c r="F128" s="19" t="s">
        <v>164</v>
      </c>
      <c r="G128" s="30">
        <v>663684.4</v>
      </c>
      <c r="H128" s="4">
        <f t="shared" si="17"/>
        <v>7143832.5131599996</v>
      </c>
      <c r="I128" s="6"/>
      <c r="J128" s="33">
        <v>45022</v>
      </c>
      <c r="K128" s="27"/>
      <c r="L128" s="18"/>
      <c r="M128" s="20"/>
      <c r="N128" s="21"/>
      <c r="O128" s="4">
        <v>10</v>
      </c>
      <c r="P128" s="4">
        <f t="shared" si="61"/>
        <v>71438325.131599993</v>
      </c>
      <c r="Q128" s="3"/>
      <c r="R128" s="8"/>
    </row>
    <row r="129" spans="2:20">
      <c r="B129" s="18">
        <v>119</v>
      </c>
      <c r="C129" s="25" t="s">
        <v>148</v>
      </c>
      <c r="D129" s="19"/>
      <c r="E129" s="19"/>
      <c r="F129" s="19" t="s">
        <v>164</v>
      </c>
      <c r="G129" s="30">
        <v>121406</v>
      </c>
      <c r="H129" s="4">
        <f t="shared" si="17"/>
        <v>1306802.0433999998</v>
      </c>
      <c r="I129" s="6"/>
      <c r="J129" s="33">
        <v>45022</v>
      </c>
      <c r="K129" s="27"/>
      <c r="L129" s="18"/>
      <c r="M129" s="20"/>
      <c r="N129" s="21"/>
      <c r="O129" s="4"/>
      <c r="P129" s="4"/>
      <c r="Q129" s="3"/>
      <c r="R129" s="8"/>
    </row>
    <row r="130" spans="2:20" ht="45">
      <c r="B130" s="18">
        <v>120</v>
      </c>
      <c r="C130" s="25" t="s">
        <v>180</v>
      </c>
      <c r="D130" s="19"/>
      <c r="E130" s="19"/>
      <c r="F130" s="19" t="s">
        <v>164</v>
      </c>
      <c r="G130" s="30" t="s">
        <v>181</v>
      </c>
      <c r="H130" s="4"/>
      <c r="I130" s="6"/>
      <c r="J130" s="33">
        <v>43922</v>
      </c>
      <c r="K130" s="27"/>
      <c r="L130" s="18"/>
      <c r="M130" s="20"/>
      <c r="N130" s="21"/>
      <c r="O130" s="4">
        <v>7000</v>
      </c>
      <c r="P130" s="4">
        <f>12000*3500</f>
        <v>42000000</v>
      </c>
      <c r="Q130" s="3"/>
      <c r="R130" s="8">
        <f>12000*3300</f>
        <v>39600000</v>
      </c>
      <c r="T130" s="17">
        <f>200/3500</f>
        <v>5.7142857142857141E-2</v>
      </c>
    </row>
    <row r="131" spans="2:20">
      <c r="B131" s="18">
        <v>121</v>
      </c>
      <c r="C131" s="25" t="s">
        <v>182</v>
      </c>
      <c r="D131" s="19"/>
      <c r="E131" s="19"/>
      <c r="F131" s="19" t="s">
        <v>164</v>
      </c>
      <c r="G131" s="30" t="s">
        <v>185</v>
      </c>
      <c r="H131" s="4"/>
      <c r="I131" s="6"/>
      <c r="J131" s="18"/>
      <c r="K131" s="27"/>
      <c r="L131" s="18"/>
      <c r="M131" s="20"/>
      <c r="N131" s="21"/>
      <c r="O131" s="4"/>
      <c r="P131" s="4"/>
      <c r="Q131" s="3"/>
      <c r="R131" s="8"/>
    </row>
    <row r="132" spans="2:20">
      <c r="B132" s="18">
        <v>122</v>
      </c>
      <c r="C132" s="25" t="s">
        <v>183</v>
      </c>
      <c r="D132" s="19"/>
      <c r="E132" s="19"/>
      <c r="F132" s="19" t="s">
        <v>164</v>
      </c>
      <c r="G132" s="30" t="s">
        <v>184</v>
      </c>
      <c r="H132" s="4"/>
      <c r="I132" s="6"/>
      <c r="J132" s="18"/>
      <c r="K132" s="27"/>
      <c r="L132" s="18"/>
      <c r="M132" s="20"/>
      <c r="N132" s="21"/>
      <c r="O132" s="4">
        <v>150</v>
      </c>
      <c r="P132" s="4"/>
      <c r="Q132" s="3"/>
      <c r="R132" s="8"/>
    </row>
    <row r="133" spans="2:20">
      <c r="B133" s="164" t="s">
        <v>12</v>
      </c>
      <c r="C133" s="164"/>
      <c r="D133" s="164"/>
      <c r="E133" s="15"/>
      <c r="F133" s="15"/>
      <c r="G133" s="7">
        <f>SUM(G4:G129)</f>
        <v>1284104.8665</v>
      </c>
      <c r="H133" s="7">
        <f>SUM(H4:H129)</f>
        <v>13821976.372519348</v>
      </c>
      <c r="I133" s="7"/>
      <c r="J133" s="7"/>
      <c r="K133" s="28"/>
      <c r="L133" s="7"/>
      <c r="M133" s="7"/>
      <c r="N133" s="7"/>
      <c r="O133" s="7"/>
      <c r="P133" s="7">
        <f>SUM(P4:P132)</f>
        <v>4386877289.4570761</v>
      </c>
      <c r="Q133" s="7"/>
      <c r="R133" s="7">
        <f>SUM(R4:R132)</f>
        <v>4260306102.9434519</v>
      </c>
      <c r="T133" s="17">
        <f>P133/R133</f>
        <v>1.0297094113557184</v>
      </c>
    </row>
    <row r="134" spans="2:20">
      <c r="B134" s="161" t="s">
        <v>21</v>
      </c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3"/>
      <c r="S134" s="16"/>
    </row>
    <row r="135" spans="2:20">
      <c r="B135" s="161" t="s">
        <v>22</v>
      </c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3"/>
      <c r="S135" s="16"/>
    </row>
    <row r="136" spans="2:20">
      <c r="B136" s="161" t="s">
        <v>23</v>
      </c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3"/>
      <c r="S136" s="16"/>
    </row>
    <row r="137" spans="2:20">
      <c r="B137" s="161" t="s">
        <v>24</v>
      </c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3"/>
      <c r="S137" s="16"/>
    </row>
    <row r="138" spans="2:20">
      <c r="R138" s="1">
        <v>20000000</v>
      </c>
    </row>
    <row r="139" spans="2:20">
      <c r="R139" s="13">
        <f>SUM(R133:R138)</f>
        <v>4280306102.9434519</v>
      </c>
    </row>
    <row r="140" spans="2:20">
      <c r="R140" s="1">
        <v>494400000</v>
      </c>
    </row>
    <row r="141" spans="2:20">
      <c r="G141" s="9">
        <f>SUM(G133:G140)</f>
        <v>1284104.8665</v>
      </c>
      <c r="R141" s="1">
        <f>R140*0.85</f>
        <v>420240000</v>
      </c>
    </row>
    <row r="142" spans="2:20">
      <c r="R142" s="1">
        <f>R140*0.75</f>
        <v>370800000</v>
      </c>
    </row>
    <row r="143" spans="2:20">
      <c r="G143" s="1">
        <v>40898.11</v>
      </c>
    </row>
    <row r="144" spans="2:20">
      <c r="P144" s="1">
        <f>P133*0.7</f>
        <v>3070814102.6199532</v>
      </c>
    </row>
    <row r="145" spans="7:7">
      <c r="G145" s="1">
        <v>700</v>
      </c>
    </row>
    <row r="146" spans="7:7">
      <c r="G146" s="1">
        <v>20.25</v>
      </c>
    </row>
    <row r="147" spans="7:7">
      <c r="G147" s="1">
        <v>13.34</v>
      </c>
    </row>
    <row r="148" spans="7:7">
      <c r="G148" s="1">
        <v>18</v>
      </c>
    </row>
    <row r="149" spans="7:7">
      <c r="G149" s="1">
        <f>SUM(G145:G148)</f>
        <v>751.59</v>
      </c>
    </row>
    <row r="151" spans="7:7">
      <c r="G151" s="1">
        <f>G143-G149</f>
        <v>40146.520000000004</v>
      </c>
    </row>
    <row r="153" spans="7:7">
      <c r="G153" s="1">
        <f>G151-G141</f>
        <v>-1243958.3465</v>
      </c>
    </row>
  </sheetData>
  <autoFilter ref="B3:R149" xr:uid="{00000000-0001-0000-0000-000000000000}"/>
  <mergeCells count="5">
    <mergeCell ref="B134:R134"/>
    <mergeCell ref="B135:R135"/>
    <mergeCell ref="B136:R136"/>
    <mergeCell ref="B137:R137"/>
    <mergeCell ref="B133:D13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N37"/>
  <sheetViews>
    <sheetView workbookViewId="0">
      <selection activeCell="I11" sqref="I11"/>
    </sheetView>
  </sheetViews>
  <sheetFormatPr defaultRowHeight="15"/>
  <cols>
    <col min="6" max="6" width="14.28515625" bestFit="1" customWidth="1"/>
    <col min="7" max="8" width="15.28515625" bestFit="1" customWidth="1"/>
    <col min="9" max="9" width="13.28515625" bestFit="1" customWidth="1"/>
    <col min="10" max="10" width="12.5703125" customWidth="1"/>
    <col min="12" max="13" width="12.5703125" bestFit="1" customWidth="1"/>
    <col min="14" max="14" width="10" bestFit="1" customWidth="1"/>
  </cols>
  <sheetData>
    <row r="2" spans="4:14">
      <c r="D2">
        <v>38.86</v>
      </c>
    </row>
    <row r="3" spans="4:14">
      <c r="D3">
        <v>1.1200000000000001</v>
      </c>
    </row>
    <row r="4" spans="4:14">
      <c r="D4">
        <v>0.69</v>
      </c>
    </row>
    <row r="5" spans="4:14">
      <c r="D5">
        <v>1</v>
      </c>
    </row>
    <row r="6" spans="4:14">
      <c r="D6" s="10">
        <f>SUM(D2:D5)</f>
        <v>41.669999999999995</v>
      </c>
      <c r="K6" t="s">
        <v>340</v>
      </c>
      <c r="L6">
        <v>100.1</v>
      </c>
    </row>
    <row r="7" spans="4:14">
      <c r="K7" t="s">
        <v>341</v>
      </c>
      <c r="L7">
        <v>100.2</v>
      </c>
    </row>
    <row r="8" spans="4:14">
      <c r="D8">
        <v>3.97</v>
      </c>
      <c r="G8" t="s">
        <v>276</v>
      </c>
      <c r="H8" s="62">
        <v>261437682</v>
      </c>
      <c r="K8" t="s">
        <v>342</v>
      </c>
      <c r="L8">
        <v>100</v>
      </c>
    </row>
    <row r="9" spans="4:14">
      <c r="D9">
        <v>0.62</v>
      </c>
      <c r="G9" t="s">
        <v>277</v>
      </c>
      <c r="H9" s="11">
        <v>56706059</v>
      </c>
      <c r="K9" t="s">
        <v>343</v>
      </c>
      <c r="L9">
        <v>99.7</v>
      </c>
    </row>
    <row r="10" spans="4:14">
      <c r="D10">
        <v>0.48</v>
      </c>
      <c r="G10" t="s">
        <v>278</v>
      </c>
      <c r="H10" s="11">
        <v>591442624</v>
      </c>
      <c r="K10" t="s">
        <v>344</v>
      </c>
      <c r="L10">
        <v>100.1</v>
      </c>
    </row>
    <row r="11" spans="4:14">
      <c r="D11">
        <v>0.28000000000000003</v>
      </c>
      <c r="H11" s="64">
        <f>SUM(H8:H10)</f>
        <v>909586365</v>
      </c>
      <c r="K11" t="s">
        <v>345</v>
      </c>
      <c r="L11">
        <v>100</v>
      </c>
    </row>
    <row r="12" spans="4:14">
      <c r="D12">
        <v>8.5299999999999994</v>
      </c>
      <c r="K12" t="s">
        <v>346</v>
      </c>
      <c r="L12">
        <v>99.8</v>
      </c>
      <c r="M12" s="82">
        <f>1-N12</f>
        <v>2.9970029970030065E-3</v>
      </c>
      <c r="N12">
        <f>L12/L6</f>
        <v>0.99700299700299699</v>
      </c>
    </row>
    <row r="13" spans="4:14">
      <c r="D13">
        <v>0.35</v>
      </c>
      <c r="K13" t="s">
        <v>347</v>
      </c>
    </row>
    <row r="14" spans="4:14">
      <c r="D14">
        <v>0.23</v>
      </c>
    </row>
    <row r="15" spans="4:14">
      <c r="D15">
        <v>49.56</v>
      </c>
    </row>
    <row r="16" spans="4:14">
      <c r="D16">
        <v>8.39</v>
      </c>
    </row>
    <row r="17" spans="4:14">
      <c r="D17">
        <v>53.88</v>
      </c>
    </row>
    <row r="18" spans="4:14">
      <c r="D18">
        <v>2.11</v>
      </c>
    </row>
    <row r="19" spans="4:14">
      <c r="D19">
        <v>21.41</v>
      </c>
    </row>
    <row r="20" spans="4:14">
      <c r="D20">
        <v>0.42</v>
      </c>
    </row>
    <row r="21" spans="4:14">
      <c r="D21">
        <v>12.32</v>
      </c>
    </row>
    <row r="22" spans="4:14">
      <c r="D22">
        <v>8.16</v>
      </c>
    </row>
    <row r="23" spans="4:14">
      <c r="D23">
        <v>4.82</v>
      </c>
    </row>
    <row r="24" spans="4:14">
      <c r="D24">
        <v>22.02</v>
      </c>
    </row>
    <row r="25" spans="4:14">
      <c r="D25" s="10">
        <f>SUM(D8:D24)</f>
        <v>197.54999999999998</v>
      </c>
    </row>
    <row r="26" spans="4:14">
      <c r="F26" t="s">
        <v>16</v>
      </c>
      <c r="G26" t="s">
        <v>17</v>
      </c>
      <c r="H26" t="s">
        <v>18</v>
      </c>
      <c r="N26" t="s">
        <v>20</v>
      </c>
    </row>
    <row r="27" spans="4:14">
      <c r="D27">
        <v>21.76</v>
      </c>
      <c r="F27">
        <v>772</v>
      </c>
      <c r="G27" s="11">
        <f>10000000</f>
        <v>10000000</v>
      </c>
      <c r="H27">
        <f>1.7*1000</f>
        <v>1700</v>
      </c>
      <c r="I27" s="12">
        <f>H28+G27+F36</f>
        <v>19730000</v>
      </c>
      <c r="K27">
        <v>39700000</v>
      </c>
      <c r="N27" t="s">
        <v>19</v>
      </c>
    </row>
    <row r="28" spans="4:14">
      <c r="D28">
        <v>15.32</v>
      </c>
      <c r="F28">
        <v>474</v>
      </c>
      <c r="H28" s="11">
        <f>H27*4000*0.8</f>
        <v>5440000</v>
      </c>
      <c r="I28" s="11"/>
      <c r="J28" s="11"/>
      <c r="K28">
        <v>2776.88</v>
      </c>
    </row>
    <row r="29" spans="4:14">
      <c r="D29">
        <v>34.020000000000003</v>
      </c>
      <c r="F29">
        <v>240</v>
      </c>
      <c r="K29">
        <f>K27/K28</f>
        <v>14296.620667799833</v>
      </c>
    </row>
    <row r="30" spans="4:14">
      <c r="D30">
        <v>2.23</v>
      </c>
      <c r="F30">
        <f>SUM(F27:F29)</f>
        <v>1486</v>
      </c>
      <c r="K30">
        <f>K29/10.7639</f>
        <v>1328.2008071237965</v>
      </c>
    </row>
    <row r="31" spans="4:14">
      <c r="D31">
        <v>4.21</v>
      </c>
      <c r="F31">
        <v>1500</v>
      </c>
    </row>
    <row r="32" spans="4:14">
      <c r="D32">
        <v>1.64</v>
      </c>
      <c r="F32">
        <v>13</v>
      </c>
    </row>
    <row r="33" spans="4:6">
      <c r="D33">
        <v>9.31</v>
      </c>
      <c r="F33">
        <f>F31*F32</f>
        <v>19500</v>
      </c>
    </row>
    <row r="34" spans="4:6">
      <c r="D34" s="10">
        <f>SUM(D27:D33)</f>
        <v>88.49</v>
      </c>
      <c r="F34">
        <v>2200</v>
      </c>
    </row>
    <row r="35" spans="4:6">
      <c r="F35" s="11">
        <f>F33*F34</f>
        <v>42900000</v>
      </c>
    </row>
    <row r="36" spans="4:6">
      <c r="D36" s="10">
        <f>D34+D25+D6</f>
        <v>327.71</v>
      </c>
      <c r="F36" s="12">
        <f>F35*0.1</f>
        <v>4290000</v>
      </c>
    </row>
    <row r="37" spans="4:6">
      <c r="D37">
        <f>D36/100</f>
        <v>3.2770999999999999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E07B-D5FA-4075-A86A-D84C76D43B48}">
  <dimension ref="A1"/>
  <sheetViews>
    <sheetView workbookViewId="0">
      <selection activeCell="B3" sqref="B3:H2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Land Value Calculation</vt:lpstr>
      <vt:lpstr>Guideline Value</vt:lpstr>
      <vt:lpstr>Land Details</vt:lpstr>
      <vt:lpstr>Building v2</vt:lpstr>
      <vt:lpstr>Other market research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2023-12-28T09:11:24Z</dcterms:modified>
</cp:coreProperties>
</file>