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In Progress Files\Vishal Singh\Patiala VIS(2023-24)-PL-155-131-172\"/>
    </mc:Choice>
  </mc:AlternateContent>
  <xr:revisionPtr revIDLastSave="0" documentId="13_ncr:1_{B0FA91E6-DD58-4730-83E4-F0591C71296C}" xr6:coauthVersionLast="47" xr6:coauthVersionMax="47" xr10:uidLastSave="{00000000-0000-0000-0000-000000000000}"/>
  <bookViews>
    <workbookView xWindow="-120" yWindow="-120" windowWidth="24240" windowHeight="13140" firstSheet="1" activeTab="7" xr2:uid="{00000000-000D-0000-FFFF-FFFF00000000}"/>
  </bookViews>
  <sheets>
    <sheet name="Land Summary" sheetId="4" r:id="rId1"/>
    <sheet name="Building sheet client" sheetId="5" r:id="rId2"/>
    <sheet name="References sheet " sheetId="7" r:id="rId3"/>
    <sheet name="Belting" sheetId="6" r:id="rId4"/>
    <sheet name="Building sheet own" sheetId="1" r:id="rId5"/>
    <sheet name="Rate Calculation" sheetId="8" r:id="rId6"/>
    <sheet name="Guidline value" sheetId="3" r:id="rId7"/>
    <sheet name="Sheet1" sheetId="9" r:id="rId8"/>
  </sheets>
  <definedNames>
    <definedName name="_xlnm._FilterDatabase" localSheetId="4" hidden="1">'Building sheet own'!$D$3:$D$74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8" l="1"/>
  <c r="T9" i="8"/>
  <c r="T8" i="8"/>
  <c r="T7" i="8"/>
  <c r="S7" i="8"/>
  <c r="S6" i="8"/>
  <c r="R6" i="8"/>
  <c r="R5" i="8"/>
  <c r="Q13" i="8"/>
  <c r="N12" i="8"/>
  <c r="J12" i="8"/>
  <c r="K9" i="8"/>
  <c r="J9" i="8"/>
  <c r="I9" i="8"/>
  <c r="I12" i="8"/>
  <c r="N7" i="8"/>
  <c r="O12" i="8" l="1"/>
  <c r="O9" i="8"/>
  <c r="I7" i="8"/>
  <c r="O7" i="8" s="1"/>
  <c r="K44" i="1"/>
  <c r="N44" i="1"/>
  <c r="Q44" i="1" s="1"/>
  <c r="R44" i="1" s="1"/>
  <c r="T44" i="1" s="1"/>
  <c r="E6" i="4"/>
  <c r="C7" i="6"/>
  <c r="D6" i="6"/>
  <c r="E6" i="6" s="1"/>
  <c r="D5" i="6"/>
  <c r="E5" i="6" s="1"/>
  <c r="E4" i="6"/>
  <c r="E7" i="6" s="1"/>
  <c r="H5" i="5"/>
  <c r="X39" i="5"/>
  <c r="X38" i="5"/>
  <c r="M8" i="3"/>
  <c r="M7" i="3"/>
  <c r="P11" i="5"/>
  <c r="P16" i="5"/>
  <c r="P19" i="5"/>
  <c r="P20" i="5"/>
  <c r="P28" i="5"/>
  <c r="L6" i="5"/>
  <c r="N6" i="5" s="1"/>
  <c r="Q6" i="5" s="1"/>
  <c r="L7" i="5"/>
  <c r="N7" i="5" s="1"/>
  <c r="Q7" i="5" s="1"/>
  <c r="L8" i="5"/>
  <c r="N8" i="5" s="1"/>
  <c r="Q8" i="5" s="1"/>
  <c r="L9" i="5"/>
  <c r="N9" i="5" s="1"/>
  <c r="Q9" i="5" s="1"/>
  <c r="L10" i="5"/>
  <c r="N10" i="5" s="1"/>
  <c r="Q10" i="5" s="1"/>
  <c r="L11" i="5"/>
  <c r="N11" i="5" s="1"/>
  <c r="Q11" i="5" s="1"/>
  <c r="L12" i="5"/>
  <c r="N12" i="5" s="1"/>
  <c r="Q12" i="5" s="1"/>
  <c r="L14" i="5"/>
  <c r="N14" i="5" s="1"/>
  <c r="Q14" i="5" s="1"/>
  <c r="L15" i="5"/>
  <c r="N15" i="5" s="1"/>
  <c r="Q15" i="5" s="1"/>
  <c r="L16" i="5"/>
  <c r="N16" i="5" s="1"/>
  <c r="Q16" i="5" s="1"/>
  <c r="R16" i="5" s="1"/>
  <c r="L17" i="5"/>
  <c r="N17" i="5" s="1"/>
  <c r="Q17" i="5" s="1"/>
  <c r="L18" i="5"/>
  <c r="N18" i="5" s="1"/>
  <c r="Q18" i="5" s="1"/>
  <c r="L19" i="5"/>
  <c r="N19" i="5" s="1"/>
  <c r="Q19" i="5" s="1"/>
  <c r="L21" i="5"/>
  <c r="N21" i="5" s="1"/>
  <c r="Q21" i="5" s="1"/>
  <c r="L22" i="5"/>
  <c r="N22" i="5" s="1"/>
  <c r="Q22" i="5" s="1"/>
  <c r="L23" i="5"/>
  <c r="N23" i="5" s="1"/>
  <c r="Q23" i="5" s="1"/>
  <c r="L28" i="5"/>
  <c r="N28" i="5" s="1"/>
  <c r="Q28" i="5" s="1"/>
  <c r="L29" i="5"/>
  <c r="N29" i="5" s="1"/>
  <c r="Q29" i="5" s="1"/>
  <c r="L30" i="5"/>
  <c r="N30" i="5" s="1"/>
  <c r="Q30" i="5" s="1"/>
  <c r="L31" i="5"/>
  <c r="N31" i="5" s="1"/>
  <c r="Q31" i="5" s="1"/>
  <c r="L32" i="5"/>
  <c r="N32" i="5" s="1"/>
  <c r="Q32" i="5" s="1"/>
  <c r="L33" i="5"/>
  <c r="N33" i="5" s="1"/>
  <c r="Q33" i="5" s="1"/>
  <c r="L34" i="5"/>
  <c r="N34" i="5" s="1"/>
  <c r="Q34" i="5" s="1"/>
  <c r="L35" i="5"/>
  <c r="N35" i="5" s="1"/>
  <c r="Q35" i="5" s="1"/>
  <c r="L36" i="5"/>
  <c r="N36" i="5" s="1"/>
  <c r="Q36" i="5" s="1"/>
  <c r="L37" i="5"/>
  <c r="N37" i="5" s="1"/>
  <c r="Q37" i="5" s="1"/>
  <c r="L38" i="5"/>
  <c r="N38" i="5" s="1"/>
  <c r="Q38" i="5" s="1"/>
  <c r="L39" i="5"/>
  <c r="N39" i="5" s="1"/>
  <c r="Q39" i="5" s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J59" i="5"/>
  <c r="Y44" i="5"/>
  <c r="Y43" i="5"/>
  <c r="Y42" i="5"/>
  <c r="S40" i="5"/>
  <c r="O39" i="5"/>
  <c r="P39" i="5" s="1"/>
  <c r="O38" i="5"/>
  <c r="P38" i="5" s="1"/>
  <c r="G38" i="5"/>
  <c r="O37" i="5"/>
  <c r="P37" i="5" s="1"/>
  <c r="G37" i="5"/>
  <c r="O36" i="5"/>
  <c r="P36" i="5" s="1"/>
  <c r="G36" i="5"/>
  <c r="O35" i="5"/>
  <c r="P35" i="5" s="1"/>
  <c r="G35" i="5"/>
  <c r="O34" i="5"/>
  <c r="P34" i="5" s="1"/>
  <c r="G33" i="5"/>
  <c r="P33" i="5" s="1"/>
  <c r="R33" i="5" s="1"/>
  <c r="O32" i="5"/>
  <c r="P32" i="5" s="1"/>
  <c r="G31" i="5"/>
  <c r="P31" i="5" s="1"/>
  <c r="R31" i="5" s="1"/>
  <c r="G30" i="5"/>
  <c r="P30" i="5" s="1"/>
  <c r="G29" i="5"/>
  <c r="P29" i="5" s="1"/>
  <c r="R29" i="5" s="1"/>
  <c r="D27" i="5"/>
  <c r="O27" i="5" s="1"/>
  <c r="P27" i="5" s="1"/>
  <c r="D26" i="5"/>
  <c r="O26" i="5" s="1"/>
  <c r="P26" i="5" s="1"/>
  <c r="D25" i="5"/>
  <c r="O25" i="5" s="1"/>
  <c r="P25" i="5" s="1"/>
  <c r="D24" i="5"/>
  <c r="L24" i="5" s="1"/>
  <c r="N24" i="5" s="1"/>
  <c r="Q24" i="5" s="1"/>
  <c r="O23" i="5"/>
  <c r="P23" i="5" s="1"/>
  <c r="E23" i="5"/>
  <c r="O22" i="5"/>
  <c r="P22" i="5" s="1"/>
  <c r="G22" i="5"/>
  <c r="O21" i="5"/>
  <c r="P21" i="5" s="1"/>
  <c r="F21" i="5"/>
  <c r="E21" i="5"/>
  <c r="D20" i="5"/>
  <c r="L20" i="5" s="1"/>
  <c r="N20" i="5" s="1"/>
  <c r="Q20" i="5" s="1"/>
  <c r="G18" i="5"/>
  <c r="P18" i="5" s="1"/>
  <c r="O17" i="5"/>
  <c r="P17" i="5" s="1"/>
  <c r="O15" i="5"/>
  <c r="P15" i="5" s="1"/>
  <c r="G14" i="5"/>
  <c r="P14" i="5" s="1"/>
  <c r="R14" i="5" s="1"/>
  <c r="T14" i="5" s="1"/>
  <c r="G13" i="5"/>
  <c r="D13" i="5"/>
  <c r="L13" i="5" s="1"/>
  <c r="N13" i="5" s="1"/>
  <c r="Q13" i="5" s="1"/>
  <c r="Z12" i="5"/>
  <c r="Z15" i="5" s="1"/>
  <c r="O12" i="5"/>
  <c r="P12" i="5" s="1"/>
  <c r="G12" i="5"/>
  <c r="O10" i="5"/>
  <c r="P10" i="5" s="1"/>
  <c r="W9" i="5"/>
  <c r="X10" i="5" s="1"/>
  <c r="O9" i="5"/>
  <c r="P9" i="5" s="1"/>
  <c r="G9" i="5"/>
  <c r="O8" i="5"/>
  <c r="P8" i="5" s="1"/>
  <c r="G8" i="5"/>
  <c r="O7" i="5"/>
  <c r="P7" i="5" s="1"/>
  <c r="W6" i="5"/>
  <c r="G6" i="5"/>
  <c r="P6" i="5" s="1"/>
  <c r="W5" i="5"/>
  <c r="K5" i="5"/>
  <c r="G5" i="5"/>
  <c r="D5" i="5"/>
  <c r="L5" i="5" s="1"/>
  <c r="N5" i="5" s="1"/>
  <c r="Q5" i="5" s="1"/>
  <c r="F26" i="1"/>
  <c r="G26" i="1" s="1"/>
  <c r="E26" i="1"/>
  <c r="E25" i="1"/>
  <c r="F23" i="1"/>
  <c r="E23" i="1"/>
  <c r="G23" i="1" s="1"/>
  <c r="L23" i="1"/>
  <c r="O23" i="1"/>
  <c r="F22" i="1"/>
  <c r="E22" i="1"/>
  <c r="N43" i="1"/>
  <c r="K43" i="1"/>
  <c r="G43" i="1"/>
  <c r="P43" i="1" s="1"/>
  <c r="O7" i="1"/>
  <c r="P7" i="1" s="1"/>
  <c r="O8" i="1"/>
  <c r="O9" i="1"/>
  <c r="O10" i="1"/>
  <c r="P10" i="1" s="1"/>
  <c r="O11" i="1"/>
  <c r="P11" i="1" s="1"/>
  <c r="O12" i="1"/>
  <c r="O14" i="1"/>
  <c r="O15" i="1"/>
  <c r="P15" i="1" s="1"/>
  <c r="O16" i="1"/>
  <c r="P16" i="1" s="1"/>
  <c r="O17" i="1"/>
  <c r="P17" i="1" s="1"/>
  <c r="O18" i="1"/>
  <c r="O19" i="1"/>
  <c r="P19" i="1" s="1"/>
  <c r="O22" i="1"/>
  <c r="O24" i="1"/>
  <c r="O25" i="1"/>
  <c r="O31" i="1"/>
  <c r="P31" i="1" s="1"/>
  <c r="O32" i="1"/>
  <c r="O33" i="1"/>
  <c r="O34" i="1"/>
  <c r="O35" i="1"/>
  <c r="P35" i="1" s="1"/>
  <c r="O36" i="1"/>
  <c r="O37" i="1"/>
  <c r="P37" i="1" s="1"/>
  <c r="O38" i="1"/>
  <c r="O39" i="1"/>
  <c r="O40" i="1"/>
  <c r="O41" i="1"/>
  <c r="O42" i="1"/>
  <c r="P42" i="1" s="1"/>
  <c r="K17" i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4" i="1"/>
  <c r="N14" i="1" s="1"/>
  <c r="L15" i="1"/>
  <c r="N15" i="1" s="1"/>
  <c r="L16" i="1"/>
  <c r="N16" i="1" s="1"/>
  <c r="Q16" i="1" s="1"/>
  <c r="L17" i="1"/>
  <c r="N17" i="1" s="1"/>
  <c r="L18" i="1"/>
  <c r="N18" i="1" s="1"/>
  <c r="L19" i="1"/>
  <c r="N19" i="1" s="1"/>
  <c r="L22" i="1"/>
  <c r="N22" i="1" s="1"/>
  <c r="Q22" i="1" s="1"/>
  <c r="L24" i="1"/>
  <c r="N24" i="1" s="1"/>
  <c r="L25" i="1"/>
  <c r="N25" i="1" s="1"/>
  <c r="L31" i="1"/>
  <c r="N31" i="1" s="1"/>
  <c r="L32" i="1"/>
  <c r="N32" i="1" s="1"/>
  <c r="Q32" i="1" s="1"/>
  <c r="L33" i="1"/>
  <c r="N33" i="1" s="1"/>
  <c r="L34" i="1"/>
  <c r="N34" i="1" s="1"/>
  <c r="L35" i="1"/>
  <c r="N35" i="1" s="1"/>
  <c r="L36" i="1"/>
  <c r="N36" i="1" s="1"/>
  <c r="Q36" i="1" s="1"/>
  <c r="L37" i="1"/>
  <c r="N37" i="1" s="1"/>
  <c r="L38" i="1"/>
  <c r="N38" i="1" s="1"/>
  <c r="L39" i="1"/>
  <c r="N39" i="1" s="1"/>
  <c r="L40" i="1"/>
  <c r="N40" i="1" s="1"/>
  <c r="Q40" i="1" s="1"/>
  <c r="L41" i="1"/>
  <c r="N41" i="1" s="1"/>
  <c r="L42" i="1"/>
  <c r="N42" i="1" s="1"/>
  <c r="W6" i="1"/>
  <c r="W5" i="1"/>
  <c r="G6" i="1"/>
  <c r="G8" i="1"/>
  <c r="G9" i="1"/>
  <c r="G12" i="1"/>
  <c r="G13" i="1"/>
  <c r="G14" i="1"/>
  <c r="G18" i="1"/>
  <c r="G24" i="1"/>
  <c r="G25" i="1"/>
  <c r="G32" i="1"/>
  <c r="G33" i="1"/>
  <c r="G34" i="1"/>
  <c r="G36" i="1"/>
  <c r="G38" i="1"/>
  <c r="G39" i="1"/>
  <c r="G40" i="1"/>
  <c r="G41" i="1"/>
  <c r="G5" i="1"/>
  <c r="Y48" i="1"/>
  <c r="Y47" i="1"/>
  <c r="Y46" i="1"/>
  <c r="Z12" i="1"/>
  <c r="Z15" i="1" s="1"/>
  <c r="Z18" i="1" s="1"/>
  <c r="G7" i="3"/>
  <c r="G6" i="3"/>
  <c r="H7" i="3"/>
  <c r="H6" i="3"/>
  <c r="H8" i="3" s="1"/>
  <c r="H10" i="3" s="1"/>
  <c r="W9" i="1"/>
  <c r="X10" i="1" s="1"/>
  <c r="S4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2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5" i="1"/>
  <c r="O6" i="1"/>
  <c r="D13" i="1"/>
  <c r="L13" i="1" s="1"/>
  <c r="N13" i="1" s="1"/>
  <c r="Q13" i="1" s="1"/>
  <c r="D20" i="1"/>
  <c r="O20" i="1" s="1"/>
  <c r="P20" i="1" s="1"/>
  <c r="D27" i="1"/>
  <c r="O27" i="1" s="1"/>
  <c r="P27" i="1" s="1"/>
  <c r="D28" i="1"/>
  <c r="L28" i="1" s="1"/>
  <c r="N28" i="1" s="1"/>
  <c r="Q28" i="1" s="1"/>
  <c r="D29" i="1"/>
  <c r="O29" i="1" s="1"/>
  <c r="P29" i="1" s="1"/>
  <c r="D30" i="1"/>
  <c r="O30" i="1" s="1"/>
  <c r="P30" i="1" s="1"/>
  <c r="D5" i="1"/>
  <c r="L5" i="1" s="1"/>
  <c r="N5" i="1" s="1"/>
  <c r="J64" i="1"/>
  <c r="R18" i="5" l="1"/>
  <c r="T18" i="5" s="1"/>
  <c r="R23" i="5"/>
  <c r="T23" i="5" s="1"/>
  <c r="R35" i="5"/>
  <c r="T35" i="5" s="1"/>
  <c r="R7" i="5"/>
  <c r="T7" i="5"/>
  <c r="R15" i="5"/>
  <c r="T15" i="5" s="1"/>
  <c r="R22" i="5"/>
  <c r="T22" i="5" s="1"/>
  <c r="R25" i="5"/>
  <c r="T25" i="5" s="1"/>
  <c r="R30" i="5"/>
  <c r="R34" i="5"/>
  <c r="T34" i="5"/>
  <c r="T36" i="5"/>
  <c r="R36" i="5"/>
  <c r="R38" i="5"/>
  <c r="T38" i="5"/>
  <c r="R6" i="5"/>
  <c r="T6" i="5" s="1"/>
  <c r="R8" i="5"/>
  <c r="T8" i="5" s="1"/>
  <c r="R10" i="5"/>
  <c r="T10" i="5" s="1"/>
  <c r="R17" i="5"/>
  <c r="T17" i="5"/>
  <c r="R39" i="5"/>
  <c r="T39" i="5" s="1"/>
  <c r="R11" i="5"/>
  <c r="T11" i="5" s="1"/>
  <c r="R21" i="5"/>
  <c r="T21" i="5" s="1"/>
  <c r="R32" i="5"/>
  <c r="T32" i="5" s="1"/>
  <c r="R37" i="5"/>
  <c r="T37" i="5" s="1"/>
  <c r="R27" i="5"/>
  <c r="T27" i="5" s="1"/>
  <c r="R9" i="5"/>
  <c r="T9" i="5"/>
  <c r="R12" i="5"/>
  <c r="T12" i="5" s="1"/>
  <c r="L25" i="5"/>
  <c r="N25" i="5" s="1"/>
  <c r="Q25" i="5" s="1"/>
  <c r="T16" i="5"/>
  <c r="R20" i="5"/>
  <c r="T20" i="5" s="1"/>
  <c r="L27" i="5"/>
  <c r="N27" i="5" s="1"/>
  <c r="Q27" i="5" s="1"/>
  <c r="L26" i="5"/>
  <c r="N26" i="5" s="1"/>
  <c r="Q26" i="5" s="1"/>
  <c r="R26" i="5" s="1"/>
  <c r="T26" i="5" s="1"/>
  <c r="R19" i="5"/>
  <c r="T19" i="5" s="1"/>
  <c r="T31" i="5"/>
  <c r="T29" i="5"/>
  <c r="R28" i="5"/>
  <c r="T28" i="5" s="1"/>
  <c r="T30" i="5"/>
  <c r="T33" i="5"/>
  <c r="O13" i="5"/>
  <c r="P13" i="5" s="1"/>
  <c r="G40" i="5"/>
  <c r="Z16" i="5"/>
  <c r="Z18" i="5"/>
  <c r="O24" i="5"/>
  <c r="P24" i="5" s="1"/>
  <c r="O5" i="5"/>
  <c r="P5" i="5" s="1"/>
  <c r="G22" i="1"/>
  <c r="P22" i="1" s="1"/>
  <c r="R22" i="1" s="1"/>
  <c r="T22" i="1" s="1"/>
  <c r="Q41" i="1"/>
  <c r="Q37" i="1"/>
  <c r="R37" i="1" s="1"/>
  <c r="T37" i="1" s="1"/>
  <c r="Q33" i="1"/>
  <c r="Q24" i="1"/>
  <c r="Q17" i="1"/>
  <c r="R17" i="1" s="1"/>
  <c r="T17" i="1" s="1"/>
  <c r="P41" i="1"/>
  <c r="Q10" i="1"/>
  <c r="P38" i="1"/>
  <c r="P39" i="1"/>
  <c r="Q43" i="1"/>
  <c r="R43" i="1" s="1"/>
  <c r="T43" i="1" s="1"/>
  <c r="P33" i="1"/>
  <c r="R33" i="1" s="1"/>
  <c r="T33" i="1" s="1"/>
  <c r="P12" i="1"/>
  <c r="P25" i="1"/>
  <c r="Q18" i="1"/>
  <c r="Q14" i="1"/>
  <c r="R14" i="1" s="1"/>
  <c r="T14" i="1" s="1"/>
  <c r="Q9" i="1"/>
  <c r="P34" i="1"/>
  <c r="R34" i="1" s="1"/>
  <c r="T34" i="1" s="1"/>
  <c r="Q39" i="1"/>
  <c r="Q35" i="1"/>
  <c r="R35" i="1" s="1"/>
  <c r="T35" i="1" s="1"/>
  <c r="Q31" i="1"/>
  <c r="R31" i="1" s="1"/>
  <c r="T31" i="1" s="1"/>
  <c r="P6" i="1"/>
  <c r="P8" i="1"/>
  <c r="Q42" i="1"/>
  <c r="R42" i="1" s="1"/>
  <c r="T42" i="1" s="1"/>
  <c r="Q38" i="1"/>
  <c r="R38" i="1" s="1"/>
  <c r="T38" i="1" s="1"/>
  <c r="Q34" i="1"/>
  <c r="L30" i="1"/>
  <c r="N30" i="1" s="1"/>
  <c r="Q30" i="1" s="1"/>
  <c r="R30" i="1" s="1"/>
  <c r="T30" i="1" s="1"/>
  <c r="Q12" i="1"/>
  <c r="Q8" i="1"/>
  <c r="P18" i="1"/>
  <c r="P14" i="1"/>
  <c r="P9" i="1"/>
  <c r="L27" i="1"/>
  <c r="N27" i="1" s="1"/>
  <c r="Q27" i="1" s="1"/>
  <c r="R27" i="1" s="1"/>
  <c r="T27" i="1" s="1"/>
  <c r="L20" i="1"/>
  <c r="N20" i="1" s="1"/>
  <c r="Q20" i="1" s="1"/>
  <c r="R20" i="1" s="1"/>
  <c r="T20" i="1" s="1"/>
  <c r="Q11" i="1"/>
  <c r="R11" i="1" s="1"/>
  <c r="T11" i="1" s="1"/>
  <c r="Q7" i="1"/>
  <c r="R7" i="1" s="1"/>
  <c r="T7" i="1" s="1"/>
  <c r="P24" i="1"/>
  <c r="R24" i="1" s="1"/>
  <c r="T24" i="1" s="1"/>
  <c r="Q25" i="1"/>
  <c r="Q19" i="1"/>
  <c r="R19" i="1" s="1"/>
  <c r="T19" i="1" s="1"/>
  <c r="Q15" i="1"/>
  <c r="R15" i="1" s="1"/>
  <c r="T15" i="1" s="1"/>
  <c r="P40" i="1"/>
  <c r="R40" i="1" s="1"/>
  <c r="P36" i="1"/>
  <c r="R36" i="1" s="1"/>
  <c r="T36" i="1" s="1"/>
  <c r="P32" i="1"/>
  <c r="R32" i="1" s="1"/>
  <c r="T32" i="1" s="1"/>
  <c r="R10" i="1"/>
  <c r="T10" i="1" s="1"/>
  <c r="R16" i="1"/>
  <c r="T16" i="1" s="1"/>
  <c r="O28" i="1"/>
  <c r="P28" i="1" s="1"/>
  <c r="O13" i="1"/>
  <c r="P13" i="1" s="1"/>
  <c r="L29" i="1"/>
  <c r="N29" i="1" s="1"/>
  <c r="Q29" i="1" s="1"/>
  <c r="R29" i="1" s="1"/>
  <c r="T29" i="1" s="1"/>
  <c r="L6" i="1"/>
  <c r="N6" i="1" s="1"/>
  <c r="Q6" i="1" s="1"/>
  <c r="O5" i="1"/>
  <c r="P5" i="1" s="1"/>
  <c r="Z16" i="1"/>
  <c r="Q5" i="1"/>
  <c r="R41" i="1" l="1"/>
  <c r="T41" i="1" s="1"/>
  <c r="R24" i="5"/>
  <c r="T24" i="5" s="1"/>
  <c r="T13" i="5"/>
  <c r="R13" i="5"/>
  <c r="G45" i="1"/>
  <c r="R5" i="5"/>
  <c r="T5" i="5" s="1"/>
  <c r="P40" i="5"/>
  <c r="P48" i="5" s="1"/>
  <c r="R6" i="1"/>
  <c r="T6" i="1" s="1"/>
  <c r="R18" i="1"/>
  <c r="T18" i="1" s="1"/>
  <c r="R25" i="1"/>
  <c r="T25" i="1" s="1"/>
  <c r="R39" i="1"/>
  <c r="T39" i="1" s="1"/>
  <c r="R8" i="1"/>
  <c r="T8" i="1" s="1"/>
  <c r="R12" i="1"/>
  <c r="T12" i="1" s="1"/>
  <c r="P45" i="1"/>
  <c r="R9" i="1"/>
  <c r="T9" i="1" s="1"/>
  <c r="T40" i="1"/>
  <c r="R13" i="1"/>
  <c r="T13" i="1" s="1"/>
  <c r="R28" i="1"/>
  <c r="T28" i="1" s="1"/>
  <c r="R5" i="1"/>
  <c r="T5" i="1" s="1"/>
  <c r="T40" i="5" l="1"/>
  <c r="T45" i="1"/>
  <c r="W45" i="1"/>
  <c r="W41" i="5" l="1"/>
  <c r="V40" i="5"/>
</calcChain>
</file>

<file path=xl/sharedStrings.xml><?xml version="1.0" encoding="utf-8"?>
<sst xmlns="http://schemas.openxmlformats.org/spreadsheetml/2006/main" count="306" uniqueCount="141">
  <si>
    <t>SR. No.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</si>
  <si>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</si>
  <si>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</si>
  <si>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</si>
  <si>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</si>
  <si>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</si>
  <si>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</si>
  <si>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</si>
  <si>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</si>
  <si>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</si>
  <si>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</si>
  <si>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>Depreciated Value
(INR)</t>
  </si>
  <si>
    <t>Discounting Factor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</si>
  <si>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</si>
  <si>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</si>
  <si>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</si>
  <si>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</si>
  <si>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map provided by the company only.</t>
    </r>
  </si>
  <si>
    <t>2. Construction year of the plant has been taken from the information provided by the client during site survey.</t>
  </si>
  <si>
    <r>
      <t xml:space="preserve">3.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Lakhani Footwear Private Limited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</si>
  <si>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</si>
  <si>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Depriciation Factor</t>
  </si>
  <si>
    <t>Particular</t>
  </si>
  <si>
    <t>Govt guidline rate for construction(Per SQM)</t>
  </si>
  <si>
    <t>Guidline Value</t>
  </si>
  <si>
    <t>Particulars</t>
  </si>
  <si>
    <t>Time Office</t>
  </si>
  <si>
    <t>Canteen</t>
  </si>
  <si>
    <t>Laboratory</t>
  </si>
  <si>
    <t>R.C.C</t>
  </si>
  <si>
    <t>Tin Shed</t>
  </si>
  <si>
    <t>S.No.</t>
  </si>
  <si>
    <t>Reference No./Dated</t>
  </si>
  <si>
    <t>Land Area According to TIR</t>
  </si>
  <si>
    <t>TIR 1</t>
  </si>
  <si>
    <t>Dated : 28/10/2020</t>
  </si>
  <si>
    <t>TIR 2</t>
  </si>
  <si>
    <t>TOTAL IN ACRE</t>
  </si>
  <si>
    <t>Building Sheet For M/S MilkFood, Bahadurgarh, Patiala, Punjab.</t>
  </si>
  <si>
    <t>Cycle Stand</t>
  </si>
  <si>
    <t>Administration Block</t>
  </si>
  <si>
    <t>Security</t>
  </si>
  <si>
    <t>Weigh Bridge</t>
  </si>
  <si>
    <t>Milk Reception</t>
  </si>
  <si>
    <t>Milk processing</t>
  </si>
  <si>
    <t>Butter Section</t>
  </si>
  <si>
    <t>Ghee manufacturing</t>
  </si>
  <si>
    <t>Ghee Filling</t>
  </si>
  <si>
    <t>R T Machine Room</t>
  </si>
  <si>
    <t>Ghee Cold Rooms</t>
  </si>
  <si>
    <t>Ghee Cold Room</t>
  </si>
  <si>
    <t>Casein Plant</t>
  </si>
  <si>
    <t>Alfa Level Dryer</t>
  </si>
  <si>
    <t>Sepporalli Evaporator</t>
  </si>
  <si>
    <t>Food &amp; Biotech Dryer and Evaporator</t>
  </si>
  <si>
    <t>Ghee Godown</t>
  </si>
  <si>
    <t>Hassia Packing Hall</t>
  </si>
  <si>
    <t>Powder Godown No. 1</t>
  </si>
  <si>
    <t>Powder Godown No. 2</t>
  </si>
  <si>
    <t>DG Set 500 KVA Room</t>
  </si>
  <si>
    <t>DG Set 400 KVA Room</t>
  </si>
  <si>
    <t>Electrical Section</t>
  </si>
  <si>
    <t>Mechanical Section</t>
  </si>
  <si>
    <t>Refrigeration</t>
  </si>
  <si>
    <t>Boiler House</t>
  </si>
  <si>
    <t>Butter Manufacturing Section</t>
  </si>
  <si>
    <t>Ice Cream Block</t>
  </si>
  <si>
    <t>Used Lubricant Room</t>
  </si>
  <si>
    <t>Setlling Pond for Wet Scrubber of boiler</t>
  </si>
  <si>
    <t>Effluent treatment plant</t>
  </si>
  <si>
    <t>L</t>
  </si>
  <si>
    <t>B</t>
  </si>
  <si>
    <r>
      <t xml:space="preserve">Height </t>
    </r>
    <r>
      <rPr>
        <b/>
        <i/>
        <sz val="10"/>
        <rFont val="Calibri"/>
        <family val="2"/>
        <scheme val="minor"/>
      </rPr>
      <t>(in metre.)</t>
    </r>
  </si>
  <si>
    <t>12(a)</t>
  </si>
  <si>
    <t>Depreciation</t>
  </si>
  <si>
    <t>Boundary wall</t>
  </si>
  <si>
    <t>Brickwork</t>
  </si>
  <si>
    <t>ACC Roof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</si>
  <si>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building sheet provided by the company only.</t>
    </r>
  </si>
  <si>
    <r>
      <t xml:space="preserve">3. </t>
    </r>
    <r>
      <rPr>
        <b/>
        <i/>
        <sz val="10"/>
        <color theme="1"/>
        <rFont val="Calibri"/>
        <family val="2"/>
        <scheme val="minor"/>
      </rPr>
      <t>All the structure that has been taken in the area statemnet belonging to M/S. MilkFood Limited</t>
    </r>
  </si>
  <si>
    <r>
      <t>4.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</si>
  <si>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Rate calculation by Belting method</t>
  </si>
  <si>
    <t>Belt No.</t>
  </si>
  <si>
    <t>Splitted Plot Area(Acre)</t>
  </si>
  <si>
    <t>Belting Price</t>
  </si>
  <si>
    <t xml:space="preserve"> FMV </t>
  </si>
  <si>
    <t>Belt 1(Road abuting part)</t>
  </si>
  <si>
    <t>Belt 2(Middle part)</t>
  </si>
  <si>
    <t>Belt 3(Rear part)</t>
  </si>
  <si>
    <t>Total</t>
  </si>
  <si>
    <t>Distance from S.P.</t>
  </si>
  <si>
    <t>Merits points</t>
  </si>
  <si>
    <t>Demerits points</t>
  </si>
  <si>
    <t>12 Acre</t>
  </si>
  <si>
    <t>1.5KM</t>
  </si>
  <si>
    <t>Agricultural</t>
  </si>
  <si>
    <t>6 KM</t>
  </si>
  <si>
    <t>4 Acre</t>
  </si>
  <si>
    <t>2 KM</t>
  </si>
  <si>
    <t>Chaddha Properties</t>
  </si>
  <si>
    <t xml:space="preserve">Plot area </t>
  </si>
  <si>
    <t>Type of land</t>
  </si>
  <si>
    <t>Distance from main Road</t>
  </si>
  <si>
    <t>Near To Kauli Railway Station,on NH Road</t>
  </si>
  <si>
    <t>On NH Road, Near To City</t>
  </si>
  <si>
    <t>Star Properties</t>
  </si>
  <si>
    <t>Approx 10 Acre</t>
  </si>
  <si>
    <t>On Patiala Rajpura Road</t>
  </si>
  <si>
    <t>1.2 KM</t>
  </si>
  <si>
    <t>Cost</t>
  </si>
  <si>
    <t>7.5 Cr per acre (Including CLU Charges)</t>
  </si>
  <si>
    <t>10 Acre</t>
  </si>
  <si>
    <t>2.25 Cr Per Acre(Including CLU Charges)</t>
  </si>
  <si>
    <t>2 Cr Per Acre (Including CLU Charges)</t>
  </si>
  <si>
    <t>Approx 600 m Metre from patiala rajpura Road</t>
  </si>
  <si>
    <t>600 Metre from NH Road</t>
  </si>
  <si>
    <t>1 Km fro patiala Rajpura Road</t>
  </si>
  <si>
    <t>1.8-2.0 Cr Per Acre(Including CLU Charges)</t>
  </si>
  <si>
    <t xml:space="preserve">References </t>
  </si>
  <si>
    <t>39 Kanal 18 Marla</t>
  </si>
  <si>
    <t>55 Kanal 19 Marla</t>
  </si>
  <si>
    <t>95 Kanal 17 Marla or 95.85 Kanal</t>
  </si>
  <si>
    <t>Total land considered for the assignment</t>
  </si>
  <si>
    <t>11.98(Acre)</t>
  </si>
  <si>
    <t>Discounts</t>
  </si>
  <si>
    <t>Premium</t>
  </si>
  <si>
    <t>Approx 500 m Metre from patiala rajpura Road</t>
  </si>
  <si>
    <t>5 Acre</t>
  </si>
  <si>
    <t>Shape</t>
  </si>
  <si>
    <t>Size</t>
  </si>
  <si>
    <t>Location</t>
  </si>
  <si>
    <t>N/A</t>
  </si>
  <si>
    <t>Cost obtained for our subject property</t>
  </si>
  <si>
    <t>In CR.</t>
  </si>
  <si>
    <t>Cost as per inquiry</t>
  </si>
  <si>
    <t xml:space="preserve">6.5 Cr to 7 Cr per acre </t>
  </si>
  <si>
    <t>1.3 Cr-1.45per acre</t>
  </si>
  <si>
    <t>1.5 cr-1.75 Cr Per Acre</t>
  </si>
  <si>
    <t>As per the above calculation we arrive to an average land rate of 1.81 Cr per acre for our subject property.</t>
  </si>
  <si>
    <t>*Note- The above rate obtained is exclusive of the CLU charges.</t>
  </si>
  <si>
    <t>Weighted average comparable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</si>
</sst>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_ * #,##0.0000_ ;_ * \-#,##0.0000_ ;_ * &quot;-&quot;??_ ;_ @_ "/>
    <numFmt numFmtId="167" formatCode="_ * #,##0.0_ ;_ * \-#,##0.0_ ;_ * &quot;-&quot;?_ ;_ @_ "/>
    <numFmt numFmtId="168" formatCode="&quot;₹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13" xfId="0" applyBorder="1" applyAlignment="1">
      <alignment horizontal="center" vertical="center" wrapText="1"/>
    </xf>
    <xf numFmtId="0" fontId="0" fillId="5" borderId="0" xfId="0" applyFill="1"/>
    <xf numFmtId="0" fontId="4" fillId="5" borderId="5" xfId="0" applyFont="1" applyFill="1" applyBorder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5" borderId="5" xfId="1" applyFont="1" applyFill="1" applyBorder="1" applyAlignment="1">
      <alignment horizontal="center" vertical="center" wrapText="1"/>
    </xf>
    <xf numFmtId="43" fontId="4" fillId="5" borderId="4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9" fontId="12" fillId="5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3" fontId="4" fillId="3" borderId="16" xfId="1" applyFont="1" applyFill="1" applyBorder="1" applyAlignment="1">
      <alignment horizontal="center" vertical="center" wrapText="1"/>
    </xf>
    <xf numFmtId="164" fontId="4" fillId="3" borderId="17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/>
    </xf>
    <xf numFmtId="43" fontId="1" fillId="0" borderId="10" xfId="1" applyFill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 vertical="center" wrapText="1"/>
    </xf>
    <xf numFmtId="164" fontId="1" fillId="0" borderId="11" xfId="1" applyNumberFormat="1" applyFill="1" applyBorder="1" applyAlignment="1">
      <alignment horizontal="center" vertical="center" wrapText="1"/>
    </xf>
    <xf numFmtId="164" fontId="1" fillId="0" borderId="14" xfId="1" applyNumberFormat="1" applyFill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/>
    </xf>
    <xf numFmtId="43" fontId="1" fillId="0" borderId="13" xfId="1" applyFill="1" applyBorder="1" applyAlignment="1">
      <alignment horizontal="center" vertical="center" wrapText="1"/>
    </xf>
    <xf numFmtId="164" fontId="0" fillId="0" borderId="13" xfId="1" applyNumberFormat="1" applyFont="1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166" fontId="0" fillId="0" borderId="0" xfId="0" applyNumberFormat="1"/>
    <xf numFmtId="0" fontId="0" fillId="0" borderId="12" xfId="0" applyBorder="1" applyAlignment="1">
      <alignment horizontal="center" vertical="center"/>
    </xf>
    <xf numFmtId="164" fontId="2" fillId="0" borderId="21" xfId="1" applyNumberFormat="1" applyFont="1" applyBorder="1"/>
    <xf numFmtId="4" fontId="13" fillId="0" borderId="0" xfId="0" applyNumberFormat="1" applyFont="1"/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18" fontId="12" fillId="5" borderId="4" xfId="0" applyNumberFormat="1" applyFont="1" applyFill="1" applyBorder="1" applyAlignment="1">
      <alignment horizontal="center" vertical="center" wrapText="1"/>
    </xf>
    <xf numFmtId="9" fontId="12" fillId="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5" borderId="5" xfId="1" applyNumberFormat="1" applyFont="1" applyFill="1" applyBorder="1" applyAlignment="1">
      <alignment horizontal="center" vertical="center" wrapText="1"/>
    </xf>
    <xf numFmtId="2" fontId="12" fillId="5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3" fontId="14" fillId="0" borderId="0" xfId="0" applyNumberFormat="1" applyFont="1"/>
    <xf numFmtId="164" fontId="0" fillId="0" borderId="0" xfId="0" applyNumberFormat="1"/>
    <xf numFmtId="167" fontId="0" fillId="0" borderId="0" xfId="0" applyNumberFormat="1"/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1" xfId="0" applyBorder="1"/>
    <xf numFmtId="0" fontId="0" fillId="0" borderId="14" xfId="0" applyBorder="1"/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3" fontId="12" fillId="5" borderId="5" xfId="1" applyFont="1" applyFill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43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3" fontId="2" fillId="0" borderId="31" xfId="0" applyNumberFormat="1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4" fontId="0" fillId="0" borderId="28" xfId="1" applyNumberFormat="1" applyFont="1" applyBorder="1" applyAlignment="1">
      <alignment horizontal="center" vertical="center"/>
    </xf>
    <xf numFmtId="43" fontId="2" fillId="0" borderId="29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BD7-B1E9-48B1-B94B-A741EE5EC835}">
  <dimension ref="B1:I7"/>
  <sheetViews>
    <sheetView workbookViewId="0">
      <selection activeCell="D9" sqref="D9"/>
    </sheetView>
  </sheetViews>
  <sheetFormatPr defaultRowHeight="15" x14ac:dyDescent="0.25"/>
  <cols>
    <col min="1" max="1" width="5.7109375" style="37" bestFit="1" customWidth="1"/>
    <col min="2" max="2" width="10.28515625" style="37" bestFit="1" customWidth="1"/>
    <col min="3" max="3" width="20.140625" style="37" bestFit="1" customWidth="1"/>
    <col min="4" max="4" width="30.42578125" style="37" customWidth="1"/>
    <col min="5" max="5" width="35.42578125" style="37" bestFit="1" customWidth="1"/>
    <col min="6" max="8" width="9.140625" style="37"/>
    <col min="9" max="9" width="14.28515625" style="37" bestFit="1" customWidth="1"/>
    <col min="10" max="16384" width="9.140625" style="37"/>
  </cols>
  <sheetData>
    <row r="1" spans="2:9" ht="15.75" thickBot="1" x14ac:dyDescent="0.3"/>
    <row r="2" spans="2:9" ht="15.75" thickBot="1" x14ac:dyDescent="0.3">
      <c r="B2" s="79" t="s">
        <v>31</v>
      </c>
      <c r="C2" s="80" t="s">
        <v>25</v>
      </c>
      <c r="D2" s="80" t="s">
        <v>32</v>
      </c>
      <c r="E2" s="81" t="s">
        <v>33</v>
      </c>
    </row>
    <row r="3" spans="2:9" x14ac:dyDescent="0.25">
      <c r="B3" s="38">
        <v>1</v>
      </c>
      <c r="C3" s="39" t="s">
        <v>34</v>
      </c>
      <c r="D3" s="39" t="s">
        <v>35</v>
      </c>
      <c r="E3" s="40" t="s">
        <v>119</v>
      </c>
    </row>
    <row r="4" spans="2:9" x14ac:dyDescent="0.25">
      <c r="B4" s="41">
        <v>2</v>
      </c>
      <c r="C4" s="42" t="s">
        <v>36</v>
      </c>
      <c r="D4" s="42" t="s">
        <v>35</v>
      </c>
      <c r="E4" s="43" t="s">
        <v>120</v>
      </c>
    </row>
    <row r="5" spans="2:9" x14ac:dyDescent="0.25">
      <c r="B5" s="98" t="s">
        <v>14</v>
      </c>
      <c r="C5" s="99"/>
      <c r="D5" s="100"/>
      <c r="E5" s="82" t="s">
        <v>121</v>
      </c>
    </row>
    <row r="6" spans="2:9" x14ac:dyDescent="0.25">
      <c r="B6" s="98" t="s">
        <v>37</v>
      </c>
      <c r="C6" s="99"/>
      <c r="D6" s="100"/>
      <c r="E6" s="83">
        <f>95.85/8</f>
        <v>11.981249999999999</v>
      </c>
      <c r="I6" s="45"/>
    </row>
    <row r="7" spans="2:9" ht="15.75" thickBot="1" x14ac:dyDescent="0.3">
      <c r="B7" s="96" t="s">
        <v>122</v>
      </c>
      <c r="C7" s="97"/>
      <c r="D7" s="97"/>
      <c r="E7" s="84" t="s">
        <v>123</v>
      </c>
      <c r="H7" s="46"/>
    </row>
  </sheetData>
  <mergeCells count="3">
    <mergeCell ref="B7:D7"/>
    <mergeCell ref="B5:D5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63B6-715C-4555-AF43-A36FC3E956A2}">
  <dimension ref="B3:AH69"/>
  <sheetViews>
    <sheetView workbookViewId="0">
      <selection activeCell="U38" sqref="U38"/>
    </sheetView>
  </sheetViews>
  <sheetFormatPr defaultRowHeight="15" x14ac:dyDescent="0.25"/>
  <cols>
    <col min="1" max="1" width="7.42578125" customWidth="1"/>
    <col min="2" max="2" width="9" bestFit="1" customWidth="1"/>
    <col min="3" max="3" width="15.7109375" customWidth="1"/>
    <col min="4" max="6" width="8.85546875" style="2" customWidth="1"/>
    <col min="7" max="7" width="13.7109375" customWidth="1"/>
    <col min="8" max="8" width="6.5703125" style="7" customWidth="1"/>
    <col min="9" max="9" width="6.5703125" customWidth="1"/>
    <col min="10" max="10" width="9.5703125" customWidth="1"/>
    <col min="11" max="11" width="10.42578125" customWidth="1"/>
    <col min="12" max="12" width="11" customWidth="1"/>
    <col min="13" max="13" width="7.85546875" customWidth="1"/>
    <col min="14" max="14" width="8.140625" hidden="1" customWidth="1"/>
    <col min="15" max="15" width="10.85546875" bestFit="1" customWidth="1"/>
    <col min="16" max="16" width="15.42578125" bestFit="1" customWidth="1"/>
    <col min="17" max="17" width="12.42578125" hidden="1" customWidth="1"/>
    <col min="18" max="18" width="13.42578125" hidden="1" customWidth="1"/>
    <col min="19" max="19" width="11.7109375" hidden="1" customWidth="1"/>
    <col min="20" max="20" width="15.28515625" customWidth="1"/>
    <col min="21" max="21" width="11.7109375" bestFit="1" customWidth="1"/>
    <col min="22" max="22" width="15.28515625" style="3" bestFit="1" customWidth="1"/>
    <col min="23" max="23" width="15.42578125" bestFit="1" customWidth="1"/>
    <col min="24" max="24" width="15.28515625" bestFit="1" customWidth="1"/>
    <col min="25" max="26" width="15.42578125" bestFit="1" customWidth="1"/>
    <col min="27" max="27" width="14.42578125" bestFit="1" customWidth="1"/>
    <col min="28" max="28" width="10.28515625" bestFit="1" customWidth="1"/>
    <col min="31" max="31" width="14.42578125" bestFit="1" customWidth="1"/>
  </cols>
  <sheetData>
    <row r="3" spans="2:28" ht="29.25" customHeight="1" x14ac:dyDescent="0.25">
      <c r="B3" s="104" t="s">
        <v>38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</row>
    <row r="4" spans="2:28" ht="60" x14ac:dyDescent="0.25">
      <c r="B4" s="1" t="s">
        <v>0</v>
      </c>
      <c r="C4" s="1" t="s">
        <v>25</v>
      </c>
      <c r="D4" s="1" t="s">
        <v>1</v>
      </c>
      <c r="E4" s="1" t="s">
        <v>70</v>
      </c>
      <c r="F4" s="1" t="s">
        <v>71</v>
      </c>
      <c r="G4" s="1" t="s">
        <v>2</v>
      </c>
      <c r="H4" s="1" t="s">
        <v>72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10</v>
      </c>
      <c r="Q4" s="1" t="s">
        <v>74</v>
      </c>
      <c r="R4" s="1" t="s">
        <v>11</v>
      </c>
      <c r="S4" s="1" t="s">
        <v>12</v>
      </c>
      <c r="T4" s="1" t="s">
        <v>13</v>
      </c>
      <c r="V4"/>
    </row>
    <row r="5" spans="2:28" x14ac:dyDescent="0.25">
      <c r="B5" s="12">
        <v>1</v>
      </c>
      <c r="C5" s="12" t="s">
        <v>26</v>
      </c>
      <c r="D5" s="12" t="str">
        <f>IF(H5&gt;12,"Tin Shed","R.C.C")</f>
        <v>R.C.C</v>
      </c>
      <c r="E5" s="12">
        <v>28</v>
      </c>
      <c r="F5" s="12">
        <v>15</v>
      </c>
      <c r="G5" s="12">
        <f>F5*E5</f>
        <v>420</v>
      </c>
      <c r="H5" s="12">
        <f>3*3.28</f>
        <v>9.84</v>
      </c>
      <c r="I5" s="12">
        <v>1990</v>
      </c>
      <c r="J5" s="12">
        <v>2023</v>
      </c>
      <c r="K5" s="12">
        <f>J5-I5</f>
        <v>33</v>
      </c>
      <c r="L5" s="12" t="str">
        <f>IF(D5="R.C.C","65","45")</f>
        <v>65</v>
      </c>
      <c r="M5" s="13">
        <v>0.1</v>
      </c>
      <c r="N5" s="52">
        <f>(1-M5)/L5</f>
        <v>1.3846153846153847E-2</v>
      </c>
      <c r="O5" s="52" t="str">
        <f>IF(D5="R.C.C","1400","1000")</f>
        <v>1400</v>
      </c>
      <c r="P5" s="52">
        <f>O5*G5</f>
        <v>588000</v>
      </c>
      <c r="Q5" s="52">
        <f>N5*K5</f>
        <v>0.45692307692307693</v>
      </c>
      <c r="R5" s="52">
        <f>P5*Q5</f>
        <v>268670.76923076925</v>
      </c>
      <c r="S5" s="53"/>
      <c r="T5" s="54">
        <f>P5-R5</f>
        <v>319329.23076923075</v>
      </c>
      <c r="U5">
        <v>86</v>
      </c>
      <c r="V5">
        <v>56</v>
      </c>
      <c r="W5">
        <f>V5*U5</f>
        <v>4816</v>
      </c>
    </row>
    <row r="6" spans="2:28" x14ac:dyDescent="0.25">
      <c r="B6" s="12">
        <v>2</v>
      </c>
      <c r="C6" s="12" t="s">
        <v>39</v>
      </c>
      <c r="D6" s="12" t="s">
        <v>77</v>
      </c>
      <c r="E6" s="12">
        <v>76</v>
      </c>
      <c r="F6" s="12">
        <v>38</v>
      </c>
      <c r="G6" s="12">
        <f t="shared" ref="G6:G38" si="0">F6*E6</f>
        <v>2888</v>
      </c>
      <c r="H6" s="12">
        <v>3</v>
      </c>
      <c r="I6" s="12">
        <v>1990</v>
      </c>
      <c r="J6" s="12">
        <v>2023</v>
      </c>
      <c r="K6" s="12">
        <f t="shared" ref="K6:K39" si="1">J6-I6</f>
        <v>33</v>
      </c>
      <c r="L6" s="12" t="str">
        <f t="shared" ref="L6:L39" si="2">IF(D6="R.C.C","65","45")</f>
        <v>45</v>
      </c>
      <c r="M6" s="13">
        <v>0.1</v>
      </c>
      <c r="N6" s="52">
        <f t="shared" ref="N6:N39" si="3">(1-M6)/L6</f>
        <v>0.02</v>
      </c>
      <c r="O6" s="52">
        <v>700</v>
      </c>
      <c r="P6" s="52">
        <f t="shared" ref="P6:P39" si="4">O6*G6</f>
        <v>2021600</v>
      </c>
      <c r="Q6" s="52">
        <f t="shared" ref="Q6:Q39" si="5">N6*K6</f>
        <v>0.66</v>
      </c>
      <c r="R6" s="52">
        <f t="shared" ref="R6:R39" si="6">P6*Q6</f>
        <v>1334256</v>
      </c>
      <c r="S6" s="53"/>
      <c r="T6" s="54">
        <f t="shared" ref="T6:T39" si="7">P6-R6</f>
        <v>687344</v>
      </c>
      <c r="U6">
        <v>70</v>
      </c>
      <c r="V6">
        <v>31</v>
      </c>
      <c r="W6">
        <f>V6*U6</f>
        <v>2170</v>
      </c>
    </row>
    <row r="7" spans="2:28" ht="30" x14ac:dyDescent="0.25">
      <c r="B7" s="12">
        <v>3</v>
      </c>
      <c r="C7" s="12" t="s">
        <v>40</v>
      </c>
      <c r="D7" s="50" t="s">
        <v>29</v>
      </c>
      <c r="E7" s="50">
        <v>163</v>
      </c>
      <c r="F7" s="50">
        <v>88</v>
      </c>
      <c r="G7" s="12">
        <v>7172</v>
      </c>
      <c r="H7" s="12">
        <v>6</v>
      </c>
      <c r="I7" s="12">
        <v>1994</v>
      </c>
      <c r="J7" s="12">
        <v>2023</v>
      </c>
      <c r="K7" s="12">
        <f t="shared" si="1"/>
        <v>29</v>
      </c>
      <c r="L7" s="12" t="str">
        <f t="shared" si="2"/>
        <v>65</v>
      </c>
      <c r="M7" s="13">
        <v>0.1</v>
      </c>
      <c r="N7" s="52">
        <f t="shared" si="3"/>
        <v>1.3846153846153847E-2</v>
      </c>
      <c r="O7" s="52" t="str">
        <f t="shared" ref="O7:O32" si="8">IF(D7="R.C.C","1400","1000")</f>
        <v>1400</v>
      </c>
      <c r="P7" s="52">
        <f t="shared" si="4"/>
        <v>10040800</v>
      </c>
      <c r="Q7" s="52">
        <f t="shared" si="5"/>
        <v>0.40153846153846157</v>
      </c>
      <c r="R7" s="52">
        <f t="shared" si="6"/>
        <v>4031767.384615385</v>
      </c>
      <c r="S7" s="53"/>
      <c r="T7" s="54">
        <f t="shared" si="7"/>
        <v>6009032.615384615</v>
      </c>
      <c r="V7"/>
      <c r="W7">
        <v>16879</v>
      </c>
    </row>
    <row r="8" spans="2:28" x14ac:dyDescent="0.25">
      <c r="B8" s="12">
        <v>4</v>
      </c>
      <c r="C8" s="12" t="s">
        <v>41</v>
      </c>
      <c r="D8" s="12" t="s">
        <v>29</v>
      </c>
      <c r="E8" s="12">
        <v>20</v>
      </c>
      <c r="F8" s="12">
        <v>35</v>
      </c>
      <c r="G8" s="12">
        <f t="shared" si="0"/>
        <v>700</v>
      </c>
      <c r="H8" s="12">
        <v>3</v>
      </c>
      <c r="I8" s="12">
        <v>1994</v>
      </c>
      <c r="J8" s="12">
        <v>2023</v>
      </c>
      <c r="K8" s="12">
        <f t="shared" si="1"/>
        <v>29</v>
      </c>
      <c r="L8" s="12" t="str">
        <f t="shared" si="2"/>
        <v>65</v>
      </c>
      <c r="M8" s="13">
        <v>0.1</v>
      </c>
      <c r="N8" s="52">
        <f t="shared" si="3"/>
        <v>1.3846153846153847E-2</v>
      </c>
      <c r="O8" s="52" t="str">
        <f t="shared" si="8"/>
        <v>1400</v>
      </c>
      <c r="P8" s="52">
        <f t="shared" si="4"/>
        <v>980000</v>
      </c>
      <c r="Q8" s="52">
        <f t="shared" si="5"/>
        <v>0.40153846153846157</v>
      </c>
      <c r="R8" s="52">
        <f t="shared" si="6"/>
        <v>393507.69230769231</v>
      </c>
      <c r="S8" s="53"/>
      <c r="T8" s="54">
        <f t="shared" si="7"/>
        <v>586492.30769230775</v>
      </c>
      <c r="V8"/>
      <c r="W8">
        <v>262362</v>
      </c>
    </row>
    <row r="9" spans="2:28" x14ac:dyDescent="0.25">
      <c r="B9" s="12">
        <v>5</v>
      </c>
      <c r="C9" s="15" t="s">
        <v>42</v>
      </c>
      <c r="D9" s="15" t="s">
        <v>29</v>
      </c>
      <c r="E9" s="15">
        <v>23</v>
      </c>
      <c r="F9" s="15">
        <v>30</v>
      </c>
      <c r="G9" s="15">
        <f t="shared" si="0"/>
        <v>690</v>
      </c>
      <c r="H9" s="15">
        <v>3</v>
      </c>
      <c r="I9" s="15">
        <v>1996</v>
      </c>
      <c r="J9" s="15">
        <v>2023</v>
      </c>
      <c r="K9" s="12">
        <f t="shared" si="1"/>
        <v>27</v>
      </c>
      <c r="L9" s="12" t="str">
        <f t="shared" si="2"/>
        <v>65</v>
      </c>
      <c r="M9" s="13">
        <v>0.1</v>
      </c>
      <c r="N9" s="52">
        <f t="shared" si="3"/>
        <v>1.3846153846153847E-2</v>
      </c>
      <c r="O9" s="52" t="str">
        <f t="shared" si="8"/>
        <v>1400</v>
      </c>
      <c r="P9" s="52">
        <f t="shared" si="4"/>
        <v>966000</v>
      </c>
      <c r="Q9" s="52">
        <f t="shared" si="5"/>
        <v>0.37384615384615388</v>
      </c>
      <c r="R9" s="52">
        <f t="shared" si="6"/>
        <v>361135.38461538462</v>
      </c>
      <c r="S9" s="53"/>
      <c r="T9" s="54">
        <f t="shared" si="7"/>
        <v>604864.61538461538</v>
      </c>
      <c r="V9"/>
      <c r="W9" s="5">
        <f>SUM(W7:W8)</f>
        <v>279241</v>
      </c>
      <c r="X9">
        <v>10.763999999999999</v>
      </c>
    </row>
    <row r="10" spans="2:28" x14ac:dyDescent="0.25">
      <c r="B10" s="12">
        <v>6</v>
      </c>
      <c r="C10" s="15" t="s">
        <v>28</v>
      </c>
      <c r="D10" s="15" t="s">
        <v>29</v>
      </c>
      <c r="E10" s="15">
        <v>156</v>
      </c>
      <c r="F10" s="15">
        <v>87</v>
      </c>
      <c r="G10" s="15">
        <v>6986</v>
      </c>
      <c r="H10" s="15">
        <v>6</v>
      </c>
      <c r="I10" s="15">
        <v>1985</v>
      </c>
      <c r="J10" s="15">
        <v>2023</v>
      </c>
      <c r="K10" s="12">
        <f t="shared" si="1"/>
        <v>38</v>
      </c>
      <c r="L10" s="12" t="str">
        <f t="shared" si="2"/>
        <v>65</v>
      </c>
      <c r="M10" s="13">
        <v>0.1</v>
      </c>
      <c r="N10" s="52">
        <f t="shared" si="3"/>
        <v>1.3846153846153847E-2</v>
      </c>
      <c r="O10" s="52" t="str">
        <f t="shared" si="8"/>
        <v>1400</v>
      </c>
      <c r="P10" s="52">
        <f t="shared" si="4"/>
        <v>9780400</v>
      </c>
      <c r="Q10" s="52">
        <f t="shared" si="5"/>
        <v>0.52615384615384619</v>
      </c>
      <c r="R10" s="52">
        <f t="shared" si="6"/>
        <v>5145995.076923077</v>
      </c>
      <c r="S10" s="53"/>
      <c r="T10" s="54">
        <f t="shared" si="7"/>
        <v>4634404.923076923</v>
      </c>
      <c r="V10"/>
      <c r="X10" s="5">
        <f>W9*X9</f>
        <v>3005750.1239999998</v>
      </c>
    </row>
    <row r="11" spans="2:28" x14ac:dyDescent="0.25">
      <c r="B11" s="12">
        <v>7</v>
      </c>
      <c r="C11" s="15" t="s">
        <v>43</v>
      </c>
      <c r="D11" s="15" t="s">
        <v>30</v>
      </c>
      <c r="E11" s="15">
        <v>93</v>
      </c>
      <c r="F11" s="15">
        <v>57</v>
      </c>
      <c r="G11" s="15">
        <v>2601</v>
      </c>
      <c r="H11" s="15">
        <v>7</v>
      </c>
      <c r="I11" s="15">
        <v>2006</v>
      </c>
      <c r="J11" s="15">
        <v>2023</v>
      </c>
      <c r="K11" s="12">
        <f t="shared" si="1"/>
        <v>17</v>
      </c>
      <c r="L11" s="12" t="str">
        <f t="shared" si="2"/>
        <v>45</v>
      </c>
      <c r="M11" s="13">
        <v>0.1</v>
      </c>
      <c r="N11" s="52">
        <f t="shared" si="3"/>
        <v>0.02</v>
      </c>
      <c r="O11" s="52">
        <v>1200</v>
      </c>
      <c r="P11" s="52">
        <f t="shared" si="4"/>
        <v>3121200</v>
      </c>
      <c r="Q11" s="52">
        <f t="shared" si="5"/>
        <v>0.34</v>
      </c>
      <c r="R11" s="52">
        <f t="shared" si="6"/>
        <v>1061208</v>
      </c>
      <c r="S11" s="53"/>
      <c r="T11" s="54">
        <f t="shared" si="7"/>
        <v>2059992</v>
      </c>
      <c r="V11"/>
    </row>
    <row r="12" spans="2:28" x14ac:dyDescent="0.25">
      <c r="B12" s="12">
        <v>8</v>
      </c>
      <c r="C12" s="15" t="s">
        <v>44</v>
      </c>
      <c r="D12" s="15" t="s">
        <v>30</v>
      </c>
      <c r="E12" s="15">
        <v>75</v>
      </c>
      <c r="F12" s="15">
        <v>53</v>
      </c>
      <c r="G12" s="15">
        <f t="shared" si="0"/>
        <v>3975</v>
      </c>
      <c r="H12" s="15">
        <v>5</v>
      </c>
      <c r="I12" s="15">
        <v>1985</v>
      </c>
      <c r="J12" s="15">
        <v>2023</v>
      </c>
      <c r="K12" s="12">
        <f t="shared" si="1"/>
        <v>38</v>
      </c>
      <c r="L12" s="12" t="str">
        <f t="shared" si="2"/>
        <v>45</v>
      </c>
      <c r="M12" s="13">
        <v>0.1</v>
      </c>
      <c r="N12" s="52">
        <f t="shared" si="3"/>
        <v>0.02</v>
      </c>
      <c r="O12" s="52" t="str">
        <f t="shared" si="8"/>
        <v>1000</v>
      </c>
      <c r="P12" s="52">
        <f t="shared" si="4"/>
        <v>3975000</v>
      </c>
      <c r="Q12" s="52">
        <f t="shared" si="5"/>
        <v>0.76</v>
      </c>
      <c r="R12" s="52">
        <f t="shared" si="6"/>
        <v>3021000</v>
      </c>
      <c r="S12" s="53"/>
      <c r="T12" s="54">
        <f t="shared" si="7"/>
        <v>954000</v>
      </c>
      <c r="V12"/>
      <c r="X12" s="36">
        <v>53654.59</v>
      </c>
      <c r="Y12">
        <v>14000</v>
      </c>
      <c r="Z12" s="5">
        <f>X12*Y12</f>
        <v>751164260</v>
      </c>
    </row>
    <row r="13" spans="2:28" x14ac:dyDescent="0.25">
      <c r="B13" s="12">
        <v>9</v>
      </c>
      <c r="C13" s="15" t="s">
        <v>45</v>
      </c>
      <c r="D13" s="15" t="str">
        <f>IF(H13&gt;12,"Tin Shed","R.C.C")</f>
        <v>R.C.C</v>
      </c>
      <c r="E13" s="15">
        <v>100</v>
      </c>
      <c r="F13" s="15">
        <v>45</v>
      </c>
      <c r="G13" s="15">
        <f t="shared" si="0"/>
        <v>4500</v>
      </c>
      <c r="H13" s="15">
        <v>5</v>
      </c>
      <c r="I13" s="15">
        <v>2004</v>
      </c>
      <c r="J13" s="15">
        <v>2023</v>
      </c>
      <c r="K13" s="12">
        <f t="shared" si="1"/>
        <v>19</v>
      </c>
      <c r="L13" s="12" t="str">
        <f t="shared" si="2"/>
        <v>65</v>
      </c>
      <c r="M13" s="13">
        <v>0.1</v>
      </c>
      <c r="N13" s="52">
        <f t="shared" si="3"/>
        <v>1.3846153846153847E-2</v>
      </c>
      <c r="O13" s="52" t="str">
        <f t="shared" si="8"/>
        <v>1400</v>
      </c>
      <c r="P13" s="52">
        <f t="shared" si="4"/>
        <v>6300000</v>
      </c>
      <c r="Q13" s="52">
        <f t="shared" si="5"/>
        <v>0.2630769230769231</v>
      </c>
      <c r="R13" s="52">
        <f t="shared" si="6"/>
        <v>1657384.6153846155</v>
      </c>
      <c r="S13" s="53"/>
      <c r="T13" s="54">
        <f t="shared" si="7"/>
        <v>4642615.384615384</v>
      </c>
      <c r="V13"/>
      <c r="Z13">
        <v>167519663</v>
      </c>
    </row>
    <row r="14" spans="2:28" ht="30" x14ac:dyDescent="0.25">
      <c r="B14" s="12">
        <v>10</v>
      </c>
      <c r="C14" s="15" t="s">
        <v>46</v>
      </c>
      <c r="D14" s="15" t="s">
        <v>30</v>
      </c>
      <c r="E14" s="15">
        <v>50</v>
      </c>
      <c r="F14" s="15">
        <v>26</v>
      </c>
      <c r="G14" s="15">
        <f t="shared" si="0"/>
        <v>1300</v>
      </c>
      <c r="H14" s="15">
        <v>5</v>
      </c>
      <c r="I14" s="15">
        <v>2004</v>
      </c>
      <c r="J14" s="15">
        <v>2023</v>
      </c>
      <c r="K14" s="12">
        <f t="shared" si="1"/>
        <v>19</v>
      </c>
      <c r="L14" s="12" t="str">
        <f t="shared" si="2"/>
        <v>45</v>
      </c>
      <c r="M14" s="13">
        <v>0.1</v>
      </c>
      <c r="N14" s="52">
        <f t="shared" si="3"/>
        <v>0.02</v>
      </c>
      <c r="O14" s="52">
        <v>1100</v>
      </c>
      <c r="P14" s="52">
        <f t="shared" si="4"/>
        <v>1430000</v>
      </c>
      <c r="Q14" s="52">
        <f t="shared" si="5"/>
        <v>0.38</v>
      </c>
      <c r="R14" s="52">
        <f t="shared" si="6"/>
        <v>543400</v>
      </c>
      <c r="S14" s="53"/>
      <c r="T14" s="54">
        <f t="shared" si="7"/>
        <v>886600</v>
      </c>
      <c r="V14"/>
      <c r="Z14">
        <v>2800000</v>
      </c>
    </row>
    <row r="15" spans="2:28" x14ac:dyDescent="0.25">
      <c r="B15" s="12">
        <v>11</v>
      </c>
      <c r="C15" s="15" t="s">
        <v>47</v>
      </c>
      <c r="D15" s="15" t="s">
        <v>29</v>
      </c>
      <c r="E15" s="15">
        <v>116</v>
      </c>
      <c r="F15" s="15">
        <v>100</v>
      </c>
      <c r="G15" s="15">
        <v>5800</v>
      </c>
      <c r="H15" s="15">
        <v>4</v>
      </c>
      <c r="I15" s="15">
        <v>2004</v>
      </c>
      <c r="J15" s="15">
        <v>2023</v>
      </c>
      <c r="K15" s="12">
        <f t="shared" si="1"/>
        <v>19</v>
      </c>
      <c r="L15" s="12" t="str">
        <f t="shared" si="2"/>
        <v>65</v>
      </c>
      <c r="M15" s="13">
        <v>0.1</v>
      </c>
      <c r="N15" s="52">
        <f t="shared" si="3"/>
        <v>1.3846153846153847E-2</v>
      </c>
      <c r="O15" s="52" t="str">
        <f t="shared" si="8"/>
        <v>1400</v>
      </c>
      <c r="P15" s="52">
        <f t="shared" si="4"/>
        <v>8120000</v>
      </c>
      <c r="Q15" s="52">
        <f t="shared" si="5"/>
        <v>0.2630769230769231</v>
      </c>
      <c r="R15" s="52">
        <f t="shared" si="6"/>
        <v>2136184.6153846155</v>
      </c>
      <c r="S15" s="53"/>
      <c r="T15" s="54">
        <f t="shared" si="7"/>
        <v>5983815.384615384</v>
      </c>
      <c r="V15"/>
      <c r="Z15" s="4">
        <f>SUM(Z12:Z14)</f>
        <v>921483923</v>
      </c>
    </row>
    <row r="16" spans="2:28" ht="30" x14ac:dyDescent="0.25">
      <c r="B16" s="12">
        <v>12</v>
      </c>
      <c r="C16" s="15" t="s">
        <v>48</v>
      </c>
      <c r="D16" s="15" t="s">
        <v>30</v>
      </c>
      <c r="E16" s="15">
        <v>26</v>
      </c>
      <c r="F16" s="15">
        <v>27</v>
      </c>
      <c r="G16" s="15">
        <v>700</v>
      </c>
      <c r="H16" s="15">
        <v>7</v>
      </c>
      <c r="I16" s="15">
        <v>2006</v>
      </c>
      <c r="J16" s="15">
        <v>2023</v>
      </c>
      <c r="K16" s="12">
        <f t="shared" si="1"/>
        <v>17</v>
      </c>
      <c r="L16" s="12" t="str">
        <f t="shared" si="2"/>
        <v>45</v>
      </c>
      <c r="M16" s="13">
        <v>0.1</v>
      </c>
      <c r="N16" s="52">
        <f t="shared" si="3"/>
        <v>0.02</v>
      </c>
      <c r="O16" s="52">
        <v>1200</v>
      </c>
      <c r="P16" s="52">
        <f t="shared" si="4"/>
        <v>840000</v>
      </c>
      <c r="Q16" s="52">
        <f t="shared" si="5"/>
        <v>0.34</v>
      </c>
      <c r="R16" s="52">
        <f t="shared" si="6"/>
        <v>285600</v>
      </c>
      <c r="S16" s="53"/>
      <c r="T16" s="54">
        <f t="shared" si="7"/>
        <v>554400</v>
      </c>
      <c r="V16"/>
      <c r="Z16" s="4">
        <f>Z15*AA16</f>
        <v>783261334.54999995</v>
      </c>
      <c r="AA16">
        <v>0.85</v>
      </c>
      <c r="AB16">
        <v>0.75</v>
      </c>
    </row>
    <row r="17" spans="2:26" ht="30" x14ac:dyDescent="0.25">
      <c r="B17" s="48" t="s">
        <v>73</v>
      </c>
      <c r="C17" s="15" t="s">
        <v>48</v>
      </c>
      <c r="D17" s="15" t="s">
        <v>29</v>
      </c>
      <c r="E17" s="15">
        <v>26</v>
      </c>
      <c r="F17" s="15">
        <v>27</v>
      </c>
      <c r="G17" s="15">
        <v>700</v>
      </c>
      <c r="H17" s="15">
        <v>3</v>
      </c>
      <c r="I17" s="15">
        <v>2006</v>
      </c>
      <c r="J17" s="15">
        <v>2023</v>
      </c>
      <c r="K17" s="12">
        <f t="shared" si="1"/>
        <v>17</v>
      </c>
      <c r="L17" s="12" t="str">
        <f t="shared" si="2"/>
        <v>65</v>
      </c>
      <c r="M17" s="13">
        <v>0.1</v>
      </c>
      <c r="N17" s="52">
        <f t="shared" si="3"/>
        <v>1.3846153846153847E-2</v>
      </c>
      <c r="O17" s="52" t="str">
        <f t="shared" si="8"/>
        <v>1400</v>
      </c>
      <c r="P17" s="52">
        <f t="shared" si="4"/>
        <v>980000</v>
      </c>
      <c r="Q17" s="52">
        <f t="shared" si="5"/>
        <v>0.23538461538461539</v>
      </c>
      <c r="R17" s="52">
        <f t="shared" si="6"/>
        <v>230676.92307692309</v>
      </c>
      <c r="S17" s="53"/>
      <c r="T17" s="54">
        <f t="shared" si="7"/>
        <v>749323.07692307688</v>
      </c>
      <c r="V17"/>
      <c r="Z17" s="4"/>
    </row>
    <row r="18" spans="2:26" ht="30" x14ac:dyDescent="0.25">
      <c r="B18" s="12">
        <v>13</v>
      </c>
      <c r="C18" s="15" t="s">
        <v>49</v>
      </c>
      <c r="D18" s="15" t="s">
        <v>29</v>
      </c>
      <c r="E18" s="15">
        <v>60</v>
      </c>
      <c r="F18" s="15">
        <v>40</v>
      </c>
      <c r="G18" s="15">
        <f t="shared" si="0"/>
        <v>2400</v>
      </c>
      <c r="H18" s="15">
        <v>3</v>
      </c>
      <c r="I18" s="15">
        <v>2019</v>
      </c>
      <c r="J18" s="15">
        <v>2023</v>
      </c>
      <c r="K18" s="12">
        <f t="shared" si="1"/>
        <v>4</v>
      </c>
      <c r="L18" s="12" t="str">
        <f t="shared" si="2"/>
        <v>65</v>
      </c>
      <c r="M18" s="13">
        <v>0.1</v>
      </c>
      <c r="N18" s="52">
        <f t="shared" si="3"/>
        <v>1.3846153846153847E-2</v>
      </c>
      <c r="O18" s="52">
        <v>1500</v>
      </c>
      <c r="P18" s="52">
        <f t="shared" si="4"/>
        <v>3600000</v>
      </c>
      <c r="Q18" s="52">
        <f t="shared" si="5"/>
        <v>5.5384615384615386E-2</v>
      </c>
      <c r="R18" s="52">
        <f t="shared" si="6"/>
        <v>199384.6153846154</v>
      </c>
      <c r="S18" s="53"/>
      <c r="T18" s="54">
        <f t="shared" si="7"/>
        <v>3400615.3846153845</v>
      </c>
      <c r="V18"/>
      <c r="Z18" s="4">
        <f>Z15*AB16</f>
        <v>691112942.25</v>
      </c>
    </row>
    <row r="19" spans="2:26" ht="30" x14ac:dyDescent="0.25">
      <c r="B19" s="12">
        <v>14</v>
      </c>
      <c r="C19" s="15" t="s">
        <v>50</v>
      </c>
      <c r="D19" s="15" t="s">
        <v>30</v>
      </c>
      <c r="E19" s="15">
        <v>70</v>
      </c>
      <c r="F19" s="15">
        <v>78</v>
      </c>
      <c r="G19" s="15">
        <v>3150</v>
      </c>
      <c r="H19" s="15">
        <v>3</v>
      </c>
      <c r="I19" s="15">
        <v>2019</v>
      </c>
      <c r="J19" s="15">
        <v>2023</v>
      </c>
      <c r="K19" s="12">
        <f t="shared" si="1"/>
        <v>4</v>
      </c>
      <c r="L19" s="12" t="str">
        <f t="shared" si="2"/>
        <v>45</v>
      </c>
      <c r="M19" s="13">
        <v>0.1</v>
      </c>
      <c r="N19" s="52">
        <f t="shared" si="3"/>
        <v>0.02</v>
      </c>
      <c r="O19" s="52">
        <v>1200</v>
      </c>
      <c r="P19" s="52">
        <f t="shared" si="4"/>
        <v>3780000</v>
      </c>
      <c r="Q19" s="52">
        <f t="shared" si="5"/>
        <v>0.08</v>
      </c>
      <c r="R19" s="52">
        <f t="shared" si="6"/>
        <v>302400</v>
      </c>
      <c r="S19" s="53"/>
      <c r="T19" s="54">
        <f t="shared" si="7"/>
        <v>3477600</v>
      </c>
      <c r="V19"/>
    </row>
    <row r="20" spans="2:26" x14ac:dyDescent="0.25">
      <c r="B20" s="12">
        <v>15</v>
      </c>
      <c r="C20" s="15" t="s">
        <v>51</v>
      </c>
      <c r="D20" s="15" t="str">
        <f>IF(H20&gt;12,"Tin Shed","R.C.C")</f>
        <v>Tin Shed</v>
      </c>
      <c r="E20" s="15">
        <v>175</v>
      </c>
      <c r="F20" s="15">
        <v>57</v>
      </c>
      <c r="G20" s="15">
        <v>4941</v>
      </c>
      <c r="H20" s="15">
        <v>20</v>
      </c>
      <c r="I20" s="15">
        <v>2006</v>
      </c>
      <c r="J20" s="15">
        <v>2023</v>
      </c>
      <c r="K20" s="12">
        <f t="shared" si="1"/>
        <v>17</v>
      </c>
      <c r="L20" s="12" t="str">
        <f t="shared" si="2"/>
        <v>45</v>
      </c>
      <c r="M20" s="13">
        <v>0.1</v>
      </c>
      <c r="N20" s="52">
        <f t="shared" si="3"/>
        <v>0.02</v>
      </c>
      <c r="O20" s="52">
        <v>1800</v>
      </c>
      <c r="P20" s="52">
        <f t="shared" si="4"/>
        <v>8893800</v>
      </c>
      <c r="Q20" s="52">
        <f t="shared" si="5"/>
        <v>0.34</v>
      </c>
      <c r="R20" s="52">
        <f t="shared" si="6"/>
        <v>3023892</v>
      </c>
      <c r="S20" s="53"/>
      <c r="T20" s="54">
        <f t="shared" si="7"/>
        <v>5869908</v>
      </c>
      <c r="V20"/>
    </row>
    <row r="21" spans="2:26" x14ac:dyDescent="0.25">
      <c r="B21" s="12">
        <v>16</v>
      </c>
      <c r="C21" s="15" t="s">
        <v>52</v>
      </c>
      <c r="D21" s="15" t="s">
        <v>29</v>
      </c>
      <c r="E21" s="15">
        <f>87/2</f>
        <v>43.5</v>
      </c>
      <c r="F21" s="15">
        <f>40/2</f>
        <v>20</v>
      </c>
      <c r="G21" s="15">
        <v>3480</v>
      </c>
      <c r="H21" s="15">
        <v>5</v>
      </c>
      <c r="I21" s="15">
        <v>1996</v>
      </c>
      <c r="J21" s="15">
        <v>2023</v>
      </c>
      <c r="K21" s="12">
        <f t="shared" si="1"/>
        <v>27</v>
      </c>
      <c r="L21" s="12" t="str">
        <f t="shared" si="2"/>
        <v>65</v>
      </c>
      <c r="M21" s="13">
        <v>0.1</v>
      </c>
      <c r="N21" s="52">
        <f t="shared" si="3"/>
        <v>1.3846153846153847E-2</v>
      </c>
      <c r="O21" s="52" t="str">
        <f t="shared" si="8"/>
        <v>1400</v>
      </c>
      <c r="P21" s="52">
        <f t="shared" si="4"/>
        <v>4872000</v>
      </c>
      <c r="Q21" s="52">
        <f t="shared" si="5"/>
        <v>0.37384615384615388</v>
      </c>
      <c r="R21" s="52">
        <f t="shared" si="6"/>
        <v>1821378.4615384617</v>
      </c>
      <c r="S21" s="53"/>
      <c r="T21" s="54">
        <f t="shared" si="7"/>
        <v>3050621.538461538</v>
      </c>
      <c r="V21"/>
    </row>
    <row r="22" spans="2:26" ht="30" x14ac:dyDescent="0.25">
      <c r="B22" s="12">
        <v>17</v>
      </c>
      <c r="C22" s="15" t="s">
        <v>53</v>
      </c>
      <c r="D22" s="15" t="s">
        <v>29</v>
      </c>
      <c r="E22" s="15">
        <v>94</v>
      </c>
      <c r="F22" s="15">
        <v>32</v>
      </c>
      <c r="G22" s="15">
        <f t="shared" si="0"/>
        <v>3008</v>
      </c>
      <c r="H22" s="15">
        <v>22</v>
      </c>
      <c r="I22" s="15">
        <v>1996</v>
      </c>
      <c r="J22" s="15">
        <v>2023</v>
      </c>
      <c r="K22" s="12">
        <f t="shared" si="1"/>
        <v>27</v>
      </c>
      <c r="L22" s="12" t="str">
        <f t="shared" si="2"/>
        <v>65</v>
      </c>
      <c r="M22" s="13">
        <v>0.1</v>
      </c>
      <c r="N22" s="52">
        <f t="shared" si="3"/>
        <v>1.3846153846153847E-2</v>
      </c>
      <c r="O22" s="52" t="str">
        <f t="shared" si="8"/>
        <v>1400</v>
      </c>
      <c r="P22" s="52">
        <f t="shared" si="4"/>
        <v>4211200</v>
      </c>
      <c r="Q22" s="52">
        <f t="shared" si="5"/>
        <v>0.37384615384615388</v>
      </c>
      <c r="R22" s="52">
        <f t="shared" si="6"/>
        <v>1574340.9230769232</v>
      </c>
      <c r="S22" s="53"/>
      <c r="T22" s="54">
        <f t="shared" si="7"/>
        <v>2636859.076923077</v>
      </c>
      <c r="V22"/>
    </row>
    <row r="23" spans="2:26" ht="45" x14ac:dyDescent="0.25">
      <c r="B23" s="12">
        <v>18</v>
      </c>
      <c r="C23" s="15" t="s">
        <v>54</v>
      </c>
      <c r="D23" s="15" t="s">
        <v>29</v>
      </c>
      <c r="E23" s="15">
        <f>111/2</f>
        <v>55.5</v>
      </c>
      <c r="F23" s="15">
        <v>30</v>
      </c>
      <c r="G23" s="15">
        <v>6660</v>
      </c>
      <c r="H23" s="15">
        <v>6</v>
      </c>
      <c r="I23" s="15">
        <v>2006</v>
      </c>
      <c r="J23" s="15">
        <v>2023</v>
      </c>
      <c r="K23" s="12">
        <f t="shared" si="1"/>
        <v>17</v>
      </c>
      <c r="L23" s="12" t="str">
        <f t="shared" si="2"/>
        <v>65</v>
      </c>
      <c r="M23" s="13">
        <v>0.1</v>
      </c>
      <c r="N23" s="52">
        <f t="shared" si="3"/>
        <v>1.3846153846153847E-2</v>
      </c>
      <c r="O23" s="52" t="str">
        <f t="shared" si="8"/>
        <v>1400</v>
      </c>
      <c r="P23" s="52">
        <f t="shared" si="4"/>
        <v>9324000</v>
      </c>
      <c r="Q23" s="52">
        <f t="shared" si="5"/>
        <v>0.23538461538461539</v>
      </c>
      <c r="R23" s="52">
        <f t="shared" si="6"/>
        <v>2194726.153846154</v>
      </c>
      <c r="S23" s="53"/>
      <c r="T23" s="54">
        <f t="shared" si="7"/>
        <v>7129273.846153846</v>
      </c>
      <c r="V23"/>
    </row>
    <row r="24" spans="2:26" x14ac:dyDescent="0.25">
      <c r="B24" s="12">
        <v>19</v>
      </c>
      <c r="C24" s="15" t="s">
        <v>55</v>
      </c>
      <c r="D24" s="15" t="str">
        <f>IF(H24&gt;12,"Tin Shed","R.C.C")</f>
        <v>R.C.C</v>
      </c>
      <c r="E24" s="15">
        <v>108</v>
      </c>
      <c r="F24" s="15">
        <v>48</v>
      </c>
      <c r="G24" s="15">
        <v>2592</v>
      </c>
      <c r="H24" s="15">
        <v>5</v>
      </c>
      <c r="I24" s="15">
        <v>1996</v>
      </c>
      <c r="J24" s="15">
        <v>2023</v>
      </c>
      <c r="K24" s="12">
        <f t="shared" si="1"/>
        <v>27</v>
      </c>
      <c r="L24" s="12" t="str">
        <f t="shared" si="2"/>
        <v>65</v>
      </c>
      <c r="M24" s="13">
        <v>0.1</v>
      </c>
      <c r="N24" s="52">
        <f t="shared" si="3"/>
        <v>1.3846153846153847E-2</v>
      </c>
      <c r="O24" s="52" t="str">
        <f t="shared" si="8"/>
        <v>1400</v>
      </c>
      <c r="P24" s="52">
        <f t="shared" si="4"/>
        <v>3628800</v>
      </c>
      <c r="Q24" s="52">
        <f t="shared" si="5"/>
        <v>0.37384615384615388</v>
      </c>
      <c r="R24" s="52">
        <f t="shared" si="6"/>
        <v>1356612.9230769232</v>
      </c>
      <c r="S24" s="53"/>
      <c r="T24" s="54">
        <f t="shared" si="7"/>
        <v>2272187.076923077</v>
      </c>
      <c r="V24"/>
    </row>
    <row r="25" spans="2:26" ht="30" x14ac:dyDescent="0.25">
      <c r="B25" s="12">
        <v>20</v>
      </c>
      <c r="C25" s="15" t="s">
        <v>56</v>
      </c>
      <c r="D25" s="15" t="str">
        <f>IF(H25&gt;12,"Tin Shed","R.C.C")</f>
        <v>R.C.C</v>
      </c>
      <c r="E25" s="15">
        <v>222</v>
      </c>
      <c r="F25" s="15">
        <v>76</v>
      </c>
      <c r="G25" s="15">
        <v>8436</v>
      </c>
      <c r="H25" s="15">
        <v>10</v>
      </c>
      <c r="I25" s="15">
        <v>1985</v>
      </c>
      <c r="J25" s="15">
        <v>2023</v>
      </c>
      <c r="K25" s="12">
        <f t="shared" si="1"/>
        <v>38</v>
      </c>
      <c r="L25" s="12" t="str">
        <f t="shared" si="2"/>
        <v>65</v>
      </c>
      <c r="M25" s="13">
        <v>0.1</v>
      </c>
      <c r="N25" s="52">
        <f t="shared" si="3"/>
        <v>1.3846153846153847E-2</v>
      </c>
      <c r="O25" s="52" t="str">
        <f t="shared" si="8"/>
        <v>1400</v>
      </c>
      <c r="P25" s="52">
        <f t="shared" si="4"/>
        <v>11810400</v>
      </c>
      <c r="Q25" s="52">
        <f t="shared" si="5"/>
        <v>0.52615384615384619</v>
      </c>
      <c r="R25" s="52">
        <f t="shared" si="6"/>
        <v>6214087.384615385</v>
      </c>
      <c r="S25" s="53"/>
      <c r="T25" s="54">
        <f t="shared" si="7"/>
        <v>5596312.615384615</v>
      </c>
      <c r="V25"/>
    </row>
    <row r="26" spans="2:26" ht="30" x14ac:dyDescent="0.25">
      <c r="B26" s="12">
        <v>21</v>
      </c>
      <c r="C26" s="15" t="s">
        <v>57</v>
      </c>
      <c r="D26" s="15" t="str">
        <f>IF(H26&gt;12,"Tin Shed","R.C.C")</f>
        <v>R.C.C</v>
      </c>
      <c r="E26" s="15">
        <v>222</v>
      </c>
      <c r="F26" s="15">
        <v>76</v>
      </c>
      <c r="G26" s="15">
        <v>8436</v>
      </c>
      <c r="H26" s="15">
        <v>10</v>
      </c>
      <c r="I26" s="15">
        <v>1985</v>
      </c>
      <c r="J26" s="15">
        <v>2023</v>
      </c>
      <c r="K26" s="12">
        <f t="shared" si="1"/>
        <v>38</v>
      </c>
      <c r="L26" s="12" t="str">
        <f t="shared" si="2"/>
        <v>65</v>
      </c>
      <c r="M26" s="13">
        <v>0.1</v>
      </c>
      <c r="N26" s="52">
        <f t="shared" si="3"/>
        <v>1.3846153846153847E-2</v>
      </c>
      <c r="O26" s="52" t="str">
        <f t="shared" si="8"/>
        <v>1400</v>
      </c>
      <c r="P26" s="52">
        <f t="shared" si="4"/>
        <v>11810400</v>
      </c>
      <c r="Q26" s="52">
        <f t="shared" si="5"/>
        <v>0.52615384615384619</v>
      </c>
      <c r="R26" s="52">
        <f t="shared" si="6"/>
        <v>6214087.384615385</v>
      </c>
      <c r="S26" s="53"/>
      <c r="T26" s="54">
        <f t="shared" si="7"/>
        <v>5596312.615384615</v>
      </c>
      <c r="V26"/>
    </row>
    <row r="27" spans="2:26" ht="30" x14ac:dyDescent="0.25">
      <c r="B27" s="12">
        <v>22</v>
      </c>
      <c r="C27" s="12" t="s">
        <v>58</v>
      </c>
      <c r="D27" s="12" t="str">
        <f>IF(H27&gt;12,"Tin Shed","R.C.C")</f>
        <v>R.C.C</v>
      </c>
      <c r="E27" s="12">
        <v>120</v>
      </c>
      <c r="F27" s="12">
        <v>72</v>
      </c>
      <c r="G27" s="12">
        <v>8640</v>
      </c>
      <c r="H27" s="12">
        <v>5</v>
      </c>
      <c r="I27" s="12">
        <v>1993</v>
      </c>
      <c r="J27" s="12">
        <v>2023</v>
      </c>
      <c r="K27" s="12">
        <f t="shared" si="1"/>
        <v>30</v>
      </c>
      <c r="L27" s="12" t="str">
        <f t="shared" si="2"/>
        <v>65</v>
      </c>
      <c r="M27" s="13">
        <v>0.1</v>
      </c>
      <c r="N27" s="52">
        <f t="shared" si="3"/>
        <v>1.3846153846153847E-2</v>
      </c>
      <c r="O27" s="52" t="str">
        <f t="shared" si="8"/>
        <v>1400</v>
      </c>
      <c r="P27" s="52">
        <f t="shared" si="4"/>
        <v>12096000</v>
      </c>
      <c r="Q27" s="52">
        <f t="shared" si="5"/>
        <v>0.41538461538461541</v>
      </c>
      <c r="R27" s="52">
        <f t="shared" si="6"/>
        <v>5024492.307692308</v>
      </c>
      <c r="S27" s="53"/>
      <c r="T27" s="54">
        <f t="shared" si="7"/>
        <v>7071507.692307692</v>
      </c>
      <c r="V27"/>
    </row>
    <row r="28" spans="2:26" ht="30" x14ac:dyDescent="0.25">
      <c r="B28" s="12">
        <v>23</v>
      </c>
      <c r="C28" s="12" t="s">
        <v>59</v>
      </c>
      <c r="D28" s="12" t="s">
        <v>30</v>
      </c>
      <c r="E28" s="12">
        <v>49</v>
      </c>
      <c r="F28" s="12">
        <v>48</v>
      </c>
      <c r="G28" s="12">
        <v>2352</v>
      </c>
      <c r="H28" s="12">
        <v>7</v>
      </c>
      <c r="I28" s="12">
        <v>1985</v>
      </c>
      <c r="J28" s="12">
        <v>2023</v>
      </c>
      <c r="K28" s="12">
        <f t="shared" si="1"/>
        <v>38</v>
      </c>
      <c r="L28" s="12" t="str">
        <f t="shared" si="2"/>
        <v>45</v>
      </c>
      <c r="M28" s="13">
        <v>0.1</v>
      </c>
      <c r="N28" s="52">
        <f t="shared" si="3"/>
        <v>0.02</v>
      </c>
      <c r="O28" s="52">
        <v>1200</v>
      </c>
      <c r="P28" s="52">
        <f t="shared" si="4"/>
        <v>2822400</v>
      </c>
      <c r="Q28" s="52">
        <f t="shared" si="5"/>
        <v>0.76</v>
      </c>
      <c r="R28" s="52">
        <f t="shared" si="6"/>
        <v>2145024</v>
      </c>
      <c r="S28" s="53"/>
      <c r="T28" s="54">
        <f t="shared" si="7"/>
        <v>677376</v>
      </c>
      <c r="V28"/>
    </row>
    <row r="29" spans="2:26" ht="30" x14ac:dyDescent="0.25">
      <c r="B29" s="12">
        <v>24</v>
      </c>
      <c r="C29" s="12" t="s">
        <v>60</v>
      </c>
      <c r="D29" s="12" t="s">
        <v>30</v>
      </c>
      <c r="E29" s="12">
        <v>49</v>
      </c>
      <c r="F29" s="12">
        <v>48</v>
      </c>
      <c r="G29" s="12">
        <f t="shared" si="0"/>
        <v>2352</v>
      </c>
      <c r="H29" s="12">
        <v>7</v>
      </c>
      <c r="I29" s="12">
        <v>1985</v>
      </c>
      <c r="J29" s="12">
        <v>2023</v>
      </c>
      <c r="K29" s="12">
        <f t="shared" si="1"/>
        <v>38</v>
      </c>
      <c r="L29" s="12" t="str">
        <f t="shared" si="2"/>
        <v>45</v>
      </c>
      <c r="M29" s="13">
        <v>0.1</v>
      </c>
      <c r="N29" s="52">
        <f t="shared" si="3"/>
        <v>0.02</v>
      </c>
      <c r="O29" s="52">
        <v>1200</v>
      </c>
      <c r="P29" s="52">
        <f t="shared" si="4"/>
        <v>2822400</v>
      </c>
      <c r="Q29" s="52">
        <f t="shared" si="5"/>
        <v>0.76</v>
      </c>
      <c r="R29" s="52">
        <f t="shared" si="6"/>
        <v>2145024</v>
      </c>
      <c r="S29" s="53"/>
      <c r="T29" s="54">
        <f t="shared" si="7"/>
        <v>677376</v>
      </c>
      <c r="V29"/>
    </row>
    <row r="30" spans="2:26" ht="30" x14ac:dyDescent="0.25">
      <c r="B30" s="12">
        <v>25</v>
      </c>
      <c r="C30" s="12" t="s">
        <v>61</v>
      </c>
      <c r="D30" s="12" t="s">
        <v>30</v>
      </c>
      <c r="E30" s="12">
        <v>110</v>
      </c>
      <c r="F30" s="12">
        <v>19</v>
      </c>
      <c r="G30" s="12">
        <f t="shared" si="0"/>
        <v>2090</v>
      </c>
      <c r="H30" s="12">
        <v>4</v>
      </c>
      <c r="I30" s="12">
        <v>1985</v>
      </c>
      <c r="J30" s="12">
        <v>2023</v>
      </c>
      <c r="K30" s="12">
        <f t="shared" si="1"/>
        <v>38</v>
      </c>
      <c r="L30" s="12" t="str">
        <f t="shared" si="2"/>
        <v>45</v>
      </c>
      <c r="M30" s="13">
        <v>0.1</v>
      </c>
      <c r="N30" s="52">
        <f t="shared" si="3"/>
        <v>0.02</v>
      </c>
      <c r="O30" s="52">
        <v>700</v>
      </c>
      <c r="P30" s="52">
        <f t="shared" si="4"/>
        <v>1463000</v>
      </c>
      <c r="Q30" s="52">
        <f t="shared" si="5"/>
        <v>0.76</v>
      </c>
      <c r="R30" s="52">
        <f t="shared" si="6"/>
        <v>1111880</v>
      </c>
      <c r="S30" s="53"/>
      <c r="T30" s="54">
        <f t="shared" si="7"/>
        <v>351120</v>
      </c>
      <c r="V30"/>
    </row>
    <row r="31" spans="2:26" ht="30" x14ac:dyDescent="0.25">
      <c r="B31" s="12">
        <v>26</v>
      </c>
      <c r="C31" s="12" t="s">
        <v>62</v>
      </c>
      <c r="D31" s="12" t="s">
        <v>30</v>
      </c>
      <c r="E31" s="12">
        <v>29</v>
      </c>
      <c r="F31" s="12">
        <v>49</v>
      </c>
      <c r="G31" s="12">
        <f t="shared" si="0"/>
        <v>1421</v>
      </c>
      <c r="H31" s="12">
        <v>7</v>
      </c>
      <c r="I31" s="12">
        <v>1985</v>
      </c>
      <c r="J31" s="12">
        <v>2023</v>
      </c>
      <c r="K31" s="12">
        <f t="shared" si="1"/>
        <v>38</v>
      </c>
      <c r="L31" s="12" t="str">
        <f t="shared" si="2"/>
        <v>45</v>
      </c>
      <c r="M31" s="13">
        <v>0.1</v>
      </c>
      <c r="N31" s="52">
        <f t="shared" si="3"/>
        <v>0.02</v>
      </c>
      <c r="O31" s="52">
        <v>1000</v>
      </c>
      <c r="P31" s="52">
        <f t="shared" si="4"/>
        <v>1421000</v>
      </c>
      <c r="Q31" s="52">
        <f t="shared" si="5"/>
        <v>0.76</v>
      </c>
      <c r="R31" s="52">
        <f t="shared" si="6"/>
        <v>1079960</v>
      </c>
      <c r="S31" s="53"/>
      <c r="T31" s="54">
        <f t="shared" si="7"/>
        <v>341040</v>
      </c>
      <c r="V31"/>
    </row>
    <row r="32" spans="2:26" x14ac:dyDescent="0.25">
      <c r="B32" s="12">
        <v>27</v>
      </c>
      <c r="C32" s="12" t="s">
        <v>63</v>
      </c>
      <c r="D32" s="12" t="s">
        <v>30</v>
      </c>
      <c r="E32" s="12">
        <v>89</v>
      </c>
      <c r="F32" s="12">
        <v>94</v>
      </c>
      <c r="G32" s="12">
        <v>4165</v>
      </c>
      <c r="H32" s="15">
        <v>8</v>
      </c>
      <c r="I32" s="12">
        <v>2002</v>
      </c>
      <c r="J32" s="12">
        <v>2023</v>
      </c>
      <c r="K32" s="12">
        <f t="shared" si="1"/>
        <v>21</v>
      </c>
      <c r="L32" s="12" t="str">
        <f t="shared" si="2"/>
        <v>45</v>
      </c>
      <c r="M32" s="13">
        <v>0.1</v>
      </c>
      <c r="N32" s="52">
        <f t="shared" si="3"/>
        <v>0.02</v>
      </c>
      <c r="O32" s="52" t="str">
        <f t="shared" si="8"/>
        <v>1000</v>
      </c>
      <c r="P32" s="52">
        <f t="shared" si="4"/>
        <v>4165000</v>
      </c>
      <c r="Q32" s="52">
        <f t="shared" si="5"/>
        <v>0.42</v>
      </c>
      <c r="R32" s="52">
        <f t="shared" si="6"/>
        <v>1749300</v>
      </c>
      <c r="S32" s="53"/>
      <c r="T32" s="54">
        <f t="shared" si="7"/>
        <v>2415700</v>
      </c>
      <c r="V32"/>
    </row>
    <row r="33" spans="2:34" ht="30" x14ac:dyDescent="0.25">
      <c r="B33" s="12">
        <v>28</v>
      </c>
      <c r="C33" s="12" t="s">
        <v>64</v>
      </c>
      <c r="D33" s="12" t="s">
        <v>77</v>
      </c>
      <c r="E33" s="12">
        <v>247</v>
      </c>
      <c r="F33" s="12">
        <v>52</v>
      </c>
      <c r="G33" s="12">
        <f t="shared" si="0"/>
        <v>12844</v>
      </c>
      <c r="H33" s="15">
        <v>15</v>
      </c>
      <c r="I33" s="12">
        <v>1990</v>
      </c>
      <c r="J33" s="12">
        <v>2023</v>
      </c>
      <c r="K33" s="12">
        <f t="shared" si="1"/>
        <v>33</v>
      </c>
      <c r="L33" s="12" t="str">
        <f t="shared" si="2"/>
        <v>45</v>
      </c>
      <c r="M33" s="13">
        <v>0.1</v>
      </c>
      <c r="N33" s="52">
        <f t="shared" si="3"/>
        <v>0.02</v>
      </c>
      <c r="O33" s="52">
        <v>900</v>
      </c>
      <c r="P33" s="52">
        <f t="shared" si="4"/>
        <v>11559600</v>
      </c>
      <c r="Q33" s="52">
        <f t="shared" si="5"/>
        <v>0.66</v>
      </c>
      <c r="R33" s="52">
        <f t="shared" si="6"/>
        <v>7629336</v>
      </c>
      <c r="S33" s="53"/>
      <c r="T33" s="54">
        <f t="shared" si="7"/>
        <v>3930264</v>
      </c>
      <c r="V33"/>
    </row>
    <row r="34" spans="2:34" x14ac:dyDescent="0.25">
      <c r="B34" s="12">
        <v>29</v>
      </c>
      <c r="C34" s="12" t="s">
        <v>27</v>
      </c>
      <c r="D34" s="12" t="s">
        <v>29</v>
      </c>
      <c r="E34" s="12">
        <v>30</v>
      </c>
      <c r="F34" s="12">
        <v>71</v>
      </c>
      <c r="G34" s="12">
        <v>1227</v>
      </c>
      <c r="H34" s="15">
        <v>4</v>
      </c>
      <c r="I34" s="12">
        <v>2019</v>
      </c>
      <c r="J34" s="12">
        <v>2023</v>
      </c>
      <c r="K34" s="12">
        <f t="shared" si="1"/>
        <v>4</v>
      </c>
      <c r="L34" s="12" t="str">
        <f t="shared" si="2"/>
        <v>65</v>
      </c>
      <c r="M34" s="13">
        <v>0.1</v>
      </c>
      <c r="N34" s="52">
        <f t="shared" si="3"/>
        <v>1.3846153846153847E-2</v>
      </c>
      <c r="O34" s="52" t="str">
        <f t="shared" ref="O34:O39" si="9">IF(D34="R.C.C","1400","1000")</f>
        <v>1400</v>
      </c>
      <c r="P34" s="52">
        <f t="shared" si="4"/>
        <v>1717800</v>
      </c>
      <c r="Q34" s="52">
        <f t="shared" si="5"/>
        <v>5.5384615384615386E-2</v>
      </c>
      <c r="R34" s="52">
        <f t="shared" si="6"/>
        <v>95139.692307692312</v>
      </c>
      <c r="S34" s="53"/>
      <c r="T34" s="54">
        <f t="shared" si="7"/>
        <v>1622660.3076923077</v>
      </c>
      <c r="V34"/>
    </row>
    <row r="35" spans="2:34" ht="45" x14ac:dyDescent="0.25">
      <c r="B35" s="12">
        <v>30</v>
      </c>
      <c r="C35" s="12" t="s">
        <v>65</v>
      </c>
      <c r="D35" s="12" t="s">
        <v>29</v>
      </c>
      <c r="E35" s="12">
        <v>42</v>
      </c>
      <c r="F35" s="12">
        <v>100</v>
      </c>
      <c r="G35" s="12">
        <f t="shared" si="0"/>
        <v>4200</v>
      </c>
      <c r="H35" s="15">
        <v>5</v>
      </c>
      <c r="I35" s="12">
        <v>2021</v>
      </c>
      <c r="J35" s="12">
        <v>2023</v>
      </c>
      <c r="K35" s="12">
        <f t="shared" si="1"/>
        <v>2</v>
      </c>
      <c r="L35" s="12" t="str">
        <f t="shared" si="2"/>
        <v>65</v>
      </c>
      <c r="M35" s="13">
        <v>0.1</v>
      </c>
      <c r="N35" s="52">
        <f t="shared" si="3"/>
        <v>1.3846153846153847E-2</v>
      </c>
      <c r="O35" s="52" t="str">
        <f t="shared" si="9"/>
        <v>1400</v>
      </c>
      <c r="P35" s="52">
        <f t="shared" si="4"/>
        <v>5880000</v>
      </c>
      <c r="Q35" s="52">
        <f t="shared" si="5"/>
        <v>2.7692307692307693E-2</v>
      </c>
      <c r="R35" s="52">
        <f t="shared" si="6"/>
        <v>162830.76923076925</v>
      </c>
      <c r="S35" s="53"/>
      <c r="T35" s="54">
        <f t="shared" si="7"/>
        <v>5717169.230769231</v>
      </c>
      <c r="V35"/>
    </row>
    <row r="36" spans="2:34" x14ac:dyDescent="0.25">
      <c r="B36" s="12">
        <v>31</v>
      </c>
      <c r="C36" s="12" t="s">
        <v>66</v>
      </c>
      <c r="D36" s="12" t="s">
        <v>29</v>
      </c>
      <c r="E36" s="12">
        <v>116</v>
      </c>
      <c r="F36" s="12">
        <v>80</v>
      </c>
      <c r="G36" s="12">
        <f t="shared" si="0"/>
        <v>9280</v>
      </c>
      <c r="H36" s="12">
        <v>4</v>
      </c>
      <c r="I36" s="12">
        <v>1996</v>
      </c>
      <c r="J36" s="12">
        <v>2023</v>
      </c>
      <c r="K36" s="12">
        <f t="shared" si="1"/>
        <v>27</v>
      </c>
      <c r="L36" s="12" t="str">
        <f t="shared" si="2"/>
        <v>65</v>
      </c>
      <c r="M36" s="13">
        <v>0.1</v>
      </c>
      <c r="N36" s="52">
        <f t="shared" si="3"/>
        <v>1.3846153846153847E-2</v>
      </c>
      <c r="O36" s="52" t="str">
        <f t="shared" si="9"/>
        <v>1400</v>
      </c>
      <c r="P36" s="52">
        <f t="shared" si="4"/>
        <v>12992000</v>
      </c>
      <c r="Q36" s="52">
        <f t="shared" si="5"/>
        <v>0.37384615384615388</v>
      </c>
      <c r="R36" s="52">
        <f t="shared" si="6"/>
        <v>4857009.230769231</v>
      </c>
      <c r="S36" s="53"/>
      <c r="T36" s="54">
        <f t="shared" si="7"/>
        <v>8134990.769230769</v>
      </c>
      <c r="V36"/>
    </row>
    <row r="37" spans="2:34" ht="30" x14ac:dyDescent="0.25">
      <c r="B37" s="12">
        <v>32</v>
      </c>
      <c r="C37" s="12" t="s">
        <v>67</v>
      </c>
      <c r="D37" s="12" t="s">
        <v>30</v>
      </c>
      <c r="E37" s="12">
        <v>15</v>
      </c>
      <c r="F37" s="12">
        <v>10</v>
      </c>
      <c r="G37" s="12">
        <f t="shared" si="0"/>
        <v>150</v>
      </c>
      <c r="H37" s="12">
        <v>4</v>
      </c>
      <c r="I37" s="12">
        <v>2004</v>
      </c>
      <c r="J37" s="12">
        <v>2023</v>
      </c>
      <c r="K37" s="12">
        <f t="shared" si="1"/>
        <v>19</v>
      </c>
      <c r="L37" s="12" t="str">
        <f t="shared" si="2"/>
        <v>45</v>
      </c>
      <c r="M37" s="13">
        <v>0.1</v>
      </c>
      <c r="N37" s="52">
        <f t="shared" si="3"/>
        <v>0.02</v>
      </c>
      <c r="O37" s="52" t="str">
        <f t="shared" si="9"/>
        <v>1000</v>
      </c>
      <c r="P37" s="52">
        <f t="shared" si="4"/>
        <v>150000</v>
      </c>
      <c r="Q37" s="52">
        <f t="shared" si="5"/>
        <v>0.38</v>
      </c>
      <c r="R37" s="52">
        <f t="shared" si="6"/>
        <v>57000</v>
      </c>
      <c r="S37" s="53"/>
      <c r="T37" s="54">
        <f t="shared" si="7"/>
        <v>93000</v>
      </c>
      <c r="V37"/>
    </row>
    <row r="38" spans="2:34" ht="60" x14ac:dyDescent="0.25">
      <c r="B38" s="12">
        <v>33</v>
      </c>
      <c r="C38" s="15" t="s">
        <v>68</v>
      </c>
      <c r="D38" s="15" t="s">
        <v>29</v>
      </c>
      <c r="E38" s="15">
        <v>90</v>
      </c>
      <c r="F38" s="15">
        <v>106</v>
      </c>
      <c r="G38" s="15">
        <f t="shared" si="0"/>
        <v>9540</v>
      </c>
      <c r="H38" s="15">
        <v>4</v>
      </c>
      <c r="I38" s="15">
        <v>1993</v>
      </c>
      <c r="J38" s="12">
        <v>2023</v>
      </c>
      <c r="K38" s="12">
        <f t="shared" si="1"/>
        <v>30</v>
      </c>
      <c r="L38" s="12" t="str">
        <f t="shared" si="2"/>
        <v>65</v>
      </c>
      <c r="M38" s="13">
        <v>0.1</v>
      </c>
      <c r="N38" s="52">
        <f t="shared" si="3"/>
        <v>1.3846153846153847E-2</v>
      </c>
      <c r="O38" s="52" t="str">
        <f t="shared" si="9"/>
        <v>1400</v>
      </c>
      <c r="P38" s="52">
        <f t="shared" si="4"/>
        <v>13356000</v>
      </c>
      <c r="Q38" s="52">
        <f t="shared" si="5"/>
        <v>0.41538461538461541</v>
      </c>
      <c r="R38" s="52">
        <f t="shared" si="6"/>
        <v>5547876.923076923</v>
      </c>
      <c r="S38" s="53"/>
      <c r="T38" s="54">
        <f t="shared" si="7"/>
        <v>7808123.076923077</v>
      </c>
      <c r="V38"/>
      <c r="W38">
        <v>0.75</v>
      </c>
      <c r="X38" s="59">
        <f>W38*W40</f>
        <v>333075000</v>
      </c>
    </row>
    <row r="39" spans="2:34" ht="30" x14ac:dyDescent="0.25">
      <c r="B39" s="12">
        <v>34</v>
      </c>
      <c r="C39" s="15" t="s">
        <v>69</v>
      </c>
      <c r="D39" s="15" t="s">
        <v>29</v>
      </c>
      <c r="E39" s="15"/>
      <c r="F39" s="15"/>
      <c r="G39" s="15">
        <v>13500</v>
      </c>
      <c r="H39" s="15">
        <v>4</v>
      </c>
      <c r="I39" s="15">
        <v>1993</v>
      </c>
      <c r="J39" s="12">
        <v>2023</v>
      </c>
      <c r="K39" s="12">
        <f t="shared" si="1"/>
        <v>30</v>
      </c>
      <c r="L39" s="12" t="str">
        <f t="shared" si="2"/>
        <v>65</v>
      </c>
      <c r="M39" s="13">
        <v>0.1</v>
      </c>
      <c r="N39" s="52">
        <f t="shared" si="3"/>
        <v>1.3846153846153847E-2</v>
      </c>
      <c r="O39" s="52" t="str">
        <f t="shared" si="9"/>
        <v>1400</v>
      </c>
      <c r="P39" s="52">
        <f t="shared" si="4"/>
        <v>18900000</v>
      </c>
      <c r="Q39" s="52">
        <f t="shared" si="5"/>
        <v>0.41538461538461541</v>
      </c>
      <c r="R39" s="52">
        <f t="shared" si="6"/>
        <v>7850769.230769231</v>
      </c>
      <c r="S39" s="53"/>
      <c r="T39" s="54">
        <f t="shared" si="7"/>
        <v>11049230.769230768</v>
      </c>
      <c r="V39"/>
      <c r="W39">
        <v>0.85</v>
      </c>
      <c r="X39" s="59">
        <f>W39*W40</f>
        <v>377485000</v>
      </c>
    </row>
    <row r="40" spans="2:34" x14ac:dyDescent="0.25">
      <c r="B40" s="8"/>
      <c r="C40" s="55"/>
      <c r="D40" s="55"/>
      <c r="E40" s="55"/>
      <c r="F40" s="55"/>
      <c r="G40" s="56">
        <f>SUM(G5:G39)</f>
        <v>153296</v>
      </c>
      <c r="H40" s="56"/>
      <c r="I40" s="57"/>
      <c r="J40" s="10"/>
      <c r="K40" s="10"/>
      <c r="L40" s="10"/>
      <c r="M40" s="10"/>
      <c r="N40" s="10"/>
      <c r="O40" s="10"/>
      <c r="P40" s="51">
        <f>SUM(P5:P39)</f>
        <v>200418800</v>
      </c>
      <c r="Q40" s="51"/>
      <c r="R40" s="51"/>
      <c r="S40" s="51">
        <f>SUM(S5:S39)</f>
        <v>0</v>
      </c>
      <c r="T40" s="51">
        <f>SUM(T5:T39)</f>
        <v>117591461.53846154</v>
      </c>
      <c r="U40" s="58">
        <v>329450000</v>
      </c>
      <c r="V40" s="59">
        <f>U40+T40</f>
        <v>447041461.53846157</v>
      </c>
      <c r="W40" s="5">
        <v>444100000</v>
      </c>
    </row>
    <row r="41" spans="2:34" ht="24" customHeight="1" x14ac:dyDescent="0.25">
      <c r="B41" s="101" t="s">
        <v>15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3"/>
      <c r="U41">
        <v>751164260</v>
      </c>
      <c r="V41">
        <v>2800000</v>
      </c>
      <c r="W41" s="4">
        <f>V41+U41+T40</f>
        <v>871555721.53846157</v>
      </c>
    </row>
    <row r="42" spans="2:34" x14ac:dyDescent="0.25">
      <c r="B42" s="101" t="s">
        <v>78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3"/>
      <c r="V42"/>
      <c r="W42">
        <v>911700000</v>
      </c>
      <c r="X42">
        <v>0.85</v>
      </c>
      <c r="Y42" s="5">
        <f>X42*W42</f>
        <v>774945000</v>
      </c>
    </row>
    <row r="43" spans="2:34" x14ac:dyDescent="0.25">
      <c r="B43" s="107" t="s">
        <v>18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9"/>
      <c r="V43"/>
      <c r="W43">
        <v>911700000</v>
      </c>
      <c r="X43">
        <v>0.75</v>
      </c>
      <c r="Y43" s="5">
        <f>X43*W43</f>
        <v>683775000</v>
      </c>
      <c r="Z43" s="5"/>
      <c r="AA43" s="5"/>
      <c r="AB43" s="5"/>
      <c r="AC43" s="5"/>
      <c r="AD43" s="5"/>
      <c r="AE43" s="5"/>
      <c r="AF43" s="5"/>
      <c r="AG43" s="5"/>
      <c r="AH43" s="5"/>
    </row>
    <row r="44" spans="2:34" x14ac:dyDescent="0.25">
      <c r="B44" s="110" t="s">
        <v>79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2"/>
      <c r="V44"/>
      <c r="W44">
        <v>285992600</v>
      </c>
      <c r="X44">
        <v>0.75</v>
      </c>
      <c r="Y44" s="5">
        <f>X44*W44</f>
        <v>214494450</v>
      </c>
      <c r="Z44" s="5"/>
      <c r="AA44" s="5"/>
      <c r="AB44" s="5"/>
      <c r="AC44" s="5"/>
      <c r="AD44" s="5"/>
      <c r="AE44" s="5"/>
      <c r="AF44" s="5"/>
      <c r="AG44" s="5"/>
      <c r="AH44" s="5"/>
    </row>
    <row r="45" spans="2:34" x14ac:dyDescent="0.25">
      <c r="B45" s="101" t="s">
        <v>80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V45"/>
      <c r="Z45" s="5"/>
      <c r="AA45" s="3"/>
      <c r="AB45" s="5"/>
      <c r="AC45" s="5"/>
      <c r="AD45" s="5"/>
      <c r="AE45" s="5"/>
      <c r="AF45" s="5"/>
      <c r="AG45" s="5"/>
      <c r="AH45" s="5"/>
    </row>
    <row r="46" spans="2:34" x14ac:dyDescent="0.25">
      <c r="V46"/>
      <c r="Z46" s="5"/>
      <c r="AA46" s="5"/>
      <c r="AB46" s="5"/>
      <c r="AC46" s="5"/>
      <c r="AD46" s="5"/>
      <c r="AE46" s="5"/>
      <c r="AF46" s="5"/>
      <c r="AG46" s="5"/>
      <c r="AH46" s="5"/>
    </row>
    <row r="47" spans="2:34" x14ac:dyDescent="0.25">
      <c r="D47"/>
      <c r="E47"/>
      <c r="F47"/>
      <c r="H47"/>
      <c r="V47"/>
      <c r="Z47" s="5"/>
      <c r="AA47" s="5"/>
      <c r="AB47" s="5"/>
      <c r="AC47" s="5"/>
      <c r="AD47" s="5"/>
      <c r="AE47" s="5"/>
      <c r="AF47" s="5"/>
      <c r="AG47" s="5"/>
      <c r="AH47" s="5"/>
    </row>
    <row r="48" spans="2:34" x14ac:dyDescent="0.25">
      <c r="D48"/>
      <c r="E48"/>
      <c r="F48"/>
      <c r="H48"/>
      <c r="P48" s="60">
        <f>0.8*P40</f>
        <v>160335040</v>
      </c>
      <c r="V48"/>
      <c r="Z48" s="5"/>
      <c r="AA48" s="5"/>
      <c r="AB48" s="5"/>
      <c r="AC48" s="5"/>
      <c r="AD48" s="5"/>
      <c r="AE48" s="5"/>
      <c r="AF48" s="5"/>
      <c r="AG48" s="5"/>
      <c r="AH48" s="5"/>
    </row>
    <row r="49" spans="3:34" ht="28.5" customHeight="1" x14ac:dyDescent="0.25">
      <c r="C49" s="3"/>
      <c r="D49"/>
      <c r="E49"/>
      <c r="F49"/>
      <c r="H49"/>
      <c r="V49"/>
      <c r="Z49" s="5"/>
      <c r="AA49" s="5"/>
      <c r="AB49" s="5"/>
      <c r="AC49" s="5"/>
      <c r="AD49" s="5"/>
      <c r="AE49" s="5"/>
      <c r="AF49" s="5"/>
      <c r="AG49" s="5"/>
      <c r="AH49" s="5"/>
    </row>
    <row r="50" spans="3:34" x14ac:dyDescent="0.25">
      <c r="D50"/>
      <c r="E50"/>
      <c r="F50"/>
      <c r="H50"/>
      <c r="V50"/>
      <c r="Z50" s="5"/>
      <c r="AA50" s="5"/>
      <c r="AB50" s="5"/>
      <c r="AC50" s="5"/>
      <c r="AD50" s="5"/>
      <c r="AE50" s="5"/>
      <c r="AF50" s="5"/>
      <c r="AG50" s="5"/>
      <c r="AH50" s="5"/>
    </row>
    <row r="51" spans="3:34" x14ac:dyDescent="0.25">
      <c r="D51"/>
      <c r="E51"/>
      <c r="F51"/>
      <c r="H51"/>
      <c r="V51"/>
      <c r="Z51" s="5"/>
      <c r="AA51" s="5"/>
      <c r="AB51" s="5"/>
      <c r="AC51" s="5"/>
      <c r="AD51" s="5"/>
      <c r="AE51" s="5"/>
      <c r="AF51" s="5"/>
      <c r="AG51" s="5"/>
      <c r="AH51" s="5"/>
    </row>
    <row r="52" spans="3:34" ht="15.75" customHeight="1" x14ac:dyDescent="0.25">
      <c r="D52"/>
      <c r="E52"/>
      <c r="F52"/>
      <c r="H52"/>
      <c r="V52"/>
    </row>
    <row r="53" spans="3:34" ht="15" customHeight="1" x14ac:dyDescent="0.25">
      <c r="D53"/>
      <c r="E53"/>
      <c r="F53"/>
      <c r="H53"/>
      <c r="V53"/>
    </row>
    <row r="54" spans="3:34" x14ac:dyDescent="0.25">
      <c r="D54"/>
      <c r="E54"/>
      <c r="F54"/>
      <c r="H54"/>
      <c r="V54"/>
    </row>
    <row r="55" spans="3:34" x14ac:dyDescent="0.25">
      <c r="D55"/>
      <c r="E55"/>
      <c r="F55"/>
      <c r="H55"/>
      <c r="V55"/>
    </row>
    <row r="56" spans="3:34" x14ac:dyDescent="0.25">
      <c r="D56"/>
      <c r="E56"/>
      <c r="F56"/>
      <c r="H56"/>
      <c r="V56"/>
    </row>
    <row r="57" spans="3:34" x14ac:dyDescent="0.25">
      <c r="D57"/>
      <c r="E57"/>
      <c r="F57"/>
      <c r="H57"/>
      <c r="V57"/>
    </row>
    <row r="58" spans="3:34" x14ac:dyDescent="0.25">
      <c r="L58">
        <v>516</v>
      </c>
      <c r="V58"/>
    </row>
    <row r="59" spans="3:34" x14ac:dyDescent="0.25">
      <c r="J59">
        <f>11000*0.7</f>
        <v>7699.9999999999991</v>
      </c>
    </row>
    <row r="60" spans="3:34" x14ac:dyDescent="0.25">
      <c r="J60" s="3"/>
      <c r="K60" s="4"/>
      <c r="L60" s="4"/>
      <c r="P60" s="4"/>
      <c r="Q60" s="4"/>
    </row>
    <row r="63" spans="3:34" x14ac:dyDescent="0.25">
      <c r="K63" s="4"/>
      <c r="L63" s="4"/>
      <c r="P63" s="4"/>
      <c r="Q63" s="4"/>
    </row>
    <row r="68" spans="11:17" x14ac:dyDescent="0.25">
      <c r="K68" s="3"/>
    </row>
    <row r="69" spans="11:17" x14ac:dyDescent="0.25">
      <c r="Q69" s="3"/>
    </row>
  </sheetData>
  <mergeCells count="6">
    <mergeCell ref="B45:T45"/>
    <mergeCell ref="B3:T3"/>
    <mergeCell ref="B41:T41"/>
    <mergeCell ref="B42:T42"/>
    <mergeCell ref="B43:T43"/>
    <mergeCell ref="B44:T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DA4C-E138-4E1C-835B-D125815EA1B1}">
  <dimension ref="C2:L13"/>
  <sheetViews>
    <sheetView topLeftCell="B1" workbookViewId="0">
      <selection activeCell="C5" sqref="C5:I9"/>
    </sheetView>
  </sheetViews>
  <sheetFormatPr defaultRowHeight="15" x14ac:dyDescent="0.25"/>
  <cols>
    <col min="4" max="4" width="17.28515625" bestFit="1" customWidth="1"/>
    <col min="5" max="5" width="24.85546875" bestFit="1" customWidth="1"/>
    <col min="6" max="6" width="13.5703125" customWidth="1"/>
    <col min="7" max="7" width="38.7109375" bestFit="1" customWidth="1"/>
    <col min="8" max="8" width="12.7109375" bestFit="1" customWidth="1"/>
    <col min="9" max="9" width="15.28515625" bestFit="1" customWidth="1"/>
  </cols>
  <sheetData>
    <row r="2" spans="3:12" ht="15.75" thickBot="1" x14ac:dyDescent="0.3"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3:12" ht="20.25" thickBot="1" x14ac:dyDescent="0.3">
      <c r="C3" s="113" t="s">
        <v>118</v>
      </c>
      <c r="D3" s="114"/>
      <c r="E3" s="114"/>
      <c r="F3" s="114"/>
      <c r="G3" s="114"/>
      <c r="H3" s="114"/>
      <c r="I3" s="115"/>
    </row>
    <row r="4" spans="3:12" ht="15.75" thickBot="1" x14ac:dyDescent="0.3">
      <c r="C4" s="116"/>
      <c r="D4" s="116"/>
      <c r="E4" s="116"/>
      <c r="F4" s="116"/>
      <c r="G4" s="116"/>
      <c r="H4" s="116"/>
      <c r="I4" s="116"/>
    </row>
    <row r="5" spans="3:12" ht="16.5" thickBot="1" x14ac:dyDescent="0.3">
      <c r="C5" s="117" t="s">
        <v>99</v>
      </c>
      <c r="D5" s="118"/>
      <c r="E5" s="118"/>
      <c r="F5" s="118"/>
      <c r="G5" s="118"/>
      <c r="H5" s="118"/>
      <c r="I5" s="119"/>
    </row>
    <row r="6" spans="3:12" ht="15.75" x14ac:dyDescent="0.25">
      <c r="C6" s="76" t="s">
        <v>100</v>
      </c>
      <c r="D6" s="77" t="s">
        <v>90</v>
      </c>
      <c r="E6" s="77" t="s">
        <v>102</v>
      </c>
      <c r="F6" s="77" t="s">
        <v>101</v>
      </c>
      <c r="G6" s="77" t="s">
        <v>109</v>
      </c>
      <c r="H6" s="77" t="s">
        <v>91</v>
      </c>
      <c r="I6" s="78" t="s">
        <v>92</v>
      </c>
    </row>
    <row r="7" spans="3:12" ht="45" x14ac:dyDescent="0.25">
      <c r="C7" s="71" t="s">
        <v>93</v>
      </c>
      <c r="D7" s="64" t="s">
        <v>94</v>
      </c>
      <c r="E7" s="63" t="s">
        <v>114</v>
      </c>
      <c r="F7" s="64" t="s">
        <v>95</v>
      </c>
      <c r="G7" s="64" t="s">
        <v>113</v>
      </c>
      <c r="H7" s="64"/>
      <c r="I7" s="74" t="s">
        <v>115</v>
      </c>
    </row>
    <row r="8" spans="3:12" ht="60" x14ac:dyDescent="0.25">
      <c r="C8" s="71" t="s">
        <v>111</v>
      </c>
      <c r="D8" s="64" t="s">
        <v>96</v>
      </c>
      <c r="E8" s="64" t="s">
        <v>107</v>
      </c>
      <c r="F8" s="64" t="s">
        <v>95</v>
      </c>
      <c r="G8" s="64" t="s">
        <v>112</v>
      </c>
      <c r="H8" s="63" t="s">
        <v>103</v>
      </c>
      <c r="I8" s="69"/>
    </row>
    <row r="9" spans="3:12" ht="30.75" thickBot="1" x14ac:dyDescent="0.3">
      <c r="C9" s="34" t="s">
        <v>97</v>
      </c>
      <c r="D9" s="72" t="s">
        <v>98</v>
      </c>
      <c r="E9" s="72" t="s">
        <v>107</v>
      </c>
      <c r="F9" s="72" t="s">
        <v>95</v>
      </c>
      <c r="G9" s="72" t="s">
        <v>110</v>
      </c>
      <c r="H9" s="6" t="s">
        <v>104</v>
      </c>
      <c r="I9" s="70"/>
    </row>
    <row r="10" spans="3:12" ht="15.75" thickBot="1" x14ac:dyDescent="0.3"/>
    <row r="11" spans="3:12" ht="16.5" thickBot="1" x14ac:dyDescent="0.3">
      <c r="C11" s="117" t="s">
        <v>105</v>
      </c>
      <c r="D11" s="118"/>
      <c r="E11" s="118"/>
      <c r="F11" s="118"/>
      <c r="G11" s="118"/>
      <c r="H11" s="118"/>
      <c r="I11" s="119"/>
    </row>
    <row r="12" spans="3:12" x14ac:dyDescent="0.25">
      <c r="C12" s="38" t="s">
        <v>100</v>
      </c>
      <c r="D12" s="39" t="s">
        <v>90</v>
      </c>
      <c r="E12" s="39" t="s">
        <v>102</v>
      </c>
      <c r="F12" s="39" t="s">
        <v>101</v>
      </c>
      <c r="G12" s="39" t="s">
        <v>109</v>
      </c>
      <c r="H12" s="39" t="s">
        <v>91</v>
      </c>
      <c r="I12" s="73" t="s">
        <v>92</v>
      </c>
    </row>
    <row r="13" spans="3:12" ht="30.75" thickBot="1" x14ac:dyDescent="0.3">
      <c r="C13" s="75" t="s">
        <v>106</v>
      </c>
      <c r="D13" s="72" t="s">
        <v>108</v>
      </c>
      <c r="E13" s="6" t="s">
        <v>116</v>
      </c>
      <c r="F13" s="72" t="s">
        <v>95</v>
      </c>
      <c r="G13" s="72" t="s">
        <v>117</v>
      </c>
      <c r="H13" s="72"/>
      <c r="I13" s="6" t="s">
        <v>116</v>
      </c>
    </row>
  </sheetData>
  <mergeCells count="4">
    <mergeCell ref="C3:I3"/>
    <mergeCell ref="C4:I4"/>
    <mergeCell ref="C5:I5"/>
    <mergeCell ref="C11:I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4CC9-E641-4D4C-9985-355EC8D59CA3}">
  <dimension ref="B2:E7"/>
  <sheetViews>
    <sheetView workbookViewId="0">
      <selection activeCell="F11" sqref="F11"/>
    </sheetView>
  </sheetViews>
  <sheetFormatPr defaultRowHeight="15" x14ac:dyDescent="0.25"/>
  <cols>
    <col min="2" max="2" width="21.28515625" customWidth="1"/>
    <col min="3" max="3" width="22" customWidth="1"/>
    <col min="4" max="4" width="20" customWidth="1"/>
    <col min="5" max="5" width="21" customWidth="1"/>
  </cols>
  <sheetData>
    <row r="2" spans="2:5" x14ac:dyDescent="0.25">
      <c r="B2" s="120" t="s">
        <v>81</v>
      </c>
      <c r="C2" s="121"/>
      <c r="D2" s="121"/>
      <c r="E2" s="122"/>
    </row>
    <row r="3" spans="2:5" ht="60" x14ac:dyDescent="0.25">
      <c r="B3" s="61" t="s">
        <v>82</v>
      </c>
      <c r="C3" s="62" t="s">
        <v>83</v>
      </c>
      <c r="D3" s="62" t="s">
        <v>84</v>
      </c>
      <c r="E3" s="61" t="s">
        <v>85</v>
      </c>
    </row>
    <row r="4" spans="2:5" ht="60" x14ac:dyDescent="0.25">
      <c r="B4" s="63" t="s">
        <v>86</v>
      </c>
      <c r="C4" s="64">
        <v>0.77</v>
      </c>
      <c r="D4" s="65">
        <v>25000000</v>
      </c>
      <c r="E4" s="65">
        <f>C4*D4</f>
        <v>19250000</v>
      </c>
    </row>
    <row r="5" spans="2:5" x14ac:dyDescent="0.25">
      <c r="B5" s="64" t="s">
        <v>87</v>
      </c>
      <c r="C5" s="64">
        <v>4.3600000000000003</v>
      </c>
      <c r="D5" s="65">
        <f>D4*2/3</f>
        <v>16666666.666666666</v>
      </c>
      <c r="E5" s="65">
        <f>D5*C5</f>
        <v>72666666.666666672</v>
      </c>
    </row>
    <row r="6" spans="2:5" x14ac:dyDescent="0.25">
      <c r="B6" s="64" t="s">
        <v>88</v>
      </c>
      <c r="C6" s="64">
        <v>6.85</v>
      </c>
      <c r="D6" s="65">
        <f>D4/2</f>
        <v>12500000</v>
      </c>
      <c r="E6" s="65">
        <f>D6*C6</f>
        <v>85625000</v>
      </c>
    </row>
    <row r="7" spans="2:5" x14ac:dyDescent="0.25">
      <c r="B7" s="66" t="s">
        <v>89</v>
      </c>
      <c r="C7" s="44">
        <f>SUM(C4:C6)</f>
        <v>11.98</v>
      </c>
      <c r="D7" s="67"/>
      <c r="E7" s="67">
        <f>SUM(E4:E6)</f>
        <v>177541666.66666669</v>
      </c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H74"/>
  <sheetViews>
    <sheetView topLeftCell="A34" zoomScale="85" zoomScaleNormal="85" workbookViewId="0">
      <selection activeCell="P43" sqref="P43"/>
    </sheetView>
  </sheetViews>
  <sheetFormatPr defaultRowHeight="15" x14ac:dyDescent="0.25"/>
  <cols>
    <col min="1" max="1" width="7.42578125" customWidth="1"/>
    <col min="2" max="2" width="9" bestFit="1" customWidth="1"/>
    <col min="3" max="3" width="15.7109375" customWidth="1"/>
    <col min="4" max="6" width="12.42578125" style="2" customWidth="1"/>
    <col min="7" max="7" width="11.7109375" customWidth="1"/>
    <col min="8" max="8" width="14.42578125" style="7" bestFit="1" customWidth="1"/>
    <col min="9" max="9" width="8.140625" customWidth="1"/>
    <col min="10" max="10" width="9.5703125" customWidth="1"/>
    <col min="11" max="11" width="10.42578125" customWidth="1"/>
    <col min="12" max="12" width="11" customWidth="1"/>
    <col min="13" max="13" width="7.85546875" customWidth="1"/>
    <col min="14" max="14" width="8.140625" customWidth="1"/>
    <col min="15" max="15" width="10.85546875" bestFit="1" customWidth="1"/>
    <col min="16" max="16" width="15.42578125" bestFit="1" customWidth="1"/>
    <col min="17" max="17" width="12.42578125" customWidth="1"/>
    <col min="18" max="18" width="13.42578125" customWidth="1"/>
    <col min="19" max="19" width="11.7109375" customWidth="1"/>
    <col min="20" max="20" width="15.28515625" customWidth="1"/>
    <col min="21" max="21" width="10.28515625" bestFit="1" customWidth="1"/>
    <col min="22" max="22" width="14.28515625" style="3" bestFit="1" customWidth="1"/>
    <col min="23" max="23" width="15.42578125" bestFit="1" customWidth="1"/>
    <col min="24" max="24" width="14.42578125" bestFit="1" customWidth="1"/>
    <col min="25" max="26" width="15.42578125" bestFit="1" customWidth="1"/>
    <col min="27" max="27" width="14.42578125" bestFit="1" customWidth="1"/>
    <col min="28" max="28" width="10.28515625" bestFit="1" customWidth="1"/>
    <col min="31" max="31" width="14.42578125" bestFit="1" customWidth="1"/>
  </cols>
  <sheetData>
    <row r="3" spans="2:28" ht="29.25" customHeight="1" x14ac:dyDescent="0.25">
      <c r="B3" s="104" t="s">
        <v>38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</row>
    <row r="4" spans="2:28" ht="60" x14ac:dyDescent="0.25">
      <c r="B4" s="1" t="s">
        <v>0</v>
      </c>
      <c r="C4" s="1" t="s">
        <v>25</v>
      </c>
      <c r="D4" s="1" t="s">
        <v>1</v>
      </c>
      <c r="E4" s="1" t="s">
        <v>70</v>
      </c>
      <c r="F4" s="1" t="s">
        <v>71</v>
      </c>
      <c r="G4" s="1" t="s">
        <v>2</v>
      </c>
      <c r="H4" s="1" t="s">
        <v>72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10</v>
      </c>
      <c r="Q4" s="1" t="s">
        <v>74</v>
      </c>
      <c r="R4" s="1" t="s">
        <v>11</v>
      </c>
      <c r="S4" s="1" t="s">
        <v>12</v>
      </c>
      <c r="T4" s="1" t="s">
        <v>13</v>
      </c>
      <c r="V4"/>
    </row>
    <row r="5" spans="2:28" x14ac:dyDescent="0.25">
      <c r="B5" s="12">
        <v>1</v>
      </c>
      <c r="C5" s="12" t="s">
        <v>26</v>
      </c>
      <c r="D5" s="12" t="str">
        <f>IF(H5&gt;12,"Tin Shed","R.C.C")</f>
        <v>R.C.C</v>
      </c>
      <c r="E5" s="12">
        <v>28</v>
      </c>
      <c r="F5" s="12">
        <v>15</v>
      </c>
      <c r="G5" s="12">
        <f>F5*E5</f>
        <v>420</v>
      </c>
      <c r="H5" s="12">
        <v>3</v>
      </c>
      <c r="I5" s="12">
        <v>1990</v>
      </c>
      <c r="J5" s="12">
        <v>2023</v>
      </c>
      <c r="K5" s="12">
        <f>J5-I5</f>
        <v>33</v>
      </c>
      <c r="L5" s="12" t="str">
        <f t="shared" ref="L5:L20" si="0">IF(D5="R.C.C","65","45")</f>
        <v>65</v>
      </c>
      <c r="M5" s="13">
        <v>0.1</v>
      </c>
      <c r="N5" s="12">
        <f>(1-M5)/L5</f>
        <v>1.3846153846153847E-2</v>
      </c>
      <c r="O5" s="12" t="str">
        <f t="shared" ref="O5:O20" si="1">IF(D5="R.C.C","1400","1000")</f>
        <v>1400</v>
      </c>
      <c r="P5" s="12">
        <f>O5*G5</f>
        <v>588000</v>
      </c>
      <c r="Q5" s="12">
        <f>N5*K5</f>
        <v>0.45692307692307693</v>
      </c>
      <c r="R5" s="12">
        <f>P5*Q5</f>
        <v>268670.76923076925</v>
      </c>
      <c r="S5" s="14"/>
      <c r="T5" s="15">
        <f>P5-R5</f>
        <v>319329.23076923075</v>
      </c>
      <c r="U5">
        <v>86</v>
      </c>
      <c r="V5">
        <v>56</v>
      </c>
      <c r="W5">
        <f>V5*U5</f>
        <v>4816</v>
      </c>
    </row>
    <row r="6" spans="2:28" x14ac:dyDescent="0.25">
      <c r="B6" s="12">
        <v>2</v>
      </c>
      <c r="C6" s="12" t="s">
        <v>39</v>
      </c>
      <c r="D6" s="12" t="s">
        <v>77</v>
      </c>
      <c r="E6" s="12">
        <v>76</v>
      </c>
      <c r="F6" s="12">
        <v>38</v>
      </c>
      <c r="G6" s="12">
        <f t="shared" ref="G6:G41" si="2">F6*E6</f>
        <v>2888</v>
      </c>
      <c r="H6" s="12">
        <v>3</v>
      </c>
      <c r="I6" s="12">
        <v>1990</v>
      </c>
      <c r="J6" s="12">
        <v>2023</v>
      </c>
      <c r="K6" s="12">
        <f t="shared" ref="K6:K43" si="3">J6-I6</f>
        <v>33</v>
      </c>
      <c r="L6" s="12" t="str">
        <f t="shared" si="0"/>
        <v>45</v>
      </c>
      <c r="M6" s="13">
        <v>0.1</v>
      </c>
      <c r="N6" s="12">
        <f t="shared" ref="N6:N43" si="4">(1-M6)/L6</f>
        <v>0.02</v>
      </c>
      <c r="O6" s="12" t="str">
        <f t="shared" si="1"/>
        <v>1000</v>
      </c>
      <c r="P6" s="12">
        <f t="shared" ref="P6:P42" si="5">O6*G6</f>
        <v>2888000</v>
      </c>
      <c r="Q6" s="12">
        <f t="shared" ref="Q6:Q42" si="6">N6*K6</f>
        <v>0.66</v>
      </c>
      <c r="R6" s="12">
        <f t="shared" ref="R6:R42" si="7">P6*Q6</f>
        <v>1906080</v>
      </c>
      <c r="S6" s="14"/>
      <c r="T6" s="15">
        <f t="shared" ref="T6:T42" si="8">P6-R6</f>
        <v>981920</v>
      </c>
      <c r="U6">
        <v>70</v>
      </c>
      <c r="V6">
        <v>31</v>
      </c>
      <c r="W6">
        <f>V6*U6</f>
        <v>2170</v>
      </c>
    </row>
    <row r="7" spans="2:28" ht="30" x14ac:dyDescent="0.25">
      <c r="B7" s="12">
        <v>3</v>
      </c>
      <c r="C7" s="12" t="s">
        <v>40</v>
      </c>
      <c r="D7" s="50" t="s">
        <v>29</v>
      </c>
      <c r="E7" s="50">
        <v>163</v>
      </c>
      <c r="F7" s="50">
        <v>88</v>
      </c>
      <c r="G7" s="12">
        <v>7172</v>
      </c>
      <c r="H7" s="12">
        <v>6</v>
      </c>
      <c r="I7" s="12">
        <v>1994</v>
      </c>
      <c r="J7" s="12">
        <v>2023</v>
      </c>
      <c r="K7" s="12">
        <f t="shared" si="3"/>
        <v>29</v>
      </c>
      <c r="L7" s="12" t="str">
        <f t="shared" si="0"/>
        <v>65</v>
      </c>
      <c r="M7" s="13">
        <v>0.1</v>
      </c>
      <c r="N7" s="12">
        <f t="shared" si="4"/>
        <v>1.3846153846153847E-2</v>
      </c>
      <c r="O7" s="12" t="str">
        <f t="shared" si="1"/>
        <v>1400</v>
      </c>
      <c r="P7" s="12">
        <f t="shared" si="5"/>
        <v>10040800</v>
      </c>
      <c r="Q7" s="12">
        <f t="shared" si="6"/>
        <v>0.40153846153846157</v>
      </c>
      <c r="R7" s="12">
        <f t="shared" si="7"/>
        <v>4031767.384615385</v>
      </c>
      <c r="S7" s="14"/>
      <c r="T7" s="15">
        <f t="shared" si="8"/>
        <v>6009032.615384615</v>
      </c>
      <c r="V7"/>
      <c r="W7">
        <v>16879</v>
      </c>
    </row>
    <row r="8" spans="2:28" x14ac:dyDescent="0.25">
      <c r="B8" s="12">
        <v>4</v>
      </c>
      <c r="C8" s="12" t="s">
        <v>41</v>
      </c>
      <c r="D8" s="12" t="s">
        <v>29</v>
      </c>
      <c r="E8" s="12">
        <v>20</v>
      </c>
      <c r="F8" s="12">
        <v>35</v>
      </c>
      <c r="G8" s="12">
        <f t="shared" si="2"/>
        <v>700</v>
      </c>
      <c r="H8" s="12">
        <v>3</v>
      </c>
      <c r="I8" s="12">
        <v>1994</v>
      </c>
      <c r="J8" s="12">
        <v>2023</v>
      </c>
      <c r="K8" s="12">
        <f t="shared" si="3"/>
        <v>29</v>
      </c>
      <c r="L8" s="12" t="str">
        <f t="shared" si="0"/>
        <v>65</v>
      </c>
      <c r="M8" s="13">
        <v>0.1</v>
      </c>
      <c r="N8" s="12">
        <f t="shared" si="4"/>
        <v>1.3846153846153847E-2</v>
      </c>
      <c r="O8" s="12" t="str">
        <f t="shared" si="1"/>
        <v>1400</v>
      </c>
      <c r="P8" s="12">
        <f t="shared" si="5"/>
        <v>980000</v>
      </c>
      <c r="Q8" s="12">
        <f t="shared" si="6"/>
        <v>0.40153846153846157</v>
      </c>
      <c r="R8" s="12">
        <f t="shared" si="7"/>
        <v>393507.69230769231</v>
      </c>
      <c r="S8" s="14"/>
      <c r="T8" s="15">
        <f t="shared" si="8"/>
        <v>586492.30769230775</v>
      </c>
      <c r="V8"/>
      <c r="W8">
        <v>262362</v>
      </c>
    </row>
    <row r="9" spans="2:28" x14ac:dyDescent="0.25">
      <c r="B9" s="12">
        <v>5</v>
      </c>
      <c r="C9" s="12" t="s">
        <v>42</v>
      </c>
      <c r="D9" s="12" t="s">
        <v>29</v>
      </c>
      <c r="E9" s="12">
        <v>23</v>
      </c>
      <c r="F9" s="12">
        <v>30</v>
      </c>
      <c r="G9" s="12">
        <f t="shared" si="2"/>
        <v>690</v>
      </c>
      <c r="H9" s="12">
        <v>3</v>
      </c>
      <c r="I9" s="12">
        <v>1996</v>
      </c>
      <c r="J9" s="12">
        <v>2023</v>
      </c>
      <c r="K9" s="12">
        <f t="shared" si="3"/>
        <v>27</v>
      </c>
      <c r="L9" s="12" t="str">
        <f t="shared" si="0"/>
        <v>65</v>
      </c>
      <c r="M9" s="13">
        <v>0.1</v>
      </c>
      <c r="N9" s="12">
        <f t="shared" si="4"/>
        <v>1.3846153846153847E-2</v>
      </c>
      <c r="O9" s="12" t="str">
        <f t="shared" si="1"/>
        <v>1400</v>
      </c>
      <c r="P9" s="12">
        <f t="shared" si="5"/>
        <v>966000</v>
      </c>
      <c r="Q9" s="12">
        <f t="shared" si="6"/>
        <v>0.37384615384615388</v>
      </c>
      <c r="R9" s="12">
        <f t="shared" si="7"/>
        <v>361135.38461538462</v>
      </c>
      <c r="S9" s="14"/>
      <c r="T9" s="15">
        <f t="shared" si="8"/>
        <v>604864.61538461538</v>
      </c>
      <c r="V9"/>
      <c r="W9" s="5">
        <f>SUM(W7:W8)</f>
        <v>279241</v>
      </c>
      <c r="X9">
        <v>10.763999999999999</v>
      </c>
    </row>
    <row r="10" spans="2:28" x14ac:dyDescent="0.25">
      <c r="B10" s="12">
        <v>6</v>
      </c>
      <c r="C10" s="12" t="s">
        <v>28</v>
      </c>
      <c r="D10" s="12" t="s">
        <v>29</v>
      </c>
      <c r="E10" s="12">
        <v>156</v>
      </c>
      <c r="F10" s="12">
        <v>87</v>
      </c>
      <c r="G10" s="12">
        <v>6986</v>
      </c>
      <c r="H10" s="12">
        <v>6</v>
      </c>
      <c r="I10" s="12">
        <v>1985</v>
      </c>
      <c r="J10" s="12">
        <v>2023</v>
      </c>
      <c r="K10" s="12">
        <f t="shared" si="3"/>
        <v>38</v>
      </c>
      <c r="L10" s="12" t="str">
        <f t="shared" si="0"/>
        <v>65</v>
      </c>
      <c r="M10" s="13">
        <v>0.1</v>
      </c>
      <c r="N10" s="12">
        <f t="shared" si="4"/>
        <v>1.3846153846153847E-2</v>
      </c>
      <c r="O10" s="12" t="str">
        <f t="shared" si="1"/>
        <v>1400</v>
      </c>
      <c r="P10" s="12">
        <f t="shared" si="5"/>
        <v>9780400</v>
      </c>
      <c r="Q10" s="12">
        <f t="shared" si="6"/>
        <v>0.52615384615384619</v>
      </c>
      <c r="R10" s="12">
        <f t="shared" si="7"/>
        <v>5145995.076923077</v>
      </c>
      <c r="S10" s="14"/>
      <c r="T10" s="15">
        <f t="shared" si="8"/>
        <v>4634404.923076923</v>
      </c>
      <c r="V10"/>
      <c r="X10" s="5">
        <f>W9*X9</f>
        <v>3005750.1239999998</v>
      </c>
    </row>
    <row r="11" spans="2:28" x14ac:dyDescent="0.25">
      <c r="B11" s="12">
        <v>7</v>
      </c>
      <c r="C11" s="12" t="s">
        <v>43</v>
      </c>
      <c r="D11" s="12" t="s">
        <v>30</v>
      </c>
      <c r="E11" s="12">
        <v>93</v>
      </c>
      <c r="F11" s="12">
        <v>57</v>
      </c>
      <c r="G11" s="12">
        <v>2601</v>
      </c>
      <c r="H11" s="47">
        <v>7</v>
      </c>
      <c r="I11" s="12">
        <v>2006</v>
      </c>
      <c r="J11" s="12">
        <v>2023</v>
      </c>
      <c r="K11" s="12">
        <f t="shared" si="3"/>
        <v>17</v>
      </c>
      <c r="L11" s="12" t="str">
        <f t="shared" si="0"/>
        <v>45</v>
      </c>
      <c r="M11" s="13">
        <v>0.1</v>
      </c>
      <c r="N11" s="12">
        <f t="shared" si="4"/>
        <v>0.02</v>
      </c>
      <c r="O11" s="12" t="str">
        <f t="shared" si="1"/>
        <v>1000</v>
      </c>
      <c r="P11" s="12">
        <f t="shared" si="5"/>
        <v>2601000</v>
      </c>
      <c r="Q11" s="12">
        <f t="shared" si="6"/>
        <v>0.34</v>
      </c>
      <c r="R11" s="12">
        <f t="shared" si="7"/>
        <v>884340.00000000012</v>
      </c>
      <c r="S11" s="14"/>
      <c r="T11" s="15">
        <f t="shared" si="8"/>
        <v>1716660</v>
      </c>
      <c r="V11"/>
    </row>
    <row r="12" spans="2:28" x14ac:dyDescent="0.25">
      <c r="B12" s="12">
        <v>8</v>
      </c>
      <c r="C12" s="12" t="s">
        <v>44</v>
      </c>
      <c r="D12" s="12" t="s">
        <v>30</v>
      </c>
      <c r="E12" s="12">
        <v>75</v>
      </c>
      <c r="F12" s="12">
        <v>53</v>
      </c>
      <c r="G12" s="12">
        <f t="shared" si="2"/>
        <v>3975</v>
      </c>
      <c r="H12" s="12">
        <v>5</v>
      </c>
      <c r="I12" s="12">
        <v>1985</v>
      </c>
      <c r="J12" s="12">
        <v>2023</v>
      </c>
      <c r="K12" s="12">
        <f t="shared" si="3"/>
        <v>38</v>
      </c>
      <c r="L12" s="12" t="str">
        <f t="shared" si="0"/>
        <v>45</v>
      </c>
      <c r="M12" s="13">
        <v>0.1</v>
      </c>
      <c r="N12" s="12">
        <f t="shared" si="4"/>
        <v>0.02</v>
      </c>
      <c r="O12" s="12" t="str">
        <f t="shared" si="1"/>
        <v>1000</v>
      </c>
      <c r="P12" s="12">
        <f t="shared" si="5"/>
        <v>3975000</v>
      </c>
      <c r="Q12" s="12">
        <f t="shared" si="6"/>
        <v>0.76</v>
      </c>
      <c r="R12" s="12">
        <f t="shared" si="7"/>
        <v>3021000</v>
      </c>
      <c r="S12" s="14"/>
      <c r="T12" s="15">
        <f t="shared" si="8"/>
        <v>954000</v>
      </c>
      <c r="V12"/>
      <c r="X12" s="36">
        <v>53654.59</v>
      </c>
      <c r="Y12">
        <v>14000</v>
      </c>
      <c r="Z12" s="5">
        <f>X12*Y12</f>
        <v>751164260</v>
      </c>
    </row>
    <row r="13" spans="2:28" x14ac:dyDescent="0.25">
      <c r="B13" s="12">
        <v>9</v>
      </c>
      <c r="C13" s="12" t="s">
        <v>45</v>
      </c>
      <c r="D13" s="12" t="str">
        <f>IF(H13&gt;12,"Tin Shed","R.C.C")</f>
        <v>R.C.C</v>
      </c>
      <c r="E13" s="12">
        <v>100</v>
      </c>
      <c r="F13" s="12">
        <v>45</v>
      </c>
      <c r="G13" s="12">
        <f t="shared" si="2"/>
        <v>4500</v>
      </c>
      <c r="H13" s="12">
        <v>5</v>
      </c>
      <c r="I13" s="12">
        <v>2004</v>
      </c>
      <c r="J13" s="12">
        <v>2023</v>
      </c>
      <c r="K13" s="12">
        <f t="shared" si="3"/>
        <v>19</v>
      </c>
      <c r="L13" s="12" t="str">
        <f t="shared" si="0"/>
        <v>65</v>
      </c>
      <c r="M13" s="13">
        <v>0.1</v>
      </c>
      <c r="N13" s="12">
        <f t="shared" si="4"/>
        <v>1.3846153846153847E-2</v>
      </c>
      <c r="O13" s="12" t="str">
        <f t="shared" si="1"/>
        <v>1400</v>
      </c>
      <c r="P13" s="12">
        <f t="shared" si="5"/>
        <v>6300000</v>
      </c>
      <c r="Q13" s="12">
        <f t="shared" si="6"/>
        <v>0.2630769230769231</v>
      </c>
      <c r="R13" s="12">
        <f t="shared" si="7"/>
        <v>1657384.6153846155</v>
      </c>
      <c r="S13" s="14"/>
      <c r="T13" s="15">
        <f t="shared" si="8"/>
        <v>4642615.384615384</v>
      </c>
      <c r="V13"/>
      <c r="Z13">
        <v>167519663</v>
      </c>
    </row>
    <row r="14" spans="2:28" ht="30" x14ac:dyDescent="0.25">
      <c r="B14" s="12">
        <v>10</v>
      </c>
      <c r="C14" s="12" t="s">
        <v>46</v>
      </c>
      <c r="D14" s="12" t="s">
        <v>30</v>
      </c>
      <c r="E14" s="12">
        <v>50</v>
      </c>
      <c r="F14" s="12">
        <v>26</v>
      </c>
      <c r="G14" s="12">
        <f t="shared" si="2"/>
        <v>1300</v>
      </c>
      <c r="H14" s="12">
        <v>5</v>
      </c>
      <c r="I14" s="12">
        <v>2004</v>
      </c>
      <c r="J14" s="12">
        <v>2023</v>
      </c>
      <c r="K14" s="12">
        <f t="shared" si="3"/>
        <v>19</v>
      </c>
      <c r="L14" s="12" t="str">
        <f t="shared" si="0"/>
        <v>45</v>
      </c>
      <c r="M14" s="13">
        <v>0.1</v>
      </c>
      <c r="N14" s="12">
        <f t="shared" si="4"/>
        <v>0.02</v>
      </c>
      <c r="O14" s="12" t="str">
        <f t="shared" si="1"/>
        <v>1000</v>
      </c>
      <c r="P14" s="12">
        <f t="shared" si="5"/>
        <v>1300000</v>
      </c>
      <c r="Q14" s="12">
        <f t="shared" si="6"/>
        <v>0.38</v>
      </c>
      <c r="R14" s="12">
        <f t="shared" si="7"/>
        <v>494000</v>
      </c>
      <c r="S14" s="14"/>
      <c r="T14" s="15">
        <f t="shared" si="8"/>
        <v>806000</v>
      </c>
      <c r="V14"/>
      <c r="Z14">
        <v>2800000</v>
      </c>
    </row>
    <row r="15" spans="2:28" x14ac:dyDescent="0.25">
      <c r="B15" s="12">
        <v>11</v>
      </c>
      <c r="C15" s="12" t="s">
        <v>47</v>
      </c>
      <c r="D15" s="47" t="s">
        <v>29</v>
      </c>
      <c r="E15" s="12">
        <v>116</v>
      </c>
      <c r="F15" s="12">
        <v>100</v>
      </c>
      <c r="G15" s="12">
        <v>5800</v>
      </c>
      <c r="H15" s="12">
        <v>4</v>
      </c>
      <c r="I15" s="12">
        <v>2004</v>
      </c>
      <c r="J15" s="12">
        <v>2023</v>
      </c>
      <c r="K15" s="12">
        <f t="shared" si="3"/>
        <v>19</v>
      </c>
      <c r="L15" s="12" t="str">
        <f t="shared" si="0"/>
        <v>65</v>
      </c>
      <c r="M15" s="13">
        <v>0.1</v>
      </c>
      <c r="N15" s="12">
        <f t="shared" si="4"/>
        <v>1.3846153846153847E-2</v>
      </c>
      <c r="O15" s="12" t="str">
        <f t="shared" si="1"/>
        <v>1400</v>
      </c>
      <c r="P15" s="12">
        <f t="shared" si="5"/>
        <v>8120000</v>
      </c>
      <c r="Q15" s="12">
        <f t="shared" si="6"/>
        <v>0.2630769230769231</v>
      </c>
      <c r="R15" s="12">
        <f t="shared" si="7"/>
        <v>2136184.6153846155</v>
      </c>
      <c r="S15" s="14"/>
      <c r="T15" s="15">
        <f t="shared" si="8"/>
        <v>5983815.384615384</v>
      </c>
      <c r="V15"/>
      <c r="Z15" s="4">
        <f>SUM(Z12:Z14)</f>
        <v>921483923</v>
      </c>
    </row>
    <row r="16" spans="2:28" ht="30" x14ac:dyDescent="0.25">
      <c r="B16" s="12">
        <v>12</v>
      </c>
      <c r="C16" s="12" t="s">
        <v>48</v>
      </c>
      <c r="D16" s="12" t="s">
        <v>30</v>
      </c>
      <c r="E16" s="12">
        <v>26</v>
      </c>
      <c r="F16" s="12">
        <v>27</v>
      </c>
      <c r="G16" s="12">
        <v>700</v>
      </c>
      <c r="H16" s="12">
        <v>7</v>
      </c>
      <c r="I16" s="12">
        <v>2006</v>
      </c>
      <c r="J16" s="12">
        <v>2023</v>
      </c>
      <c r="K16" s="12">
        <f t="shared" si="3"/>
        <v>17</v>
      </c>
      <c r="L16" s="12" t="str">
        <f t="shared" si="0"/>
        <v>45</v>
      </c>
      <c r="M16" s="13">
        <v>0.1</v>
      </c>
      <c r="N16" s="12">
        <f t="shared" si="4"/>
        <v>0.02</v>
      </c>
      <c r="O16" s="12" t="str">
        <f t="shared" si="1"/>
        <v>1000</v>
      </c>
      <c r="P16" s="12">
        <f t="shared" si="5"/>
        <v>700000</v>
      </c>
      <c r="Q16" s="12">
        <f t="shared" si="6"/>
        <v>0.34</v>
      </c>
      <c r="R16" s="12">
        <f t="shared" si="7"/>
        <v>238000.00000000003</v>
      </c>
      <c r="S16" s="14"/>
      <c r="T16" s="15">
        <f t="shared" si="8"/>
        <v>462000</v>
      </c>
      <c r="V16"/>
      <c r="Z16" s="4">
        <f>Z15*AA16</f>
        <v>783261334.54999995</v>
      </c>
      <c r="AA16">
        <v>0.85</v>
      </c>
      <c r="AB16">
        <v>0.75</v>
      </c>
    </row>
    <row r="17" spans="2:26" ht="30" x14ac:dyDescent="0.25">
      <c r="B17" s="48" t="s">
        <v>73</v>
      </c>
      <c r="C17" s="12" t="s">
        <v>48</v>
      </c>
      <c r="D17" s="12" t="s">
        <v>29</v>
      </c>
      <c r="E17" s="12">
        <v>26</v>
      </c>
      <c r="F17" s="12">
        <v>27</v>
      </c>
      <c r="G17" s="12">
        <v>700</v>
      </c>
      <c r="H17" s="12">
        <v>3</v>
      </c>
      <c r="I17" s="12">
        <v>2006</v>
      </c>
      <c r="J17" s="12">
        <v>2023</v>
      </c>
      <c r="K17" s="12">
        <f t="shared" si="3"/>
        <v>17</v>
      </c>
      <c r="L17" s="12" t="str">
        <f t="shared" si="0"/>
        <v>65</v>
      </c>
      <c r="M17" s="13">
        <v>0.1</v>
      </c>
      <c r="N17" s="12">
        <f t="shared" si="4"/>
        <v>1.3846153846153847E-2</v>
      </c>
      <c r="O17" s="12" t="str">
        <f t="shared" si="1"/>
        <v>1400</v>
      </c>
      <c r="P17" s="12">
        <f t="shared" si="5"/>
        <v>980000</v>
      </c>
      <c r="Q17" s="12">
        <f t="shared" si="6"/>
        <v>0.23538461538461539</v>
      </c>
      <c r="R17" s="12">
        <f t="shared" si="7"/>
        <v>230676.92307692309</v>
      </c>
      <c r="S17" s="14"/>
      <c r="T17" s="15">
        <f t="shared" si="8"/>
        <v>749323.07692307688</v>
      </c>
      <c r="V17"/>
      <c r="Z17" s="4"/>
    </row>
    <row r="18" spans="2:26" ht="30" x14ac:dyDescent="0.25">
      <c r="B18" s="12">
        <v>13</v>
      </c>
      <c r="C18" s="12" t="s">
        <v>49</v>
      </c>
      <c r="D18" s="12" t="s">
        <v>29</v>
      </c>
      <c r="E18" s="12">
        <v>60</v>
      </c>
      <c r="F18" s="12">
        <v>40</v>
      </c>
      <c r="G18" s="12">
        <f t="shared" si="2"/>
        <v>2400</v>
      </c>
      <c r="H18" s="12">
        <v>3</v>
      </c>
      <c r="I18" s="12">
        <v>2019</v>
      </c>
      <c r="J18" s="12">
        <v>2023</v>
      </c>
      <c r="K18" s="12">
        <f t="shared" si="3"/>
        <v>4</v>
      </c>
      <c r="L18" s="12" t="str">
        <f t="shared" si="0"/>
        <v>65</v>
      </c>
      <c r="M18" s="13">
        <v>0.1</v>
      </c>
      <c r="N18" s="12">
        <f t="shared" si="4"/>
        <v>1.3846153846153847E-2</v>
      </c>
      <c r="O18" s="12" t="str">
        <f t="shared" si="1"/>
        <v>1400</v>
      </c>
      <c r="P18" s="12">
        <f t="shared" si="5"/>
        <v>3360000</v>
      </c>
      <c r="Q18" s="12">
        <f t="shared" si="6"/>
        <v>5.5384615384615386E-2</v>
      </c>
      <c r="R18" s="12">
        <f t="shared" si="7"/>
        <v>186092.30769230769</v>
      </c>
      <c r="S18" s="14"/>
      <c r="T18" s="15">
        <f t="shared" si="8"/>
        <v>3173907.6923076925</v>
      </c>
      <c r="V18"/>
      <c r="Z18" s="4">
        <f>Z15*AB16</f>
        <v>691112942.25</v>
      </c>
    </row>
    <row r="19" spans="2:26" ht="30" x14ac:dyDescent="0.25">
      <c r="B19" s="12">
        <v>14</v>
      </c>
      <c r="C19" s="12" t="s">
        <v>50</v>
      </c>
      <c r="D19" s="12" t="s">
        <v>30</v>
      </c>
      <c r="E19" s="12">
        <v>70</v>
      </c>
      <c r="F19" s="12">
        <v>78</v>
      </c>
      <c r="G19" s="12">
        <v>3150</v>
      </c>
      <c r="H19" s="12">
        <v>3</v>
      </c>
      <c r="I19" s="12">
        <v>2019</v>
      </c>
      <c r="J19" s="12">
        <v>2023</v>
      </c>
      <c r="K19" s="12">
        <f t="shared" si="3"/>
        <v>4</v>
      </c>
      <c r="L19" s="12" t="str">
        <f t="shared" si="0"/>
        <v>45</v>
      </c>
      <c r="M19" s="13">
        <v>0.1</v>
      </c>
      <c r="N19" s="12">
        <f t="shared" si="4"/>
        <v>0.02</v>
      </c>
      <c r="O19" s="12" t="str">
        <f t="shared" si="1"/>
        <v>1000</v>
      </c>
      <c r="P19" s="12">
        <f t="shared" si="5"/>
        <v>3150000</v>
      </c>
      <c r="Q19" s="12">
        <f t="shared" si="6"/>
        <v>0.08</v>
      </c>
      <c r="R19" s="12">
        <f t="shared" si="7"/>
        <v>252000</v>
      </c>
      <c r="S19" s="14"/>
      <c r="T19" s="15">
        <f t="shared" si="8"/>
        <v>2898000</v>
      </c>
      <c r="V19"/>
    </row>
    <row r="20" spans="2:26" x14ac:dyDescent="0.25">
      <c r="B20" s="12">
        <v>15</v>
      </c>
      <c r="C20" s="12" t="s">
        <v>51</v>
      </c>
      <c r="D20" s="12" t="str">
        <f>IF(H20&gt;12,"Tin Shed","R.C.C")</f>
        <v>Tin Shed</v>
      </c>
      <c r="E20" s="12">
        <v>175</v>
      </c>
      <c r="F20" s="12">
        <v>57</v>
      </c>
      <c r="G20" s="12">
        <v>4941</v>
      </c>
      <c r="H20" s="12">
        <v>20</v>
      </c>
      <c r="I20" s="12">
        <v>2006</v>
      </c>
      <c r="J20" s="12">
        <v>2023</v>
      </c>
      <c r="K20" s="12">
        <f t="shared" si="3"/>
        <v>17</v>
      </c>
      <c r="L20" s="12" t="str">
        <f t="shared" si="0"/>
        <v>45</v>
      </c>
      <c r="M20" s="13">
        <v>0.1</v>
      </c>
      <c r="N20" s="12">
        <f t="shared" si="4"/>
        <v>0.02</v>
      </c>
      <c r="O20" s="12" t="str">
        <f t="shared" si="1"/>
        <v>1000</v>
      </c>
      <c r="P20" s="12">
        <f t="shared" si="5"/>
        <v>4941000</v>
      </c>
      <c r="Q20" s="12">
        <f t="shared" si="6"/>
        <v>0.34</v>
      </c>
      <c r="R20" s="12">
        <f t="shared" si="7"/>
        <v>1679940.0000000002</v>
      </c>
      <c r="S20" s="14"/>
      <c r="T20" s="15">
        <f t="shared" si="8"/>
        <v>3261060</v>
      </c>
      <c r="V20"/>
    </row>
    <row r="21" spans="2:26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2"/>
      <c r="O21" s="12"/>
      <c r="P21" s="12"/>
      <c r="Q21" s="12"/>
      <c r="R21" s="12"/>
      <c r="S21" s="14"/>
      <c r="T21" s="15"/>
      <c r="V21"/>
    </row>
    <row r="22" spans="2:26" x14ac:dyDescent="0.25">
      <c r="B22" s="12">
        <v>16</v>
      </c>
      <c r="C22" s="12" t="s">
        <v>52</v>
      </c>
      <c r="D22" s="47" t="s">
        <v>29</v>
      </c>
      <c r="E22" s="12">
        <f>87/2</f>
        <v>43.5</v>
      </c>
      <c r="F22" s="12">
        <f>40/2</f>
        <v>20</v>
      </c>
      <c r="G22" s="12">
        <f t="shared" si="2"/>
        <v>870</v>
      </c>
      <c r="H22" s="12">
        <v>5</v>
      </c>
      <c r="I22" s="12">
        <v>1996</v>
      </c>
      <c r="J22" s="12">
        <v>2023</v>
      </c>
      <c r="K22" s="12">
        <f t="shared" si="3"/>
        <v>27</v>
      </c>
      <c r="L22" s="12" t="str">
        <f>IF(D22="R.C.C","65","45")</f>
        <v>65</v>
      </c>
      <c r="M22" s="13">
        <v>0.1</v>
      </c>
      <c r="N22" s="12">
        <f t="shared" si="4"/>
        <v>1.3846153846153847E-2</v>
      </c>
      <c r="O22" s="12" t="str">
        <f>IF(D22="R.C.C","1400","1000")</f>
        <v>1400</v>
      </c>
      <c r="P22" s="12">
        <f t="shared" si="5"/>
        <v>1218000</v>
      </c>
      <c r="Q22" s="12">
        <f t="shared" si="6"/>
        <v>0.37384615384615388</v>
      </c>
      <c r="R22" s="12">
        <f t="shared" si="7"/>
        <v>455344.61538461543</v>
      </c>
      <c r="S22" s="14"/>
      <c r="T22" s="15">
        <f t="shared" si="8"/>
        <v>762655.38461538451</v>
      </c>
      <c r="V22"/>
    </row>
    <row r="23" spans="2:26" x14ac:dyDescent="0.25">
      <c r="B23" s="12"/>
      <c r="C23" s="12" t="s">
        <v>52</v>
      </c>
      <c r="D23" s="47" t="s">
        <v>30</v>
      </c>
      <c r="E23" s="12">
        <f>43.5*5</f>
        <v>217.5</v>
      </c>
      <c r="F23" s="12">
        <f>20*5</f>
        <v>100</v>
      </c>
      <c r="G23" s="12">
        <f t="shared" si="2"/>
        <v>21750</v>
      </c>
      <c r="H23" s="12">
        <v>5</v>
      </c>
      <c r="I23" s="12"/>
      <c r="J23" s="12"/>
      <c r="K23" s="12"/>
      <c r="L23" s="12" t="str">
        <f>IF(D23="R.C.C","65","45")</f>
        <v>45</v>
      </c>
      <c r="M23" s="13"/>
      <c r="N23" s="12"/>
      <c r="O23" s="12" t="str">
        <f>IF(D23="R.C.C","1400","1000")</f>
        <v>1000</v>
      </c>
      <c r="P23" s="12"/>
      <c r="Q23" s="12"/>
      <c r="R23" s="12"/>
      <c r="S23" s="14"/>
      <c r="T23" s="15"/>
      <c r="V23"/>
    </row>
    <row r="24" spans="2:26" ht="30" x14ac:dyDescent="0.25">
      <c r="B24" s="12">
        <v>17</v>
      </c>
      <c r="C24" s="12" t="s">
        <v>53</v>
      </c>
      <c r="D24" s="47" t="s">
        <v>29</v>
      </c>
      <c r="E24" s="12">
        <v>94</v>
      </c>
      <c r="F24" s="12">
        <v>32</v>
      </c>
      <c r="G24" s="12">
        <f t="shared" si="2"/>
        <v>3008</v>
      </c>
      <c r="H24" s="12">
        <v>22</v>
      </c>
      <c r="I24" s="12">
        <v>1996</v>
      </c>
      <c r="J24" s="12">
        <v>2023</v>
      </c>
      <c r="K24" s="12">
        <f t="shared" si="3"/>
        <v>27</v>
      </c>
      <c r="L24" s="12" t="str">
        <f>IF(D24="R.C.C","65","45")</f>
        <v>65</v>
      </c>
      <c r="M24" s="13">
        <v>0.1</v>
      </c>
      <c r="N24" s="12">
        <f t="shared" si="4"/>
        <v>1.3846153846153847E-2</v>
      </c>
      <c r="O24" s="12" t="str">
        <f>IF(D24="R.C.C","1400","1000")</f>
        <v>1400</v>
      </c>
      <c r="P24" s="12">
        <f t="shared" si="5"/>
        <v>4211200</v>
      </c>
      <c r="Q24" s="12">
        <f t="shared" si="6"/>
        <v>0.37384615384615388</v>
      </c>
      <c r="R24" s="12">
        <f t="shared" si="7"/>
        <v>1574340.9230769232</v>
      </c>
      <c r="S24" s="14"/>
      <c r="T24" s="15">
        <f t="shared" si="8"/>
        <v>2636859.076923077</v>
      </c>
      <c r="V24"/>
    </row>
    <row r="25" spans="2:26" ht="45" x14ac:dyDescent="0.25">
      <c r="B25" s="12">
        <v>18</v>
      </c>
      <c r="C25" s="12" t="s">
        <v>54</v>
      </c>
      <c r="D25" s="47" t="s">
        <v>29</v>
      </c>
      <c r="E25" s="12">
        <f>111/2</f>
        <v>55.5</v>
      </c>
      <c r="F25" s="12">
        <v>30</v>
      </c>
      <c r="G25" s="12">
        <f t="shared" si="2"/>
        <v>1665</v>
      </c>
      <c r="H25" s="12">
        <v>6</v>
      </c>
      <c r="I25" s="12">
        <v>2006</v>
      </c>
      <c r="J25" s="12">
        <v>2023</v>
      </c>
      <c r="K25" s="12">
        <f t="shared" si="3"/>
        <v>17</v>
      </c>
      <c r="L25" s="12" t="str">
        <f>IF(D25="R.C.C","65","45")</f>
        <v>65</v>
      </c>
      <c r="M25" s="13">
        <v>0.1</v>
      </c>
      <c r="N25" s="12">
        <f t="shared" si="4"/>
        <v>1.3846153846153847E-2</v>
      </c>
      <c r="O25" s="12" t="str">
        <f>IF(D25="R.C.C","1400","1000")</f>
        <v>1400</v>
      </c>
      <c r="P25" s="12">
        <f t="shared" si="5"/>
        <v>2331000</v>
      </c>
      <c r="Q25" s="12">
        <f t="shared" si="6"/>
        <v>0.23538461538461539</v>
      </c>
      <c r="R25" s="12">
        <f t="shared" si="7"/>
        <v>548681.5384615385</v>
      </c>
      <c r="S25" s="14"/>
      <c r="T25" s="15">
        <f t="shared" si="8"/>
        <v>1782318.4615384615</v>
      </c>
      <c r="V25"/>
    </row>
    <row r="26" spans="2:26" ht="45" x14ac:dyDescent="0.25">
      <c r="B26" s="12"/>
      <c r="C26" s="12" t="s">
        <v>54</v>
      </c>
      <c r="D26" s="47" t="s">
        <v>29</v>
      </c>
      <c r="E26" s="12">
        <f>55.5*5</f>
        <v>277.5</v>
      </c>
      <c r="F26" s="12">
        <f>30*5</f>
        <v>150</v>
      </c>
      <c r="G26" s="12">
        <f t="shared" si="2"/>
        <v>41625</v>
      </c>
      <c r="H26" s="12">
        <v>12</v>
      </c>
      <c r="I26" s="12"/>
      <c r="J26" s="12"/>
      <c r="K26" s="12"/>
      <c r="L26" s="12"/>
      <c r="M26" s="13"/>
      <c r="N26" s="12"/>
      <c r="O26" s="12"/>
      <c r="P26" s="12"/>
      <c r="Q26" s="12"/>
      <c r="R26" s="12"/>
      <c r="S26" s="14"/>
      <c r="T26" s="15"/>
      <c r="V26"/>
    </row>
    <row r="27" spans="2:26" x14ac:dyDescent="0.25">
      <c r="B27" s="12">
        <v>19</v>
      </c>
      <c r="C27" s="12" t="s">
        <v>55</v>
      </c>
      <c r="D27" s="12" t="str">
        <f>IF(H27&gt;12,"Tin Shed","R.C.C")</f>
        <v>R.C.C</v>
      </c>
      <c r="E27" s="12">
        <v>108</v>
      </c>
      <c r="F27" s="12">
        <v>48</v>
      </c>
      <c r="G27" s="12">
        <v>2592</v>
      </c>
      <c r="H27" s="12">
        <v>5</v>
      </c>
      <c r="I27" s="12">
        <v>1996</v>
      </c>
      <c r="J27" s="12">
        <v>2023</v>
      </c>
      <c r="K27" s="12">
        <f t="shared" si="3"/>
        <v>27</v>
      </c>
      <c r="L27" s="12" t="str">
        <f t="shared" ref="L27:L42" si="9">IF(D27="R.C.C","65","45")</f>
        <v>65</v>
      </c>
      <c r="M27" s="13">
        <v>0.1</v>
      </c>
      <c r="N27" s="12">
        <f t="shared" si="4"/>
        <v>1.3846153846153847E-2</v>
      </c>
      <c r="O27" s="12" t="str">
        <f t="shared" ref="O27:O42" si="10">IF(D27="R.C.C","1400","1000")</f>
        <v>1400</v>
      </c>
      <c r="P27" s="12">
        <f t="shared" si="5"/>
        <v>3628800</v>
      </c>
      <c r="Q27" s="12">
        <f t="shared" si="6"/>
        <v>0.37384615384615388</v>
      </c>
      <c r="R27" s="12">
        <f t="shared" si="7"/>
        <v>1356612.9230769232</v>
      </c>
      <c r="S27" s="14"/>
      <c r="T27" s="15">
        <f t="shared" si="8"/>
        <v>2272187.076923077</v>
      </c>
      <c r="V27"/>
    </row>
    <row r="28" spans="2:26" ht="30" x14ac:dyDescent="0.25">
      <c r="B28" s="12">
        <v>20</v>
      </c>
      <c r="C28" s="12" t="s">
        <v>56</v>
      </c>
      <c r="D28" s="12" t="str">
        <f>IF(H28&gt;12,"Tin Shed","R.C.C")</f>
        <v>R.C.C</v>
      </c>
      <c r="E28" s="12">
        <v>222</v>
      </c>
      <c r="F28" s="12">
        <v>76</v>
      </c>
      <c r="G28" s="12">
        <v>8436</v>
      </c>
      <c r="H28" s="12">
        <v>10</v>
      </c>
      <c r="I28" s="12">
        <v>1985</v>
      </c>
      <c r="J28" s="12">
        <v>2023</v>
      </c>
      <c r="K28" s="12">
        <f t="shared" si="3"/>
        <v>38</v>
      </c>
      <c r="L28" s="12" t="str">
        <f t="shared" si="9"/>
        <v>65</v>
      </c>
      <c r="M28" s="13">
        <v>0.1</v>
      </c>
      <c r="N28" s="12">
        <f t="shared" si="4"/>
        <v>1.3846153846153847E-2</v>
      </c>
      <c r="O28" s="12" t="str">
        <f t="shared" si="10"/>
        <v>1400</v>
      </c>
      <c r="P28" s="12">
        <f t="shared" si="5"/>
        <v>11810400</v>
      </c>
      <c r="Q28" s="12">
        <f t="shared" si="6"/>
        <v>0.52615384615384619</v>
      </c>
      <c r="R28" s="12">
        <f t="shared" si="7"/>
        <v>6214087.384615385</v>
      </c>
      <c r="S28" s="14"/>
      <c r="T28" s="15">
        <f t="shared" si="8"/>
        <v>5596312.615384615</v>
      </c>
      <c r="V28"/>
    </row>
    <row r="29" spans="2:26" ht="30" x14ac:dyDescent="0.25">
      <c r="B29" s="12">
        <v>21</v>
      </c>
      <c r="C29" s="12" t="s">
        <v>57</v>
      </c>
      <c r="D29" s="12" t="str">
        <f>IF(H29&gt;12,"Tin Shed","R.C.C")</f>
        <v>R.C.C</v>
      </c>
      <c r="E29" s="12">
        <v>222</v>
      </c>
      <c r="F29" s="12">
        <v>76</v>
      </c>
      <c r="G29" s="12">
        <v>8436</v>
      </c>
      <c r="H29" s="12">
        <v>10</v>
      </c>
      <c r="I29" s="12">
        <v>1985</v>
      </c>
      <c r="J29" s="12">
        <v>2023</v>
      </c>
      <c r="K29" s="12">
        <f t="shared" si="3"/>
        <v>38</v>
      </c>
      <c r="L29" s="12" t="str">
        <f t="shared" si="9"/>
        <v>65</v>
      </c>
      <c r="M29" s="13">
        <v>0.1</v>
      </c>
      <c r="N29" s="12">
        <f t="shared" si="4"/>
        <v>1.3846153846153847E-2</v>
      </c>
      <c r="O29" s="12" t="str">
        <f t="shared" si="10"/>
        <v>1400</v>
      </c>
      <c r="P29" s="12">
        <f t="shared" si="5"/>
        <v>11810400</v>
      </c>
      <c r="Q29" s="12">
        <f t="shared" si="6"/>
        <v>0.52615384615384619</v>
      </c>
      <c r="R29" s="12">
        <f t="shared" si="7"/>
        <v>6214087.384615385</v>
      </c>
      <c r="S29" s="14"/>
      <c r="T29" s="15">
        <f t="shared" si="8"/>
        <v>5596312.615384615</v>
      </c>
      <c r="V29"/>
    </row>
    <row r="30" spans="2:26" ht="30" x14ac:dyDescent="0.25">
      <c r="B30" s="12">
        <v>22</v>
      </c>
      <c r="C30" s="12" t="s">
        <v>58</v>
      </c>
      <c r="D30" s="12" t="str">
        <f>IF(H30&gt;12,"Tin Shed","R.C.C")</f>
        <v>R.C.C</v>
      </c>
      <c r="E30" s="12">
        <v>120</v>
      </c>
      <c r="F30" s="12">
        <v>72</v>
      </c>
      <c r="G30" s="12">
        <v>8640</v>
      </c>
      <c r="H30" s="12">
        <v>5</v>
      </c>
      <c r="I30" s="12">
        <v>1993</v>
      </c>
      <c r="J30" s="12">
        <v>2023</v>
      </c>
      <c r="K30" s="12">
        <f t="shared" si="3"/>
        <v>30</v>
      </c>
      <c r="L30" s="12" t="str">
        <f t="shared" si="9"/>
        <v>65</v>
      </c>
      <c r="M30" s="13">
        <v>0.1</v>
      </c>
      <c r="N30" s="12">
        <f t="shared" si="4"/>
        <v>1.3846153846153847E-2</v>
      </c>
      <c r="O30" s="12" t="str">
        <f t="shared" si="10"/>
        <v>1400</v>
      </c>
      <c r="P30" s="12">
        <f t="shared" si="5"/>
        <v>12096000</v>
      </c>
      <c r="Q30" s="12">
        <f t="shared" si="6"/>
        <v>0.41538461538461541</v>
      </c>
      <c r="R30" s="12">
        <f t="shared" si="7"/>
        <v>5024492.307692308</v>
      </c>
      <c r="S30" s="14"/>
      <c r="T30" s="15">
        <f t="shared" si="8"/>
        <v>7071507.692307692</v>
      </c>
      <c r="V30"/>
    </row>
    <row r="31" spans="2:26" ht="30" x14ac:dyDescent="0.25">
      <c r="B31" s="12">
        <v>23</v>
      </c>
      <c r="C31" s="12" t="s">
        <v>59</v>
      </c>
      <c r="D31" s="12" t="s">
        <v>30</v>
      </c>
      <c r="E31" s="12">
        <v>49</v>
      </c>
      <c r="F31" s="12">
        <v>48</v>
      </c>
      <c r="G31" s="12">
        <v>2352</v>
      </c>
      <c r="H31" s="12">
        <v>7</v>
      </c>
      <c r="I31" s="12">
        <v>1985</v>
      </c>
      <c r="J31" s="12">
        <v>2023</v>
      </c>
      <c r="K31" s="12">
        <f t="shared" si="3"/>
        <v>38</v>
      </c>
      <c r="L31" s="12" t="str">
        <f t="shared" si="9"/>
        <v>45</v>
      </c>
      <c r="M31" s="13">
        <v>0.1</v>
      </c>
      <c r="N31" s="12">
        <f t="shared" si="4"/>
        <v>0.02</v>
      </c>
      <c r="O31" s="12" t="str">
        <f t="shared" si="10"/>
        <v>1000</v>
      </c>
      <c r="P31" s="12">
        <f t="shared" si="5"/>
        <v>2352000</v>
      </c>
      <c r="Q31" s="12">
        <f t="shared" si="6"/>
        <v>0.76</v>
      </c>
      <c r="R31" s="12">
        <f t="shared" si="7"/>
        <v>1787520</v>
      </c>
      <c r="S31" s="14"/>
      <c r="T31" s="15">
        <f t="shared" si="8"/>
        <v>564480</v>
      </c>
      <c r="V31"/>
    </row>
    <row r="32" spans="2:26" ht="30" x14ac:dyDescent="0.25">
      <c r="B32" s="12">
        <v>24</v>
      </c>
      <c r="C32" s="12" t="s">
        <v>60</v>
      </c>
      <c r="D32" s="12" t="s">
        <v>30</v>
      </c>
      <c r="E32" s="12">
        <v>49</v>
      </c>
      <c r="F32" s="12">
        <v>48</v>
      </c>
      <c r="G32" s="12">
        <f t="shared" si="2"/>
        <v>2352</v>
      </c>
      <c r="H32" s="12">
        <v>7</v>
      </c>
      <c r="I32" s="12">
        <v>1985</v>
      </c>
      <c r="J32" s="12">
        <v>2023</v>
      </c>
      <c r="K32" s="12">
        <f t="shared" si="3"/>
        <v>38</v>
      </c>
      <c r="L32" s="12" t="str">
        <f t="shared" si="9"/>
        <v>45</v>
      </c>
      <c r="M32" s="13">
        <v>0.1</v>
      </c>
      <c r="N32" s="12">
        <f t="shared" si="4"/>
        <v>0.02</v>
      </c>
      <c r="O32" s="12" t="str">
        <f t="shared" si="10"/>
        <v>1000</v>
      </c>
      <c r="P32" s="12">
        <f t="shared" si="5"/>
        <v>2352000</v>
      </c>
      <c r="Q32" s="12">
        <f t="shared" si="6"/>
        <v>0.76</v>
      </c>
      <c r="R32" s="12">
        <f t="shared" si="7"/>
        <v>1787520</v>
      </c>
      <c r="S32" s="14"/>
      <c r="T32" s="15">
        <f t="shared" si="8"/>
        <v>564480</v>
      </c>
      <c r="V32"/>
    </row>
    <row r="33" spans="2:34" ht="30" x14ac:dyDescent="0.25">
      <c r="B33" s="12">
        <v>25</v>
      </c>
      <c r="C33" s="12" t="s">
        <v>61</v>
      </c>
      <c r="D33" s="12" t="s">
        <v>30</v>
      </c>
      <c r="E33" s="12">
        <v>110</v>
      </c>
      <c r="F33" s="12">
        <v>19</v>
      </c>
      <c r="G33" s="12">
        <f t="shared" si="2"/>
        <v>2090</v>
      </c>
      <c r="H33" s="12">
        <v>4</v>
      </c>
      <c r="I33" s="12">
        <v>1985</v>
      </c>
      <c r="J33" s="12">
        <v>2023</v>
      </c>
      <c r="K33" s="12">
        <f t="shared" si="3"/>
        <v>38</v>
      </c>
      <c r="L33" s="12" t="str">
        <f t="shared" si="9"/>
        <v>45</v>
      </c>
      <c r="M33" s="13">
        <v>0.1</v>
      </c>
      <c r="N33" s="12">
        <f t="shared" si="4"/>
        <v>0.02</v>
      </c>
      <c r="O33" s="12" t="str">
        <f t="shared" si="10"/>
        <v>1000</v>
      </c>
      <c r="P33" s="12">
        <f t="shared" si="5"/>
        <v>2090000</v>
      </c>
      <c r="Q33" s="12">
        <f t="shared" si="6"/>
        <v>0.76</v>
      </c>
      <c r="R33" s="12">
        <f t="shared" si="7"/>
        <v>1588400</v>
      </c>
      <c r="S33" s="14"/>
      <c r="T33" s="15">
        <f t="shared" si="8"/>
        <v>501600</v>
      </c>
      <c r="V33"/>
    </row>
    <row r="34" spans="2:34" ht="30" x14ac:dyDescent="0.25">
      <c r="B34" s="12">
        <v>26</v>
      </c>
      <c r="C34" s="12" t="s">
        <v>62</v>
      </c>
      <c r="D34" s="12" t="s">
        <v>30</v>
      </c>
      <c r="E34" s="12">
        <v>29</v>
      </c>
      <c r="F34" s="12">
        <v>49</v>
      </c>
      <c r="G34" s="12">
        <f t="shared" si="2"/>
        <v>1421</v>
      </c>
      <c r="H34" s="12">
        <v>7</v>
      </c>
      <c r="I34" s="12">
        <v>1985</v>
      </c>
      <c r="J34" s="12">
        <v>2023</v>
      </c>
      <c r="K34" s="12">
        <f t="shared" si="3"/>
        <v>38</v>
      </c>
      <c r="L34" s="12" t="str">
        <f t="shared" si="9"/>
        <v>45</v>
      </c>
      <c r="M34" s="13">
        <v>0.1</v>
      </c>
      <c r="N34" s="12">
        <f t="shared" si="4"/>
        <v>0.02</v>
      </c>
      <c r="O34" s="12" t="str">
        <f t="shared" si="10"/>
        <v>1000</v>
      </c>
      <c r="P34" s="12">
        <f t="shared" si="5"/>
        <v>1421000</v>
      </c>
      <c r="Q34" s="12">
        <f t="shared" si="6"/>
        <v>0.76</v>
      </c>
      <c r="R34" s="12">
        <f t="shared" si="7"/>
        <v>1079960</v>
      </c>
      <c r="S34" s="14"/>
      <c r="T34" s="15">
        <f t="shared" si="8"/>
        <v>341040</v>
      </c>
      <c r="V34"/>
    </row>
    <row r="35" spans="2:34" x14ac:dyDescent="0.25">
      <c r="B35" s="12">
        <v>27</v>
      </c>
      <c r="C35" s="12" t="s">
        <v>63</v>
      </c>
      <c r="D35" s="12" t="s">
        <v>30</v>
      </c>
      <c r="E35" s="12">
        <v>89</v>
      </c>
      <c r="F35" s="12">
        <v>94</v>
      </c>
      <c r="G35" s="12">
        <v>4165</v>
      </c>
      <c r="H35" s="12">
        <v>8</v>
      </c>
      <c r="I35" s="12">
        <v>2002</v>
      </c>
      <c r="J35" s="12">
        <v>2023</v>
      </c>
      <c r="K35" s="12">
        <f t="shared" si="3"/>
        <v>21</v>
      </c>
      <c r="L35" s="12" t="str">
        <f t="shared" si="9"/>
        <v>45</v>
      </c>
      <c r="M35" s="13">
        <v>0.1</v>
      </c>
      <c r="N35" s="12">
        <f t="shared" si="4"/>
        <v>0.02</v>
      </c>
      <c r="O35" s="12" t="str">
        <f t="shared" si="10"/>
        <v>1000</v>
      </c>
      <c r="P35" s="12">
        <f t="shared" si="5"/>
        <v>4165000</v>
      </c>
      <c r="Q35" s="12">
        <f t="shared" si="6"/>
        <v>0.42</v>
      </c>
      <c r="R35" s="12">
        <f t="shared" si="7"/>
        <v>1749300</v>
      </c>
      <c r="S35" s="14"/>
      <c r="T35" s="15">
        <f t="shared" si="8"/>
        <v>2415700</v>
      </c>
      <c r="V35"/>
    </row>
    <row r="36" spans="2:34" x14ac:dyDescent="0.25">
      <c r="B36" s="12">
        <v>28</v>
      </c>
      <c r="C36" s="12" t="s">
        <v>64</v>
      </c>
      <c r="D36" s="12" t="s">
        <v>77</v>
      </c>
      <c r="E36" s="12">
        <v>247</v>
      </c>
      <c r="F36" s="12">
        <v>52</v>
      </c>
      <c r="G36" s="12">
        <f t="shared" si="2"/>
        <v>12844</v>
      </c>
      <c r="H36" s="47">
        <v>25</v>
      </c>
      <c r="I36" s="12">
        <v>1990</v>
      </c>
      <c r="J36" s="12">
        <v>2023</v>
      </c>
      <c r="K36" s="12">
        <f t="shared" si="3"/>
        <v>33</v>
      </c>
      <c r="L36" s="12" t="str">
        <f t="shared" si="9"/>
        <v>45</v>
      </c>
      <c r="M36" s="13">
        <v>0.1</v>
      </c>
      <c r="N36" s="12">
        <f t="shared" si="4"/>
        <v>0.02</v>
      </c>
      <c r="O36" s="12" t="str">
        <f t="shared" si="10"/>
        <v>1000</v>
      </c>
      <c r="P36" s="12">
        <f t="shared" si="5"/>
        <v>12844000</v>
      </c>
      <c r="Q36" s="12">
        <f t="shared" si="6"/>
        <v>0.66</v>
      </c>
      <c r="R36" s="12">
        <f t="shared" si="7"/>
        <v>8477040</v>
      </c>
      <c r="S36" s="14"/>
      <c r="T36" s="15">
        <f t="shared" si="8"/>
        <v>4366960</v>
      </c>
      <c r="V36"/>
    </row>
    <row r="37" spans="2:34" x14ac:dyDescent="0.25">
      <c r="B37" s="12">
        <v>29</v>
      </c>
      <c r="C37" s="12" t="s">
        <v>27</v>
      </c>
      <c r="D37" s="12" t="s">
        <v>29</v>
      </c>
      <c r="E37" s="12">
        <v>30</v>
      </c>
      <c r="F37" s="12">
        <v>71</v>
      </c>
      <c r="G37" s="12">
        <v>1227</v>
      </c>
      <c r="H37" s="12">
        <v>4</v>
      </c>
      <c r="I37" s="12">
        <v>2019</v>
      </c>
      <c r="J37" s="12">
        <v>2023</v>
      </c>
      <c r="K37" s="12">
        <f t="shared" si="3"/>
        <v>4</v>
      </c>
      <c r="L37" s="12" t="str">
        <f t="shared" si="9"/>
        <v>65</v>
      </c>
      <c r="M37" s="13">
        <v>0.1</v>
      </c>
      <c r="N37" s="12">
        <f t="shared" si="4"/>
        <v>1.3846153846153847E-2</v>
      </c>
      <c r="O37" s="12" t="str">
        <f t="shared" si="10"/>
        <v>1400</v>
      </c>
      <c r="P37" s="12">
        <f t="shared" si="5"/>
        <v>1717800</v>
      </c>
      <c r="Q37" s="12">
        <f t="shared" si="6"/>
        <v>5.5384615384615386E-2</v>
      </c>
      <c r="R37" s="12">
        <f t="shared" si="7"/>
        <v>95139.692307692312</v>
      </c>
      <c r="S37" s="14"/>
      <c r="T37" s="15">
        <f t="shared" si="8"/>
        <v>1622660.3076923077</v>
      </c>
      <c r="V37"/>
    </row>
    <row r="38" spans="2:34" ht="45" x14ac:dyDescent="0.25">
      <c r="B38" s="12">
        <v>30</v>
      </c>
      <c r="C38" s="12" t="s">
        <v>65</v>
      </c>
      <c r="D38" s="12" t="s">
        <v>29</v>
      </c>
      <c r="E38" s="12">
        <v>42</v>
      </c>
      <c r="F38" s="12">
        <v>100</v>
      </c>
      <c r="G38" s="12">
        <f t="shared" si="2"/>
        <v>4200</v>
      </c>
      <c r="H38" s="12">
        <v>5</v>
      </c>
      <c r="I38" s="12">
        <v>2021</v>
      </c>
      <c r="J38" s="12">
        <v>2023</v>
      </c>
      <c r="K38" s="12">
        <f t="shared" si="3"/>
        <v>2</v>
      </c>
      <c r="L38" s="12" t="str">
        <f t="shared" si="9"/>
        <v>65</v>
      </c>
      <c r="M38" s="13">
        <v>0.1</v>
      </c>
      <c r="N38" s="12">
        <f t="shared" si="4"/>
        <v>1.3846153846153847E-2</v>
      </c>
      <c r="O38" s="12" t="str">
        <f t="shared" si="10"/>
        <v>1400</v>
      </c>
      <c r="P38" s="12">
        <f t="shared" si="5"/>
        <v>5880000</v>
      </c>
      <c r="Q38" s="12">
        <f t="shared" si="6"/>
        <v>2.7692307692307693E-2</v>
      </c>
      <c r="R38" s="12">
        <f t="shared" si="7"/>
        <v>162830.76923076925</v>
      </c>
      <c r="S38" s="14"/>
      <c r="T38" s="15">
        <f t="shared" si="8"/>
        <v>5717169.230769231</v>
      </c>
      <c r="V38"/>
    </row>
    <row r="39" spans="2:34" x14ac:dyDescent="0.25">
      <c r="B39" s="12">
        <v>31</v>
      </c>
      <c r="C39" s="12" t="s">
        <v>66</v>
      </c>
      <c r="D39" s="12" t="s">
        <v>29</v>
      </c>
      <c r="E39" s="12">
        <v>116</v>
      </c>
      <c r="F39" s="12">
        <v>80</v>
      </c>
      <c r="G39" s="12">
        <f t="shared" si="2"/>
        <v>9280</v>
      </c>
      <c r="H39" s="12">
        <v>4</v>
      </c>
      <c r="I39" s="12">
        <v>1996</v>
      </c>
      <c r="J39" s="12">
        <v>2023</v>
      </c>
      <c r="K39" s="12">
        <f t="shared" si="3"/>
        <v>27</v>
      </c>
      <c r="L39" s="12" t="str">
        <f t="shared" si="9"/>
        <v>65</v>
      </c>
      <c r="M39" s="13">
        <v>0.1</v>
      </c>
      <c r="N39" s="12">
        <f t="shared" si="4"/>
        <v>1.3846153846153847E-2</v>
      </c>
      <c r="O39" s="12" t="str">
        <f t="shared" si="10"/>
        <v>1400</v>
      </c>
      <c r="P39" s="12">
        <f t="shared" si="5"/>
        <v>12992000</v>
      </c>
      <c r="Q39" s="12">
        <f t="shared" si="6"/>
        <v>0.37384615384615388</v>
      </c>
      <c r="R39" s="12">
        <f t="shared" si="7"/>
        <v>4857009.230769231</v>
      </c>
      <c r="S39" s="14"/>
      <c r="T39" s="15">
        <f t="shared" si="8"/>
        <v>8134990.769230769</v>
      </c>
      <c r="V39"/>
    </row>
    <row r="40" spans="2:34" ht="30" x14ac:dyDescent="0.25">
      <c r="B40" s="12">
        <v>32</v>
      </c>
      <c r="C40" s="12" t="s">
        <v>67</v>
      </c>
      <c r="D40" s="12" t="s">
        <v>30</v>
      </c>
      <c r="E40" s="12">
        <v>15</v>
      </c>
      <c r="F40" s="12">
        <v>10</v>
      </c>
      <c r="G40" s="12">
        <f t="shared" si="2"/>
        <v>150</v>
      </c>
      <c r="H40" s="12">
        <v>4</v>
      </c>
      <c r="I40" s="12">
        <v>2004</v>
      </c>
      <c r="J40" s="12">
        <v>2023</v>
      </c>
      <c r="K40" s="12">
        <f t="shared" si="3"/>
        <v>19</v>
      </c>
      <c r="L40" s="12" t="str">
        <f t="shared" si="9"/>
        <v>45</v>
      </c>
      <c r="M40" s="13">
        <v>0.1</v>
      </c>
      <c r="N40" s="12">
        <f t="shared" si="4"/>
        <v>0.02</v>
      </c>
      <c r="O40" s="12" t="str">
        <f t="shared" si="10"/>
        <v>1000</v>
      </c>
      <c r="P40" s="12">
        <f t="shared" si="5"/>
        <v>150000</v>
      </c>
      <c r="Q40" s="12">
        <f t="shared" si="6"/>
        <v>0.38</v>
      </c>
      <c r="R40" s="12">
        <f t="shared" si="7"/>
        <v>57000</v>
      </c>
      <c r="S40" s="14"/>
      <c r="T40" s="15">
        <f t="shared" si="8"/>
        <v>93000</v>
      </c>
      <c r="V40"/>
    </row>
    <row r="41" spans="2:34" ht="60" x14ac:dyDescent="0.25">
      <c r="B41" s="12">
        <v>33</v>
      </c>
      <c r="C41" s="47" t="s">
        <v>68</v>
      </c>
      <c r="D41" s="47" t="s">
        <v>29</v>
      </c>
      <c r="E41" s="12">
        <v>90</v>
      </c>
      <c r="F41" s="12">
        <v>106</v>
      </c>
      <c r="G41" s="12">
        <f t="shared" si="2"/>
        <v>9540</v>
      </c>
      <c r="H41" s="12">
        <v>4</v>
      </c>
      <c r="I41" s="12">
        <v>1993</v>
      </c>
      <c r="J41" s="12">
        <v>2023</v>
      </c>
      <c r="K41" s="12">
        <f t="shared" si="3"/>
        <v>30</v>
      </c>
      <c r="L41" s="12" t="str">
        <f t="shared" si="9"/>
        <v>65</v>
      </c>
      <c r="M41" s="13">
        <v>0.1</v>
      </c>
      <c r="N41" s="12">
        <f t="shared" si="4"/>
        <v>1.3846153846153847E-2</v>
      </c>
      <c r="O41" s="12" t="str">
        <f t="shared" si="10"/>
        <v>1400</v>
      </c>
      <c r="P41" s="12">
        <f t="shared" si="5"/>
        <v>13356000</v>
      </c>
      <c r="Q41" s="12">
        <f t="shared" si="6"/>
        <v>0.41538461538461541</v>
      </c>
      <c r="R41" s="12">
        <f t="shared" si="7"/>
        <v>5547876.923076923</v>
      </c>
      <c r="S41" s="14"/>
      <c r="T41" s="15">
        <f t="shared" si="8"/>
        <v>7808123.076923077</v>
      </c>
      <c r="V41"/>
    </row>
    <row r="42" spans="2:34" ht="30" x14ac:dyDescent="0.25">
      <c r="B42" s="12">
        <v>34</v>
      </c>
      <c r="C42" s="47" t="s">
        <v>69</v>
      </c>
      <c r="D42" s="12" t="s">
        <v>29</v>
      </c>
      <c r="E42" s="12"/>
      <c r="F42" s="12"/>
      <c r="G42" s="12">
        <v>13500</v>
      </c>
      <c r="H42" s="12">
        <v>4</v>
      </c>
      <c r="I42" s="12">
        <v>1993</v>
      </c>
      <c r="J42" s="12">
        <v>2023</v>
      </c>
      <c r="K42" s="12">
        <f t="shared" si="3"/>
        <v>30</v>
      </c>
      <c r="L42" s="12" t="str">
        <f t="shared" si="9"/>
        <v>65</v>
      </c>
      <c r="M42" s="13">
        <v>0.1</v>
      </c>
      <c r="N42" s="12">
        <f t="shared" si="4"/>
        <v>1.3846153846153847E-2</v>
      </c>
      <c r="O42" s="12" t="str">
        <f t="shared" si="10"/>
        <v>1400</v>
      </c>
      <c r="P42" s="12">
        <f t="shared" si="5"/>
        <v>18900000</v>
      </c>
      <c r="Q42" s="12">
        <f t="shared" si="6"/>
        <v>0.41538461538461541</v>
      </c>
      <c r="R42" s="12">
        <f t="shared" si="7"/>
        <v>7850769.230769231</v>
      </c>
      <c r="S42" s="14"/>
      <c r="T42" s="15">
        <f t="shared" si="8"/>
        <v>11049230.769230768</v>
      </c>
      <c r="V42"/>
    </row>
    <row r="43" spans="2:34" x14ac:dyDescent="0.25">
      <c r="B43" s="16">
        <v>35</v>
      </c>
      <c r="C43" s="16" t="s">
        <v>75</v>
      </c>
      <c r="D43" s="16" t="s">
        <v>76</v>
      </c>
      <c r="E43" s="16"/>
      <c r="F43" s="16"/>
      <c r="G43" s="16">
        <f>1.26*1000</f>
        <v>1260</v>
      </c>
      <c r="H43" s="16"/>
      <c r="I43" s="12">
        <v>1985</v>
      </c>
      <c r="J43" s="16">
        <v>2023</v>
      </c>
      <c r="K43" s="16">
        <f t="shared" si="3"/>
        <v>38</v>
      </c>
      <c r="L43" s="16">
        <v>55</v>
      </c>
      <c r="M43" s="49">
        <v>0.1</v>
      </c>
      <c r="N43" s="12">
        <f t="shared" si="4"/>
        <v>1.6363636363636365E-2</v>
      </c>
      <c r="O43" s="16">
        <v>4000</v>
      </c>
      <c r="P43" s="12">
        <f t="shared" ref="P43" si="11">O43*G43</f>
        <v>5040000</v>
      </c>
      <c r="Q43" s="12">
        <f t="shared" ref="Q43" si="12">N43*K43</f>
        <v>0.62181818181818183</v>
      </c>
      <c r="R43" s="12">
        <f t="shared" ref="R43" si="13">P43*Q43</f>
        <v>3133963.6363636362</v>
      </c>
      <c r="S43" s="14"/>
      <c r="T43" s="15">
        <f t="shared" ref="T43" si="14">P43-R43</f>
        <v>1906036.3636363638</v>
      </c>
      <c r="V43"/>
    </row>
    <row r="44" spans="2:34" x14ac:dyDescent="0.25">
      <c r="B44" s="16"/>
      <c r="C44" s="16"/>
      <c r="D44" s="16"/>
      <c r="E44" s="16"/>
      <c r="F44" s="16"/>
      <c r="G44" s="16"/>
      <c r="H44" s="16"/>
      <c r="I44" s="12">
        <v>1985</v>
      </c>
      <c r="J44" s="16">
        <v>2023</v>
      </c>
      <c r="K44" s="16">
        <f t="shared" ref="K44" si="15">J44-I44</f>
        <v>38</v>
      </c>
      <c r="L44" s="16">
        <v>55</v>
      </c>
      <c r="M44" s="49">
        <v>0.1</v>
      </c>
      <c r="N44" s="12">
        <f t="shared" ref="N44" si="16">(1-M44)/L44</f>
        <v>1.6363636363636365E-2</v>
      </c>
      <c r="O44" s="16">
        <v>4000</v>
      </c>
      <c r="P44" s="85">
        <v>30000000</v>
      </c>
      <c r="Q44" s="12">
        <f t="shared" ref="Q44" si="17">N44*K44</f>
        <v>0.62181818181818183</v>
      </c>
      <c r="R44" s="12">
        <f t="shared" ref="R44" si="18">P44*Q44</f>
        <v>18654545.454545453</v>
      </c>
      <c r="S44" s="14"/>
      <c r="T44" s="86">
        <f t="shared" ref="T44" si="19">P44-R44</f>
        <v>11345454.545454547</v>
      </c>
      <c r="V44"/>
    </row>
    <row r="45" spans="2:34" ht="24" customHeight="1" x14ac:dyDescent="0.25">
      <c r="B45" s="8"/>
      <c r="C45" s="8"/>
      <c r="D45" s="8"/>
      <c r="E45" s="8"/>
      <c r="F45" s="8"/>
      <c r="G45" s="9">
        <f>SUM(G5:G42)</f>
        <v>209066</v>
      </c>
      <c r="H45" s="10"/>
      <c r="I45" s="11"/>
      <c r="J45" s="10"/>
      <c r="K45" s="10"/>
      <c r="L45" s="10"/>
      <c r="M45" s="10"/>
      <c r="N45" s="10"/>
      <c r="O45" s="10"/>
      <c r="P45" s="10">
        <f>SUM(P5:P43)</f>
        <v>191035800</v>
      </c>
      <c r="Q45" s="10"/>
      <c r="R45" s="10"/>
      <c r="S45" s="10">
        <f>SUM(S5:S42)</f>
        <v>0</v>
      </c>
      <c r="T45" s="10">
        <f>SUM(T5:T43)</f>
        <v>108587048.67132866</v>
      </c>
      <c r="U45">
        <v>751164260</v>
      </c>
      <c r="V45">
        <v>2800000</v>
      </c>
      <c r="W45" s="4">
        <f>V45+U45+T45</f>
        <v>862551308.67132866</v>
      </c>
    </row>
    <row r="46" spans="2:34" x14ac:dyDescent="0.25">
      <c r="B46" s="101" t="s">
        <v>15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3"/>
      <c r="V46"/>
      <c r="W46">
        <v>911700000</v>
      </c>
      <c r="X46">
        <v>0.85</v>
      </c>
      <c r="Y46" s="5">
        <f>X46*W46</f>
        <v>774945000</v>
      </c>
    </row>
    <row r="47" spans="2:34" x14ac:dyDescent="0.25">
      <c r="B47" s="101" t="s">
        <v>17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3"/>
      <c r="V47"/>
      <c r="W47">
        <v>911700000</v>
      </c>
      <c r="X47">
        <v>0.75</v>
      </c>
      <c r="Y47" s="5">
        <f>X47*W47</f>
        <v>683775000</v>
      </c>
      <c r="Z47" s="5"/>
      <c r="AA47" s="5"/>
      <c r="AB47" s="5"/>
      <c r="AC47" s="5"/>
      <c r="AD47" s="5"/>
      <c r="AE47" s="5"/>
      <c r="AF47" s="5"/>
      <c r="AG47" s="5"/>
      <c r="AH47" s="5"/>
    </row>
    <row r="48" spans="2:34" x14ac:dyDescent="0.25">
      <c r="B48" s="107" t="s">
        <v>18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9"/>
      <c r="V48"/>
      <c r="W48">
        <v>285992600</v>
      </c>
      <c r="X48">
        <v>0.75</v>
      </c>
      <c r="Y48" s="5">
        <f>X48*W48</f>
        <v>214494450</v>
      </c>
      <c r="Z48" s="5"/>
      <c r="AA48" s="5"/>
      <c r="AB48" s="5"/>
      <c r="AC48" s="5"/>
      <c r="AD48" s="5"/>
      <c r="AE48" s="5"/>
      <c r="AF48" s="5"/>
      <c r="AG48" s="5"/>
      <c r="AH48" s="5"/>
    </row>
    <row r="49" spans="2:34" x14ac:dyDescent="0.25">
      <c r="B49" s="126" t="s">
        <v>19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8"/>
      <c r="V49"/>
      <c r="Z49" s="5"/>
      <c r="AA49" s="3"/>
      <c r="AB49" s="5"/>
      <c r="AC49" s="5"/>
      <c r="AD49" s="5"/>
      <c r="AE49" s="5"/>
      <c r="AF49" s="5"/>
      <c r="AG49" s="5"/>
      <c r="AH49" s="5"/>
    </row>
    <row r="50" spans="2:34" x14ac:dyDescent="0.25">
      <c r="B50" s="123" t="s">
        <v>20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5"/>
      <c r="V50"/>
      <c r="Z50" s="5"/>
      <c r="AA50" s="5"/>
      <c r="AB50" s="5"/>
      <c r="AC50" s="5"/>
      <c r="AD50" s="5"/>
      <c r="AE50" s="5"/>
      <c r="AF50" s="5"/>
      <c r="AG50" s="5"/>
      <c r="AH50" s="5"/>
    </row>
    <row r="51" spans="2:34" x14ac:dyDescent="0.25">
      <c r="V51"/>
      <c r="Z51" s="5"/>
      <c r="AA51" s="5"/>
      <c r="AB51" s="5"/>
      <c r="AC51" s="5"/>
      <c r="AD51" s="5"/>
      <c r="AE51" s="5"/>
      <c r="AF51" s="5"/>
      <c r="AG51" s="5"/>
      <c r="AH51" s="5"/>
    </row>
    <row r="52" spans="2:34" x14ac:dyDescent="0.25">
      <c r="D52"/>
      <c r="E52"/>
      <c r="F52"/>
      <c r="H52"/>
      <c r="V52"/>
      <c r="Z52" s="5"/>
      <c r="AA52" s="5"/>
      <c r="AB52" s="5"/>
      <c r="AC52" s="5"/>
      <c r="AD52" s="5"/>
      <c r="AE52" s="5"/>
      <c r="AF52" s="5"/>
      <c r="AG52" s="5"/>
      <c r="AH52" s="5"/>
    </row>
    <row r="53" spans="2:34" ht="28.5" customHeight="1" x14ac:dyDescent="0.25">
      <c r="D53"/>
      <c r="E53"/>
      <c r="F53"/>
      <c r="H53"/>
      <c r="V53"/>
      <c r="Z53" s="5"/>
      <c r="AA53" s="5"/>
      <c r="AB53" s="5"/>
      <c r="AC53" s="5"/>
      <c r="AD53" s="5"/>
      <c r="AE53" s="5"/>
      <c r="AF53" s="5"/>
      <c r="AG53" s="5"/>
      <c r="AH53" s="5"/>
    </row>
    <row r="54" spans="2:34" x14ac:dyDescent="0.25">
      <c r="C54" s="3"/>
      <c r="D54"/>
      <c r="E54"/>
      <c r="F54"/>
      <c r="H54"/>
      <c r="V54"/>
      <c r="Z54" s="5"/>
      <c r="AA54" s="5"/>
      <c r="AB54" s="5"/>
      <c r="AC54" s="5"/>
      <c r="AD54" s="5"/>
      <c r="AE54" s="5"/>
      <c r="AF54" s="5"/>
      <c r="AG54" s="5"/>
      <c r="AH54" s="5"/>
    </row>
    <row r="55" spans="2:34" x14ac:dyDescent="0.25">
      <c r="D55"/>
      <c r="E55"/>
      <c r="F55"/>
      <c r="H55"/>
      <c r="V55"/>
      <c r="Z55" s="5"/>
      <c r="AA55" s="5"/>
      <c r="AB55" s="5"/>
      <c r="AC55" s="5"/>
      <c r="AD55" s="5"/>
      <c r="AE55" s="5"/>
      <c r="AF55" s="5"/>
      <c r="AG55" s="5"/>
      <c r="AH55" s="5"/>
    </row>
    <row r="56" spans="2:34" ht="15.75" customHeight="1" x14ac:dyDescent="0.25">
      <c r="D56"/>
      <c r="E56"/>
      <c r="F56"/>
      <c r="H56"/>
      <c r="V56"/>
    </row>
    <row r="57" spans="2:34" ht="15" customHeight="1" x14ac:dyDescent="0.25">
      <c r="D57"/>
      <c r="E57"/>
      <c r="F57"/>
      <c r="H57"/>
      <c r="V57"/>
    </row>
    <row r="58" spans="2:34" x14ac:dyDescent="0.25">
      <c r="D58"/>
      <c r="E58"/>
      <c r="F58"/>
      <c r="H58"/>
      <c r="V58"/>
    </row>
    <row r="59" spans="2:34" x14ac:dyDescent="0.25">
      <c r="D59"/>
      <c r="E59"/>
      <c r="F59"/>
      <c r="H59"/>
      <c r="V59"/>
    </row>
    <row r="60" spans="2:34" x14ac:dyDescent="0.25">
      <c r="D60"/>
      <c r="E60"/>
      <c r="F60"/>
      <c r="H60"/>
      <c r="V60"/>
    </row>
    <row r="61" spans="2:34" x14ac:dyDescent="0.25">
      <c r="D61"/>
      <c r="E61"/>
      <c r="F61"/>
      <c r="H61"/>
      <c r="V61"/>
    </row>
    <row r="62" spans="2:34" x14ac:dyDescent="0.25">
      <c r="D62"/>
      <c r="E62"/>
      <c r="F62"/>
      <c r="H62"/>
      <c r="V62"/>
    </row>
    <row r="63" spans="2:34" x14ac:dyDescent="0.25">
      <c r="L63">
        <v>516</v>
      </c>
    </row>
    <row r="64" spans="2:34" x14ac:dyDescent="0.25">
      <c r="J64">
        <f>11000*0.7</f>
        <v>7699.9999999999991</v>
      </c>
    </row>
    <row r="65" spans="10:17" x14ac:dyDescent="0.25">
      <c r="J65" s="3"/>
      <c r="K65" s="4"/>
      <c r="L65" s="4"/>
      <c r="P65" s="4"/>
      <c r="Q65" s="4"/>
    </row>
    <row r="68" spans="10:17" x14ac:dyDescent="0.25">
      <c r="K68" s="4"/>
      <c r="L68" s="4"/>
      <c r="P68" s="4"/>
      <c r="Q68" s="4"/>
    </row>
    <row r="73" spans="10:17" x14ac:dyDescent="0.25">
      <c r="K73" s="3"/>
    </row>
    <row r="74" spans="10:17" x14ac:dyDescent="0.25">
      <c r="Q74" s="3"/>
    </row>
  </sheetData>
  <autoFilter ref="D3:D74" xr:uid="{00000000-0001-0000-0000-000000000000}"/>
  <mergeCells count="6">
    <mergeCell ref="B50:T50"/>
    <mergeCell ref="B3:T3"/>
    <mergeCell ref="B46:T46"/>
    <mergeCell ref="B47:T47"/>
    <mergeCell ref="B49:T49"/>
    <mergeCell ref="B48:T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0216-4848-4909-A132-3EF1894E3371}">
  <dimension ref="B2:T14"/>
  <sheetViews>
    <sheetView zoomScaleNormal="100" workbookViewId="0">
      <selection activeCell="F1" sqref="F1:I1048576"/>
    </sheetView>
  </sheetViews>
  <sheetFormatPr defaultRowHeight="15" x14ac:dyDescent="0.25"/>
  <cols>
    <col min="2" max="2" width="9.85546875" bestFit="1" customWidth="1"/>
    <col min="3" max="3" width="18.140625" bestFit="1" customWidth="1"/>
    <col min="4" max="4" width="24.85546875" bestFit="1" customWidth="1"/>
    <col min="5" max="5" width="12.42578125" bestFit="1" customWidth="1"/>
    <col min="6" max="6" width="22.42578125" bestFit="1" customWidth="1"/>
    <col min="7" max="7" width="13.42578125" hidden="1" customWidth="1"/>
    <col min="8" max="8" width="15.85546875" hidden="1" customWidth="1"/>
    <col min="9" max="9" width="11.7109375" bestFit="1" customWidth="1"/>
    <col min="10" max="10" width="12.7109375" bestFit="1" customWidth="1"/>
    <col min="11" max="11" width="11.7109375" bestFit="1" customWidth="1"/>
    <col min="12" max="12" width="6.85546875" bestFit="1" customWidth="1"/>
    <col min="13" max="13" width="4.85546875" bestFit="1" customWidth="1"/>
    <col min="14" max="14" width="10.28515625" bestFit="1" customWidth="1"/>
    <col min="15" max="15" width="13.7109375" bestFit="1" customWidth="1"/>
  </cols>
  <sheetData>
    <row r="2" spans="2:20" ht="15.75" thickBot="1" x14ac:dyDescent="0.3"/>
    <row r="3" spans="2:20" ht="16.5" thickBot="1" x14ac:dyDescent="0.3">
      <c r="B3" s="139" t="s">
        <v>140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</row>
    <row r="4" spans="2:20" ht="63" x14ac:dyDescent="0.25">
      <c r="B4" s="142" t="s">
        <v>100</v>
      </c>
      <c r="C4" s="143" t="s">
        <v>90</v>
      </c>
      <c r="D4" s="143" t="s">
        <v>102</v>
      </c>
      <c r="E4" s="143" t="s">
        <v>101</v>
      </c>
      <c r="F4" s="143" t="s">
        <v>134</v>
      </c>
      <c r="G4" s="143" t="s">
        <v>91</v>
      </c>
      <c r="H4" s="143" t="s">
        <v>92</v>
      </c>
      <c r="I4" s="144" t="s">
        <v>124</v>
      </c>
      <c r="J4" s="144"/>
      <c r="K4" s="144"/>
      <c r="L4" s="144" t="s">
        <v>125</v>
      </c>
      <c r="M4" s="144"/>
      <c r="N4" s="144"/>
      <c r="O4" s="145" t="s">
        <v>132</v>
      </c>
    </row>
    <row r="5" spans="2:20" ht="15.75" x14ac:dyDescent="0.25">
      <c r="B5" s="76"/>
      <c r="C5" s="77"/>
      <c r="D5" s="77"/>
      <c r="E5" s="77"/>
      <c r="F5" s="77"/>
      <c r="G5" s="77"/>
      <c r="H5" s="77"/>
      <c r="I5" s="63" t="s">
        <v>128</v>
      </c>
      <c r="J5" s="63" t="s">
        <v>129</v>
      </c>
      <c r="K5" s="63" t="s">
        <v>130</v>
      </c>
      <c r="L5" s="63" t="s">
        <v>128</v>
      </c>
      <c r="M5" s="63" t="s">
        <v>129</v>
      </c>
      <c r="N5" s="63" t="s">
        <v>130</v>
      </c>
      <c r="O5" s="90"/>
      <c r="R5">
        <f>0.83*100000</f>
        <v>83000</v>
      </c>
    </row>
    <row r="6" spans="2:20" ht="30" x14ac:dyDescent="0.25">
      <c r="B6" s="71" t="s">
        <v>93</v>
      </c>
      <c r="C6" s="64" t="s">
        <v>94</v>
      </c>
      <c r="D6" s="63" t="s">
        <v>126</v>
      </c>
      <c r="E6" s="64" t="s">
        <v>95</v>
      </c>
      <c r="F6" s="91" t="s">
        <v>136</v>
      </c>
      <c r="G6" s="64"/>
      <c r="H6" s="63" t="s">
        <v>115</v>
      </c>
      <c r="I6" s="92">
        <v>0.05</v>
      </c>
      <c r="J6" s="63" t="s">
        <v>131</v>
      </c>
      <c r="K6" s="64" t="s">
        <v>131</v>
      </c>
      <c r="L6" s="92" t="s">
        <v>131</v>
      </c>
      <c r="M6" s="92" t="s">
        <v>131</v>
      </c>
      <c r="N6" s="92">
        <v>0.25</v>
      </c>
      <c r="O6" s="135" t="s">
        <v>133</v>
      </c>
      <c r="Q6" s="155">
        <v>0.1</v>
      </c>
      <c r="R6">
        <f>Q6*R5</f>
        <v>8300</v>
      </c>
      <c r="S6">
        <f>R5+R6</f>
        <v>91300</v>
      </c>
    </row>
    <row r="7" spans="2:20" ht="15.75" thickBot="1" x14ac:dyDescent="0.3">
      <c r="B7" s="71"/>
      <c r="C7" s="64"/>
      <c r="D7" s="64"/>
      <c r="E7" s="64"/>
      <c r="F7" s="87">
        <v>14500000</v>
      </c>
      <c r="G7" s="63"/>
      <c r="H7" s="64"/>
      <c r="I7" s="93">
        <f>I6*F7</f>
        <v>725000</v>
      </c>
      <c r="J7" s="72"/>
      <c r="K7" s="72"/>
      <c r="L7" s="72"/>
      <c r="M7" s="72"/>
      <c r="N7" s="93">
        <f>N6*F7</f>
        <v>3625000</v>
      </c>
      <c r="O7" s="136">
        <f>(F7+N7-I7)/10^7</f>
        <v>1.74</v>
      </c>
      <c r="Q7" s="155">
        <v>0.1</v>
      </c>
      <c r="S7">
        <f>Q7*S6</f>
        <v>9130</v>
      </c>
      <c r="T7">
        <f>S6+S7</f>
        <v>100430</v>
      </c>
    </row>
    <row r="8" spans="2:20" ht="30" x14ac:dyDescent="0.25">
      <c r="B8" s="21" t="s">
        <v>97</v>
      </c>
      <c r="C8" s="88" t="s">
        <v>98</v>
      </c>
      <c r="D8" s="88" t="s">
        <v>107</v>
      </c>
      <c r="E8" s="88" t="s">
        <v>95</v>
      </c>
      <c r="F8" s="88" t="s">
        <v>135</v>
      </c>
      <c r="G8" s="22" t="s">
        <v>104</v>
      </c>
      <c r="H8" s="88"/>
      <c r="I8" s="94">
        <v>0.2</v>
      </c>
      <c r="J8" s="94">
        <v>0.25</v>
      </c>
      <c r="K8" s="94">
        <v>0.25</v>
      </c>
      <c r="L8" s="88"/>
      <c r="M8" s="88"/>
      <c r="N8" s="88"/>
      <c r="O8" s="137"/>
      <c r="Q8" s="155">
        <v>0.1</v>
      </c>
      <c r="T8">
        <f>T7*Q8</f>
        <v>10043</v>
      </c>
    </row>
    <row r="9" spans="2:20" ht="15.75" thickBot="1" x14ac:dyDescent="0.3">
      <c r="B9" s="71"/>
      <c r="C9" s="64"/>
      <c r="D9" s="64"/>
      <c r="E9" s="64"/>
      <c r="F9" s="89">
        <v>70000000</v>
      </c>
      <c r="G9" s="63"/>
      <c r="H9" s="64"/>
      <c r="I9" s="95">
        <f>I8*F9</f>
        <v>14000000</v>
      </c>
      <c r="J9" s="95">
        <f>J8*F9</f>
        <v>17500000</v>
      </c>
      <c r="K9" s="95">
        <f>K8*F9</f>
        <v>17500000</v>
      </c>
      <c r="L9" s="64"/>
      <c r="M9" s="64"/>
      <c r="N9" s="64"/>
      <c r="O9" s="138">
        <f>(F9-I9-J9-K9)/10^7</f>
        <v>2.1</v>
      </c>
      <c r="T9">
        <f>SUM(T7:T8)</f>
        <v>110473</v>
      </c>
    </row>
    <row r="10" spans="2:20" ht="60" x14ac:dyDescent="0.25">
      <c r="B10" s="21" t="s">
        <v>127</v>
      </c>
      <c r="C10" s="88" t="s">
        <v>96</v>
      </c>
      <c r="D10" s="88" t="s">
        <v>107</v>
      </c>
      <c r="E10" s="88" t="s">
        <v>95</v>
      </c>
      <c r="F10" s="88" t="s">
        <v>137</v>
      </c>
      <c r="G10" s="22" t="s">
        <v>103</v>
      </c>
      <c r="H10" s="88"/>
      <c r="I10" s="88"/>
      <c r="J10" s="88"/>
      <c r="K10" s="88"/>
      <c r="L10" s="88"/>
      <c r="M10" s="88"/>
      <c r="N10" s="88"/>
      <c r="O10" s="137"/>
      <c r="T10">
        <f>T9*2</f>
        <v>220946</v>
      </c>
    </row>
    <row r="11" spans="2:20" x14ac:dyDescent="0.25">
      <c r="B11" s="71"/>
      <c r="C11" s="64"/>
      <c r="D11" s="64"/>
      <c r="E11" s="64"/>
      <c r="F11" s="87">
        <v>17500000</v>
      </c>
      <c r="G11" s="63"/>
      <c r="H11" s="64"/>
      <c r="I11" s="92">
        <v>0.05</v>
      </c>
      <c r="J11" s="92">
        <v>0.15</v>
      </c>
      <c r="K11" s="64" t="s">
        <v>131</v>
      </c>
      <c r="L11" s="92" t="s">
        <v>131</v>
      </c>
      <c r="M11" s="92" t="s">
        <v>131</v>
      </c>
      <c r="N11" s="92">
        <v>0.1</v>
      </c>
      <c r="O11" s="82"/>
    </row>
    <row r="12" spans="2:20" x14ac:dyDescent="0.25">
      <c r="B12" s="41"/>
      <c r="C12" s="42"/>
      <c r="D12" s="42"/>
      <c r="E12" s="42"/>
      <c r="F12" s="42"/>
      <c r="G12" s="146"/>
      <c r="H12" s="42"/>
      <c r="I12" s="147">
        <f>I11*F11</f>
        <v>875000</v>
      </c>
      <c r="J12" s="147">
        <f>J11*F11</f>
        <v>2625000</v>
      </c>
      <c r="K12" s="42"/>
      <c r="L12" s="42"/>
      <c r="M12" s="42"/>
      <c r="N12" s="147">
        <f>N11*F11</f>
        <v>1750000</v>
      </c>
      <c r="O12" s="148">
        <f>(F11+N12-I12-J12)/10^7</f>
        <v>1.575</v>
      </c>
    </row>
    <row r="13" spans="2:20" ht="33.75" customHeight="1" x14ac:dyDescent="0.25">
      <c r="B13" s="150" t="s">
        <v>138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1"/>
      <c r="P13" s="4"/>
      <c r="Q13" s="4">
        <f>(O12+O9+O7)/3</f>
        <v>1.8049999999999999</v>
      </c>
    </row>
    <row r="14" spans="2:20" ht="16.5" thickBot="1" x14ac:dyDescent="0.3">
      <c r="B14" s="152" t="s">
        <v>139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</row>
  </sheetData>
  <mergeCells count="5">
    <mergeCell ref="I4:K4"/>
    <mergeCell ref="L4:N4"/>
    <mergeCell ref="B3:O3"/>
    <mergeCell ref="B13:O13"/>
    <mergeCell ref="B14:O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0"/>
  <sheetViews>
    <sheetView workbookViewId="0">
      <selection activeCell="C6" sqref="C6:E7"/>
    </sheetView>
  </sheetViews>
  <sheetFormatPr defaultRowHeight="15" x14ac:dyDescent="0.25"/>
  <cols>
    <col min="1" max="1" width="5.85546875" customWidth="1"/>
    <col min="2" max="2" width="11.5703125" bestFit="1" customWidth="1"/>
    <col min="3" max="3" width="12.85546875" bestFit="1" customWidth="1"/>
    <col min="4" max="4" width="10" style="5" bestFit="1" customWidth="1"/>
    <col min="5" max="5" width="11.5703125" style="5" bestFit="1" customWidth="1"/>
    <col min="6" max="6" width="17.7109375" style="5" bestFit="1" customWidth="1"/>
    <col min="7" max="7" width="11.85546875" style="5" bestFit="1" customWidth="1"/>
    <col min="8" max="8" width="15.85546875" style="3" customWidth="1"/>
    <col min="11" max="11" width="9.28515625" bestFit="1" customWidth="1"/>
    <col min="12" max="12" width="15.28515625" bestFit="1" customWidth="1"/>
    <col min="13" max="13" width="14.28515625" bestFit="1" customWidth="1"/>
    <col min="17" max="17" width="15.28515625" bestFit="1" customWidth="1"/>
  </cols>
  <sheetData>
    <row r="3" spans="1:17" ht="15.75" thickBot="1" x14ac:dyDescent="0.3"/>
    <row r="4" spans="1:17" ht="16.5" thickBot="1" x14ac:dyDescent="0.3">
      <c r="A4" s="129" t="s">
        <v>24</v>
      </c>
      <c r="B4" s="130"/>
      <c r="C4" s="130"/>
      <c r="D4" s="130"/>
      <c r="E4" s="130"/>
      <c r="F4" s="130"/>
      <c r="G4" s="130"/>
      <c r="H4" s="131"/>
    </row>
    <row r="5" spans="1:17" ht="60.75" thickBot="1" x14ac:dyDescent="0.3">
      <c r="A5" s="17" t="s">
        <v>0</v>
      </c>
      <c r="B5" s="18" t="s">
        <v>22</v>
      </c>
      <c r="C5" s="18" t="s">
        <v>1</v>
      </c>
      <c r="D5" s="19" t="s">
        <v>16</v>
      </c>
      <c r="E5" s="19" t="s">
        <v>2</v>
      </c>
      <c r="F5" s="19" t="s">
        <v>23</v>
      </c>
      <c r="G5" s="19" t="s">
        <v>21</v>
      </c>
      <c r="H5" s="20" t="s">
        <v>24</v>
      </c>
    </row>
    <row r="6" spans="1:17" ht="50.1" customHeight="1" x14ac:dyDescent="0.25">
      <c r="A6" s="21">
        <v>1</v>
      </c>
      <c r="B6" s="22" t="s">
        <v>29</v>
      </c>
      <c r="C6" s="22"/>
      <c r="D6" s="23"/>
      <c r="E6" s="24"/>
      <c r="F6" s="25">
        <v>17000</v>
      </c>
      <c r="G6" s="26">
        <f>(1-0.0154)</f>
        <v>0.98460000000000003</v>
      </c>
      <c r="H6" s="27">
        <f>G6*F6*D6</f>
        <v>0</v>
      </c>
      <c r="P6" s="33"/>
      <c r="Q6" s="5"/>
    </row>
    <row r="7" spans="1:17" ht="50.1" customHeight="1" thickBot="1" x14ac:dyDescent="0.3">
      <c r="A7" s="34">
        <v>2</v>
      </c>
      <c r="B7" s="6" t="s">
        <v>30</v>
      </c>
      <c r="C7" s="6"/>
      <c r="D7" s="29"/>
      <c r="E7" s="30"/>
      <c r="F7" s="31">
        <v>7000</v>
      </c>
      <c r="G7" s="32">
        <f>(1-0.0049)</f>
        <v>0.99509999999999998</v>
      </c>
      <c r="H7" s="28">
        <f>G7*F7*D7</f>
        <v>0</v>
      </c>
      <c r="K7" s="5">
        <v>11.98</v>
      </c>
      <c r="L7" s="5">
        <v>3000000</v>
      </c>
      <c r="M7" s="3">
        <f>L7*K7</f>
        <v>35940000</v>
      </c>
      <c r="P7" s="33"/>
      <c r="Q7" s="5"/>
    </row>
    <row r="8" spans="1:17" ht="15.75" thickBot="1" x14ac:dyDescent="0.3">
      <c r="A8" s="132" t="s">
        <v>14</v>
      </c>
      <c r="B8" s="133"/>
      <c r="C8" s="133"/>
      <c r="D8" s="133"/>
      <c r="E8" s="133"/>
      <c r="F8" s="133"/>
      <c r="G8" s="134"/>
      <c r="H8" s="35">
        <f>SUM(H6+H7)</f>
        <v>0</v>
      </c>
      <c r="K8">
        <v>11.98</v>
      </c>
      <c r="L8" s="5">
        <v>27500000</v>
      </c>
      <c r="M8" s="3">
        <f>L8*K8</f>
        <v>329450000</v>
      </c>
    </row>
    <row r="9" spans="1:17" x14ac:dyDescent="0.25">
      <c r="H9" s="3">
        <v>375582130</v>
      </c>
    </row>
    <row r="10" spans="1:17" x14ac:dyDescent="0.25">
      <c r="H10" s="3">
        <f>H8+H9</f>
        <v>375582130</v>
      </c>
    </row>
  </sheetData>
  <mergeCells count="2">
    <mergeCell ref="A4:H4"/>
    <mergeCell ref="A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1373-26D1-4DAB-9C29-AC53B8F0F755}">
  <dimension ref="B1:C1"/>
  <sheetViews>
    <sheetView tabSelected="1" workbookViewId="0">
      <selection sqref="A1:XFD1048576"/>
    </sheetView>
  </sheetViews>
  <sheetFormatPr defaultRowHeight="15" x14ac:dyDescent="0.25"/>
  <cols>
    <col min="2" max="2" width="12.5703125" bestFit="1" customWidth="1"/>
    <col min="3" max="3" width="14.28515625" bestFit="1" customWidth="1"/>
  </cols>
  <sheetData>
    <row r="1" spans="2:3" x14ac:dyDescent="0.25">
      <c r="B1" s="5"/>
      <c r="C1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Land Summary</vt:lpstr>
      <vt:lpstr>Building sheet client</vt:lpstr>
      <vt:lpstr>References sheet </vt:lpstr>
      <vt:lpstr>Belting</vt:lpstr>
      <vt:lpstr>Building sheet own</vt:lpstr>
      <vt:lpstr>Rate Calculation</vt:lpstr>
      <vt:lpstr>Guidline value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Vishal Singh</cp:lastModifiedBy>
  <dcterms:created xsi:type="dcterms:W3CDTF">2022-11-04T05:05:51Z</dcterms:created>
  <dcterms:modified xsi:type="dcterms:W3CDTF">2023-07-10T13:02:20Z</dcterms:modified>
</cp:coreProperties>
</file>