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DATAm Since 01-12-2021\Uttarakhand\VIS(2023-24)-PL161-138-180, Ms. Haryana Trading Company, Rishikesh\"/>
    </mc:Choice>
  </mc:AlternateContent>
  <xr:revisionPtr revIDLastSave="0" documentId="13_ncr:1_{429FB277-B2B9-4D0D-A669-885DCBFD976F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Sheet2" sheetId="5" r:id="rId2"/>
    <sheet name="Sheet1" sheetId="4" r:id="rId3"/>
  </sheets>
  <definedNames>
    <definedName name="_xlnm.Print_Area" localSheetId="0">'Building Valuation'!$B$1:$T$9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L19" i="1"/>
  <c r="K19" i="1"/>
  <c r="Y20" i="1"/>
  <c r="F5" i="1"/>
  <c r="W5" i="1" s="1"/>
  <c r="F4" i="1"/>
  <c r="F3" i="1"/>
  <c r="K17" i="1" s="1"/>
  <c r="O8" i="5"/>
  <c r="K33" i="1"/>
  <c r="K34" i="1" s="1"/>
  <c r="I33" i="1"/>
  <c r="E19" i="1"/>
  <c r="E30" i="1"/>
  <c r="T16" i="1"/>
  <c r="T15" i="1"/>
  <c r="W4" i="1"/>
  <c r="W3" i="1"/>
  <c r="F6" i="1" l="1"/>
  <c r="L17" i="1" s="1"/>
  <c r="W6" i="1"/>
  <c r="E24" i="1" s="1"/>
  <c r="E25" i="1" s="1"/>
  <c r="AA18" i="1"/>
  <c r="AA17" i="1"/>
  <c r="Z14" i="1"/>
  <c r="Z17" i="1" s="1"/>
  <c r="Z18" i="1" s="1"/>
  <c r="G6" i="1" l="1"/>
  <c r="P3" i="1" l="1"/>
  <c r="N5" i="1" l="1"/>
  <c r="K4" i="1"/>
  <c r="K5" i="1"/>
  <c r="P4" i="1" l="1"/>
  <c r="N4" i="1"/>
  <c r="Q4" i="1" l="1"/>
  <c r="R4" i="1" s="1"/>
  <c r="T4" i="1" l="1"/>
  <c r="X4" i="1" s="1"/>
  <c r="N3" i="1"/>
  <c r="K3" i="1" l="1"/>
  <c r="Q3" i="1" s="1"/>
  <c r="R3" i="1" l="1"/>
  <c r="T3" i="1" l="1"/>
  <c r="Z3" i="1" s="1"/>
  <c r="X3" i="1" l="1"/>
  <c r="P5" i="1"/>
  <c r="P6" i="1" s="1"/>
  <c r="P12" i="1" s="1"/>
  <c r="Q5" i="1" l="1"/>
  <c r="R5" i="1" s="1"/>
  <c r="R6" i="1" s="1"/>
  <c r="T5" i="1" l="1"/>
  <c r="T6" i="1" s="1"/>
  <c r="T13" i="1" s="1"/>
  <c r="X5" i="1" l="1"/>
</calcChain>
</file>

<file path=xl/sharedStrings.xml><?xml version="1.0" encoding="utf-8"?>
<sst xmlns="http://schemas.openxmlformats.org/spreadsheetml/2006/main" count="53" uniqueCount="50">
  <si>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</si>
  <si>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</si>
  <si>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</si>
  <si>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</si>
  <si>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</si>
  <si>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</si>
  <si>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</si>
  <si>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</si>
  <si>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</si>
  <si>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First Floor</t>
  </si>
  <si>
    <t xml:space="preserve"> RCC frame structure with  brick wall 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</si>
  <si>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</si>
  <si>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Sr. No.</t>
  </si>
  <si>
    <t>Gross Replacement Value</t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</si>
  <si>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</si>
  <si>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</si>
  <si>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</si>
  <si>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</si>
  <si>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</si>
  <si>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</si>
  <si>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</si>
  <si>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</si>
  <si>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</si>
  <si>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</si>
  <si>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Ground Floor</t>
  </si>
  <si>
    <t>Guideline Value
(in Rs.)</t>
  </si>
  <si>
    <t>Particulars</t>
  </si>
  <si>
    <t>at 4000 per running mtr.</t>
  </si>
  <si>
    <t>per sq.mtr.</t>
  </si>
  <si>
    <t>sq.mtr.</t>
  </si>
  <si>
    <t>Guideline Rate
(in Rs. per sq.mtr.)</t>
  </si>
  <si>
    <t>Age Factor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</si>
  <si>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</si>
  <si>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t>Second Floor</t>
  </si>
  <si>
    <t>Ground Coverage</t>
  </si>
  <si>
    <t>FAR</t>
  </si>
  <si>
    <t>sq.ft.</t>
  </si>
  <si>
    <t>Direct mail certificates</t>
  </si>
  <si>
    <t>Agreement Letter share</t>
  </si>
  <si>
    <t>Drawings in groups (consultant wise)</t>
  </si>
  <si>
    <t>Land Rate</t>
  </si>
  <si>
    <t>Adopted</t>
  </si>
  <si>
    <t>Land Value</t>
  </si>
  <si>
    <t>per sq.yds.</t>
  </si>
  <si>
    <t xml:space="preserve"> Tin Shed on iron pillars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</si>
  <si>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at Municipal No. 76, Khasra No. 84, Dehradun Road, Rishikesh, Uttarakhand.</t>
    </r>
  </si>
  <si>
    <t>sq.yds.</t>
  </si>
  <si>
    <t>3-bedroom, 1-drawing, 1-dining,2-lobby, 1-kitchen, 3-toilet</t>
  </si>
  <si>
    <t>3-bedroom, drawing-cum-dining, 3-toilets, 1-lobby, porch</t>
  </si>
  <si>
    <t>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</si>
</sst>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6" fontId="0" fillId="0" borderId="0" xfId="1" applyNumberFormat="1" applyFont="1"/>
    <xf numFmtId="168" fontId="0" fillId="0" borderId="0" xfId="0" applyNumberFormat="1"/>
    <xf numFmtId="164" fontId="0" fillId="0" borderId="1" xfId="3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9" fontId="0" fillId="0" borderId="1" xfId="2" applyFont="1" applyBorder="1"/>
    <xf numFmtId="0" fontId="0" fillId="0" borderId="1" xfId="0" applyBorder="1"/>
    <xf numFmtId="164" fontId="0" fillId="0" borderId="1" xfId="3" applyNumberFormat="1" applyFont="1" applyBorder="1"/>
    <xf numFmtId="44" fontId="0" fillId="0" borderId="0" xfId="0" applyNumberFormat="1"/>
    <xf numFmtId="43" fontId="0" fillId="0" borderId="0" xfId="3" applyFont="1"/>
    <xf numFmtId="43" fontId="2" fillId="0" borderId="1" xfId="3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15</xdr:col>
      <xdr:colOff>67922</xdr:colOff>
      <xdr:row>44</xdr:row>
      <xdr:rowOff>76716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E5D607-EC83-1E92-B349-1C651586E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762500"/>
          <a:ext cx="8935697" cy="36962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15</xdr:col>
      <xdr:colOff>258449</xdr:colOff>
      <xdr:row>65</xdr:row>
      <xdr:rowOff>95768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71265B-8666-9225-D6D5-B3BE7CBB9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763000"/>
          <a:ext cx="9126224" cy="37152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15</xdr:col>
      <xdr:colOff>144133</xdr:colOff>
      <xdr:row>85</xdr:row>
      <xdr:rowOff>95742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28EDA9-6FC2-F082-4EBA-F33E12A10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763500"/>
          <a:ext cx="9011908" cy="352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4"/>
  <sheetViews>
    <sheetView tabSelected="1" zoomScale="85" zoomScaleNormal="85" zoomScaleSheetLayoutView="85" workbookViewId="0">
      <selection activeCell="B3" sqref="B3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2" customWidth="1"/>
    <col min="4" max="4" width="15.85546875" style="12" customWidth="1"/>
    <col min="5" max="5" width="20.42578125" style="12" customWidth="1"/>
    <col min="6" max="6" width="9.42578125" style="12" bestFit="1" customWidth="1"/>
    <col min="7" max="7" width="8.85546875" style="14" customWidth="1"/>
    <col min="8" max="8" width="8.85546875" customWidth="1"/>
    <col min="9" max="9" width="12.28515625" bestFit="1" customWidth="1"/>
    <col min="10" max="10" width="11.7109375" hidden="1" customWidth="1"/>
    <col min="11" max="11" width="12" bestFit="1" customWidth="1"/>
    <col min="12" max="12" width="11.140625" customWidth="1"/>
    <col min="13" max="13" width="7.7109375" hidden="1" customWidth="1"/>
    <col min="14" max="14" width="16.28515625" hidden="1" customWidth="1"/>
    <col min="15" max="15" width="12.85546875" customWidth="1"/>
    <col min="16" max="16" width="16" bestFit="1" customWidth="1"/>
    <col min="17" max="17" width="13.42578125" hidden="1" customWidth="1"/>
    <col min="18" max="18" width="16.140625" hidden="1" customWidth="1"/>
    <col min="19" max="19" width="14.28515625" hidden="1" customWidth="1"/>
    <col min="20" max="20" width="15.42578125" style="13" bestFit="1" customWidth="1"/>
    <col min="21" max="21" width="9.85546875" style="13" customWidth="1"/>
    <col min="22" max="22" width="6.85546875" style="13" customWidth="1"/>
    <col min="23" max="23" width="14.42578125" style="13" customWidth="1"/>
    <col min="24" max="24" width="17" bestFit="1" customWidth="1"/>
    <col min="25" max="25" width="16.42578125" bestFit="1" customWidth="1"/>
    <col min="26" max="27" width="15.42578125" bestFit="1" customWidth="1"/>
  </cols>
  <sheetData>
    <row r="2" spans="2:27" s="10" customFormat="1" ht="60" x14ac:dyDescent="0.25">
      <c r="B2" s="52" t="s">
        <v>12</v>
      </c>
      <c r="C2" s="53" t="s">
        <v>0</v>
      </c>
      <c r="D2" s="53" t="s">
        <v>26</v>
      </c>
      <c r="E2" s="53" t="s">
        <v>3</v>
      </c>
      <c r="F2" s="53" t="s">
        <v>17</v>
      </c>
      <c r="G2" s="54" t="s">
        <v>18</v>
      </c>
      <c r="H2" s="53" t="s">
        <v>19</v>
      </c>
      <c r="I2" s="53" t="s">
        <v>1</v>
      </c>
      <c r="J2" s="53" t="s">
        <v>2</v>
      </c>
      <c r="K2" s="53" t="s">
        <v>20</v>
      </c>
      <c r="L2" s="53" t="s">
        <v>21</v>
      </c>
      <c r="M2" s="53" t="s">
        <v>4</v>
      </c>
      <c r="N2" s="53" t="s">
        <v>6</v>
      </c>
      <c r="O2" s="53" t="s">
        <v>22</v>
      </c>
      <c r="P2" s="53" t="s">
        <v>13</v>
      </c>
      <c r="Q2" s="53" t="s">
        <v>14</v>
      </c>
      <c r="R2" s="53" t="s">
        <v>15</v>
      </c>
      <c r="S2" s="53" t="s">
        <v>7</v>
      </c>
      <c r="T2" s="53" t="s">
        <v>16</v>
      </c>
      <c r="U2" s="53" t="s">
        <v>30</v>
      </c>
      <c r="V2" s="53" t="s">
        <v>31</v>
      </c>
      <c r="W2" s="53" t="s">
        <v>25</v>
      </c>
    </row>
    <row r="3" spans="2:27" ht="75" x14ac:dyDescent="0.25">
      <c r="B3" s="2">
        <v>1</v>
      </c>
      <c r="C3" s="11" t="s">
        <v>24</v>
      </c>
      <c r="D3" s="11" t="s">
        <v>47</v>
      </c>
      <c r="E3" s="11" t="s">
        <v>10</v>
      </c>
      <c r="F3" s="31">
        <f>G3/10.7639</f>
        <v>164.43853993441039</v>
      </c>
      <c r="G3" s="28">
        <v>1770</v>
      </c>
      <c r="H3" s="8">
        <v>10</v>
      </c>
      <c r="I3" s="2">
        <v>1990</v>
      </c>
      <c r="J3" s="2">
        <v>2023</v>
      </c>
      <c r="K3" s="2">
        <f>J3-I3</f>
        <v>33</v>
      </c>
      <c r="L3" s="2">
        <v>60</v>
      </c>
      <c r="M3" s="3">
        <v>0.1</v>
      </c>
      <c r="N3" s="4">
        <f>(1-M3)/L3</f>
        <v>1.5000000000000001E-2</v>
      </c>
      <c r="O3" s="29">
        <v>2000</v>
      </c>
      <c r="P3" s="29">
        <f>O3*G3</f>
        <v>3540000</v>
      </c>
      <c r="Q3" s="29">
        <f t="shared" ref="Q3" si="0">P3*N3*K3</f>
        <v>1752300.0000000002</v>
      </c>
      <c r="R3" s="29">
        <f t="shared" ref="R3" si="1">MAX(P3-Q3,0)</f>
        <v>1787699.9999999998</v>
      </c>
      <c r="S3" s="30">
        <v>0</v>
      </c>
      <c r="T3" s="29">
        <f t="shared" ref="T3:T5" si="2">IF(R3&gt;M3*P3,R3*(1-S3),P3*M3)</f>
        <v>1787699.9999999998</v>
      </c>
      <c r="U3" s="29">
        <v>12000</v>
      </c>
      <c r="V3" s="41">
        <v>0.71699999999999997</v>
      </c>
      <c r="W3" s="29">
        <f>U3*F3*V3</f>
        <v>1414829.1975956669</v>
      </c>
      <c r="X3" s="9">
        <f>T3/G3</f>
        <v>1009.9999999999999</v>
      </c>
      <c r="Y3" s="1"/>
      <c r="Z3" s="49">
        <f>T3/P3</f>
        <v>0.50499999999999989</v>
      </c>
    </row>
    <row r="4" spans="2:27" ht="76.5" customHeight="1" x14ac:dyDescent="0.25">
      <c r="B4" s="2">
        <v>2</v>
      </c>
      <c r="C4" s="11" t="s">
        <v>9</v>
      </c>
      <c r="D4" s="11" t="s">
        <v>48</v>
      </c>
      <c r="E4" s="11" t="s">
        <v>10</v>
      </c>
      <c r="F4" s="31">
        <f t="shared" ref="F4:F5" si="3">G4/10.7639</f>
        <v>164.43853993441039</v>
      </c>
      <c r="G4" s="28">
        <v>1770</v>
      </c>
      <c r="H4" s="8">
        <v>10</v>
      </c>
      <c r="I4" s="2">
        <v>2005</v>
      </c>
      <c r="J4" s="2">
        <v>2023</v>
      </c>
      <c r="K4" s="2">
        <f>J4-I4</f>
        <v>18</v>
      </c>
      <c r="L4" s="2">
        <v>60</v>
      </c>
      <c r="M4" s="3">
        <v>0.1</v>
      </c>
      <c r="N4" s="4">
        <f>(1-M4)/L4</f>
        <v>1.5000000000000001E-2</v>
      </c>
      <c r="O4" s="29">
        <v>2000</v>
      </c>
      <c r="P4" s="5">
        <f>O4*G4</f>
        <v>3540000</v>
      </c>
      <c r="Q4" s="5">
        <f>P4*N4*K4</f>
        <v>955800.00000000012</v>
      </c>
      <c r="R4" s="5">
        <f>MAX(P4-Q4,0)</f>
        <v>2584200</v>
      </c>
      <c r="S4" s="30">
        <v>0</v>
      </c>
      <c r="T4" s="5">
        <f t="shared" si="2"/>
        <v>2584200</v>
      </c>
      <c r="U4" s="29">
        <v>12000</v>
      </c>
      <c r="V4" s="41">
        <v>0.83399999999999996</v>
      </c>
      <c r="W4" s="29">
        <f t="shared" ref="W4:W5" si="4">U4*F4*V4</f>
        <v>1645700.9076635791</v>
      </c>
      <c r="X4" s="9">
        <f t="shared" ref="X4:X5" si="5">T4/G4</f>
        <v>1460</v>
      </c>
      <c r="Y4" s="1"/>
      <c r="Z4" s="1"/>
    </row>
    <row r="5" spans="2:27" ht="30" x14ac:dyDescent="0.25">
      <c r="B5" s="2">
        <v>3</v>
      </c>
      <c r="C5" s="11" t="s">
        <v>33</v>
      </c>
      <c r="D5" s="11" t="s">
        <v>49</v>
      </c>
      <c r="E5" s="11" t="s">
        <v>44</v>
      </c>
      <c r="F5" s="31">
        <f t="shared" si="3"/>
        <v>164.43853993441039</v>
      </c>
      <c r="G5" s="28">
        <v>1770</v>
      </c>
      <c r="H5" s="8">
        <v>15</v>
      </c>
      <c r="I5" s="2">
        <v>2005</v>
      </c>
      <c r="J5" s="2">
        <v>2023</v>
      </c>
      <c r="K5" s="2">
        <f>J5-I5</f>
        <v>18</v>
      </c>
      <c r="L5" s="2">
        <v>60</v>
      </c>
      <c r="M5" s="3">
        <v>0.1</v>
      </c>
      <c r="N5" s="4">
        <f>(1-M5)/L5</f>
        <v>1.5000000000000001E-2</v>
      </c>
      <c r="O5" s="29">
        <v>900</v>
      </c>
      <c r="P5" s="5">
        <f>O5*G5</f>
        <v>1593000</v>
      </c>
      <c r="Q5" s="5">
        <f>P5*N5*K5</f>
        <v>430110.00000000006</v>
      </c>
      <c r="R5" s="5">
        <f>MAX(P5-Q5,0)</f>
        <v>1162890</v>
      </c>
      <c r="S5" s="30">
        <v>0</v>
      </c>
      <c r="T5" s="5">
        <f t="shared" si="2"/>
        <v>1162890</v>
      </c>
      <c r="U5" s="29">
        <v>12000</v>
      </c>
      <c r="V5" s="41">
        <v>0.83399999999999996</v>
      </c>
      <c r="W5" s="29">
        <f t="shared" si="4"/>
        <v>1645700.9076635791</v>
      </c>
      <c r="X5" s="9">
        <f t="shared" si="5"/>
        <v>657</v>
      </c>
      <c r="Y5" s="1"/>
      <c r="Z5" s="1"/>
    </row>
    <row r="6" spans="2:27" x14ac:dyDescent="0.25">
      <c r="B6" s="51" t="s">
        <v>5</v>
      </c>
      <c r="C6" s="51"/>
      <c r="D6" s="51"/>
      <c r="E6" s="51"/>
      <c r="F6" s="50">
        <f>SUM(F3:F5)</f>
        <v>493.31561980323113</v>
      </c>
      <c r="G6" s="21">
        <f>SUM(G3:G5)</f>
        <v>5310</v>
      </c>
      <c r="H6" s="7"/>
      <c r="I6" s="55"/>
      <c r="J6" s="55"/>
      <c r="K6" s="55"/>
      <c r="L6" s="55"/>
      <c r="M6" s="55"/>
      <c r="N6" s="55"/>
      <c r="O6" s="55"/>
      <c r="P6" s="6">
        <f>SUM(P3:P5)</f>
        <v>8673000</v>
      </c>
      <c r="Q6" s="6"/>
      <c r="R6" s="6">
        <f>SUM(R3:R5)</f>
        <v>5534790</v>
      </c>
      <c r="S6" s="6"/>
      <c r="T6" s="6">
        <f>SUM(T3:T5)</f>
        <v>5534790</v>
      </c>
      <c r="U6" s="6"/>
      <c r="V6" s="6"/>
      <c r="W6" s="6">
        <f>SUM(W3:W5)</f>
        <v>4706231.0129228253</v>
      </c>
      <c r="X6" s="9"/>
    </row>
    <row r="7" spans="2:27" x14ac:dyDescent="0.25">
      <c r="B7" s="56" t="s">
        <v>8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/>
      <c r="X7" s="9"/>
    </row>
    <row r="8" spans="2:27" ht="15" customHeight="1" x14ac:dyDescent="0.25">
      <c r="B8" s="59" t="s">
        <v>32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X8" s="9"/>
    </row>
    <row r="9" spans="2:27" x14ac:dyDescent="0.25">
      <c r="B9" s="56" t="s">
        <v>11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9"/>
      <c r="Y9" s="20"/>
      <c r="AA9" s="25"/>
    </row>
    <row r="10" spans="2:27" x14ac:dyDescent="0.25">
      <c r="B10" s="56" t="s">
        <v>45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9"/>
      <c r="AA10" s="1"/>
    </row>
    <row r="11" spans="2:27" x14ac:dyDescent="0.25">
      <c r="T11" s="23"/>
      <c r="U11" s="23"/>
      <c r="V11" s="23"/>
      <c r="W11" s="23"/>
      <c r="X11" s="9"/>
      <c r="AA11" s="25"/>
    </row>
    <row r="12" spans="2:27" x14ac:dyDescent="0.25">
      <c r="P12" s="48">
        <f>P6*0.9*0.7</f>
        <v>5463990</v>
      </c>
      <c r="T12" s="24"/>
      <c r="X12" s="9"/>
      <c r="AA12" s="15"/>
    </row>
    <row r="13" spans="2:27" x14ac:dyDescent="0.25">
      <c r="C13" s="17"/>
      <c r="D13" s="17"/>
      <c r="E13" s="19"/>
      <c r="H13" s="36"/>
      <c r="P13" s="42" t="s">
        <v>5</v>
      </c>
      <c r="Q13" s="42"/>
      <c r="R13" s="42"/>
      <c r="S13" s="42"/>
      <c r="T13" s="43">
        <f>T6+E19+Y20</f>
        <v>95694790</v>
      </c>
      <c r="U13" s="24"/>
      <c r="V13" s="24"/>
      <c r="W13" s="24"/>
    </row>
    <row r="14" spans="2:27" x14ac:dyDescent="0.25">
      <c r="C14" s="17"/>
      <c r="D14" s="17"/>
      <c r="E14" s="19">
        <v>500</v>
      </c>
      <c r="F14" s="12" t="s">
        <v>46</v>
      </c>
      <c r="G14" s="36"/>
      <c r="H14" s="37"/>
      <c r="T14" s="24">
        <v>95700000</v>
      </c>
      <c r="U14" s="24"/>
      <c r="V14" s="24"/>
      <c r="W14" s="24"/>
      <c r="Z14" s="25">
        <f>804.1*120000</f>
        <v>96492000</v>
      </c>
    </row>
    <row r="15" spans="2:27" ht="15" customHeight="1" x14ac:dyDescent="0.25">
      <c r="C15" s="18"/>
      <c r="D15" s="18"/>
      <c r="E15" s="38">
        <v>418.06</v>
      </c>
      <c r="F15" s="32"/>
      <c r="G15" s="36"/>
      <c r="H15" s="37"/>
      <c r="T15" s="24">
        <f>T14*0.85</f>
        <v>81345000</v>
      </c>
      <c r="Z15" s="25">
        <v>13100000</v>
      </c>
    </row>
    <row r="16" spans="2:27" x14ac:dyDescent="0.25">
      <c r="E16" s="38"/>
      <c r="F16" s="16"/>
      <c r="G16" s="36"/>
      <c r="H16" s="37"/>
      <c r="T16" s="22">
        <f>T14*0.75</f>
        <v>71775000</v>
      </c>
      <c r="U16" s="22"/>
      <c r="V16" s="22"/>
      <c r="W16" s="22"/>
      <c r="Z16" s="25">
        <v>2450000</v>
      </c>
      <c r="AA16" s="25">
        <v>112000000</v>
      </c>
    </row>
    <row r="17" spans="5:27" x14ac:dyDescent="0.25">
      <c r="E17" s="19"/>
      <c r="F17" s="16"/>
      <c r="G17" s="36"/>
      <c r="H17" s="37"/>
      <c r="K17">
        <f>F3/500</f>
        <v>0.32887707986882075</v>
      </c>
      <c r="L17" s="15">
        <f>F6/500</f>
        <v>0.98663123960646226</v>
      </c>
      <c r="T17" s="22"/>
      <c r="U17" s="22"/>
      <c r="V17" s="22"/>
      <c r="W17" s="22"/>
      <c r="Z17" s="25">
        <f>SUM(Z14:Z16)</f>
        <v>112042000</v>
      </c>
      <c r="AA17" s="27">
        <f>AA16*0.9</f>
        <v>100800000</v>
      </c>
    </row>
    <row r="18" spans="5:27" x14ac:dyDescent="0.25">
      <c r="E18" s="39">
        <v>180000</v>
      </c>
      <c r="F18" t="s">
        <v>43</v>
      </c>
      <c r="G18" s="36"/>
      <c r="H18" s="37"/>
      <c r="T18" s="26"/>
      <c r="U18" s="26"/>
      <c r="V18" s="26"/>
      <c r="W18" s="26"/>
      <c r="Z18" s="15">
        <f>Z17*0.9</f>
        <v>100837800</v>
      </c>
      <c r="AA18" s="15">
        <f>AA16*0.75</f>
        <v>84000000</v>
      </c>
    </row>
    <row r="19" spans="5:27" x14ac:dyDescent="0.25">
      <c r="E19" s="40">
        <f>E18*E14</f>
        <v>90000000</v>
      </c>
      <c r="G19" s="36"/>
      <c r="H19" s="37"/>
      <c r="K19">
        <f>0.55*E14</f>
        <v>275</v>
      </c>
      <c r="L19">
        <f>1.5*E14</f>
        <v>750</v>
      </c>
    </row>
    <row r="20" spans="5:27" x14ac:dyDescent="0.25">
      <c r="G20" s="36"/>
      <c r="H20" s="37"/>
      <c r="O20" s="25"/>
      <c r="T20" s="22"/>
      <c r="X20" t="s">
        <v>23</v>
      </c>
      <c r="Y20" s="26">
        <f>40*4000</f>
        <v>160000</v>
      </c>
      <c r="Z20" t="s">
        <v>27</v>
      </c>
    </row>
    <row r="21" spans="5:27" ht="30" x14ac:dyDescent="0.25">
      <c r="E21" s="12">
        <v>28000</v>
      </c>
      <c r="F21" s="12" t="s">
        <v>28</v>
      </c>
      <c r="G21" s="36"/>
      <c r="H21" s="37"/>
      <c r="O21" s="25"/>
      <c r="T21" s="34"/>
      <c r="U21" s="35"/>
      <c r="V21" s="35"/>
      <c r="X21" s="12"/>
      <c r="Y21" s="26"/>
    </row>
    <row r="22" spans="5:27" x14ac:dyDescent="0.25">
      <c r="E22" s="44">
        <f>E21*E15*1.15</f>
        <v>13461531.999999998</v>
      </c>
      <c r="I22" s="15"/>
      <c r="O22" s="33"/>
      <c r="T22" s="14"/>
    </row>
    <row r="23" spans="5:27" x14ac:dyDescent="0.25">
      <c r="E23" s="39"/>
      <c r="T23" s="14"/>
    </row>
    <row r="24" spans="5:27" x14ac:dyDescent="0.25">
      <c r="E24" s="39">
        <f>W6</f>
        <v>4706231.0129228253</v>
      </c>
    </row>
    <row r="25" spans="5:27" x14ac:dyDescent="0.25">
      <c r="E25" s="44">
        <f>SUM(E22:E24)</f>
        <v>18167763.012922823</v>
      </c>
    </row>
    <row r="28" spans="5:27" x14ac:dyDescent="0.25">
      <c r="E28" s="39"/>
    </row>
    <row r="29" spans="5:27" x14ac:dyDescent="0.25">
      <c r="E29" s="39"/>
    </row>
    <row r="30" spans="5:27" x14ac:dyDescent="0.25">
      <c r="E30" s="44">
        <f>SUM(E28:E29)</f>
        <v>0</v>
      </c>
    </row>
    <row r="31" spans="5:27" x14ac:dyDescent="0.25">
      <c r="I31" t="s">
        <v>34</v>
      </c>
      <c r="K31" t="s">
        <v>35</v>
      </c>
    </row>
    <row r="32" spans="5:27" x14ac:dyDescent="0.25">
      <c r="I32" s="45">
        <v>0.6</v>
      </c>
      <c r="J32" s="46"/>
      <c r="K32" s="46">
        <v>1.6</v>
      </c>
    </row>
    <row r="33" spans="9:12" x14ac:dyDescent="0.25">
      <c r="I33" s="46">
        <f>I32*E14</f>
        <v>300</v>
      </c>
      <c r="J33" s="46"/>
      <c r="K33" s="46">
        <f>K32*E14</f>
        <v>800</v>
      </c>
      <c r="L33" t="s">
        <v>29</v>
      </c>
    </row>
    <row r="34" spans="9:12" x14ac:dyDescent="0.25">
      <c r="I34" s="46"/>
      <c r="J34" s="46"/>
      <c r="K34" s="47">
        <f>K33*10.7639</f>
        <v>8611.119999999999</v>
      </c>
      <c r="L34" t="s">
        <v>36</v>
      </c>
    </row>
  </sheetData>
  <mergeCells count="5">
    <mergeCell ref="B6:E6"/>
    <mergeCell ref="B7:W7"/>
    <mergeCell ref="B8:W8"/>
    <mergeCell ref="B9:W9"/>
    <mergeCell ref="B10:W1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24CF-D35C-4593-B45C-5B21DB02103C}">
  <dimension ref="C4:P14"/>
  <sheetViews>
    <sheetView workbookViewId="0">
      <selection activeCell="G5" sqref="G5"/>
    </sheetView>
  </sheetViews>
  <sheetFormatPr defaultRowHeight="15" x14ac:dyDescent="0.25"/>
  <cols>
    <col min="7" max="7" width="11.5703125" bestFit="1" customWidth="1"/>
    <col min="14" max="14" width="9.28515625" bestFit="1" customWidth="1"/>
    <col min="15" max="15" width="11.5703125" bestFit="1" customWidth="1"/>
  </cols>
  <sheetData>
    <row r="4" spans="3:16" x14ac:dyDescent="0.25">
      <c r="C4" t="s">
        <v>40</v>
      </c>
      <c r="G4" s="25">
        <v>170000</v>
      </c>
      <c r="H4" s="25" t="s">
        <v>43</v>
      </c>
      <c r="I4" s="25"/>
      <c r="J4" s="25"/>
      <c r="K4" s="25"/>
    </row>
    <row r="5" spans="3:16" x14ac:dyDescent="0.25">
      <c r="C5" t="s">
        <v>41</v>
      </c>
      <c r="G5" s="25"/>
      <c r="H5" s="25"/>
      <c r="I5" s="25"/>
      <c r="J5" s="25"/>
      <c r="K5" s="25"/>
    </row>
    <row r="6" spans="3:16" x14ac:dyDescent="0.25">
      <c r="C6" t="s">
        <v>42</v>
      </c>
      <c r="G6" s="25"/>
      <c r="H6" s="25"/>
      <c r="I6" s="25"/>
      <c r="J6" s="25"/>
      <c r="K6" s="25"/>
      <c r="N6" s="25">
        <v>1</v>
      </c>
      <c r="O6" s="25">
        <v>170000</v>
      </c>
      <c r="P6" s="25"/>
    </row>
    <row r="7" spans="3:16" x14ac:dyDescent="0.25">
      <c r="G7" s="25"/>
      <c r="H7" s="25"/>
      <c r="I7" s="25"/>
      <c r="J7" s="25"/>
      <c r="K7" s="25"/>
      <c r="N7" s="25">
        <v>9</v>
      </c>
      <c r="O7" s="25">
        <v>170000</v>
      </c>
      <c r="P7" s="25"/>
    </row>
    <row r="8" spans="3:16" x14ac:dyDescent="0.25">
      <c r="G8" s="25"/>
      <c r="H8" s="25"/>
      <c r="I8" s="25"/>
      <c r="J8" s="25"/>
      <c r="K8" s="25"/>
      <c r="N8" s="25">
        <v>1</v>
      </c>
      <c r="O8" s="25">
        <f>O7/N7</f>
        <v>18888.888888888891</v>
      </c>
      <c r="P8" s="25"/>
    </row>
    <row r="9" spans="3:16" x14ac:dyDescent="0.25">
      <c r="G9" s="25"/>
      <c r="H9" s="25"/>
      <c r="I9" s="25"/>
      <c r="J9" s="25"/>
      <c r="K9" s="25"/>
      <c r="N9" s="25"/>
      <c r="O9" s="25"/>
      <c r="P9" s="25"/>
    </row>
    <row r="10" spans="3:16" x14ac:dyDescent="0.25">
      <c r="G10" s="25"/>
      <c r="H10" s="25"/>
      <c r="I10" s="25"/>
      <c r="J10" s="25"/>
      <c r="K10" s="25"/>
    </row>
    <row r="11" spans="3:16" x14ac:dyDescent="0.25">
      <c r="G11" s="25"/>
      <c r="H11" s="25"/>
      <c r="I11" s="25"/>
      <c r="J11" s="25"/>
      <c r="K11" s="25"/>
    </row>
    <row r="12" spans="3:16" x14ac:dyDescent="0.25">
      <c r="G12" s="25"/>
      <c r="H12" s="25"/>
      <c r="I12" s="25"/>
      <c r="J12" s="25"/>
      <c r="K12" s="25"/>
    </row>
    <row r="13" spans="3:16" x14ac:dyDescent="0.25">
      <c r="G13" s="25"/>
      <c r="H13" s="25"/>
      <c r="I13" s="25"/>
      <c r="J13" s="25"/>
      <c r="K13" s="25"/>
    </row>
    <row r="14" spans="3:16" x14ac:dyDescent="0.25">
      <c r="G14" s="25"/>
      <c r="H14" s="25"/>
      <c r="I14" s="25"/>
      <c r="J14" s="25"/>
      <c r="K14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B689-34E2-4B26-BF38-D19AD2CE00BB}">
  <dimension ref="C4:C6"/>
  <sheetViews>
    <sheetView workbookViewId="0">
      <selection activeCell="H7" sqref="H7"/>
    </sheetView>
  </sheetViews>
  <sheetFormatPr defaultRowHeight="15" x14ac:dyDescent="0.25"/>
  <sheetData>
    <row r="4" spans="3:3" x14ac:dyDescent="0.25">
      <c r="C4" t="s">
        <v>39</v>
      </c>
    </row>
    <row r="5" spans="3:3" x14ac:dyDescent="0.25">
      <c r="C5" t="s">
        <v>37</v>
      </c>
    </row>
    <row r="6" spans="3:3" x14ac:dyDescent="0.25">
      <c r="C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 Valuation</vt:lpstr>
      <vt:lpstr>Sheet2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2023-06-29T12:26:30Z</dcterms:modified>
</cp:coreProperties>
</file>