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0D0FDF3-3B22-4C82-8DA9-1A5D5E3612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ECCL" sheetId="2" r:id="rId1"/>
    <sheet name="SPVs" sheetId="3" r:id="rId2"/>
    <sheet name="Brindavan" sheetId="10" r:id="rId3"/>
    <sheet name="AS-17" sheetId="12" r:id="rId4"/>
    <sheet name="AS-19" sheetId="13" r:id="rId5"/>
    <sheet name="Summary " sheetId="14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C8" i="13" l="1"/>
  <c r="C6" i="12"/>
  <c r="C8" i="12" s="1"/>
  <c r="C6" i="13"/>
  <c r="D24" i="13"/>
  <c r="D26" i="13" s="1"/>
  <c r="G22" i="13"/>
  <c r="G21" i="13"/>
  <c r="H20" i="13"/>
  <c r="I20" i="13" s="1"/>
  <c r="J20" i="13" s="1"/>
  <c r="K20" i="13" s="1"/>
  <c r="K21" i="13" s="1"/>
  <c r="J17" i="13"/>
  <c r="K17" i="13" s="1"/>
  <c r="I17" i="13"/>
  <c r="H17" i="13"/>
  <c r="D24" i="12"/>
  <c r="D26" i="12" s="1"/>
  <c r="H20" i="12"/>
  <c r="I20" i="12" s="1"/>
  <c r="J20" i="12" s="1"/>
  <c r="K20" i="12" s="1"/>
  <c r="I17" i="12"/>
  <c r="J17" i="12" s="1"/>
  <c r="K17" i="12" s="1"/>
  <c r="H17" i="12"/>
  <c r="C9" i="13" l="1"/>
  <c r="C10" i="13" s="1"/>
  <c r="J21" i="13"/>
  <c r="H21" i="13"/>
  <c r="I21" i="13"/>
  <c r="C9" i="12"/>
  <c r="C10" i="12" s="1"/>
  <c r="C4" i="14" s="1"/>
  <c r="C5" i="14" s="1"/>
  <c r="G22" i="12"/>
  <c r="G18" i="13" l="1"/>
  <c r="C26" i="13"/>
  <c r="C27" i="13" s="1"/>
  <c r="C11" i="13" s="1"/>
  <c r="C12" i="13" s="1"/>
  <c r="C13" i="13" s="1"/>
  <c r="I21" i="12"/>
  <c r="H21" i="12"/>
  <c r="K21" i="12"/>
  <c r="G21" i="12"/>
  <c r="J21" i="12"/>
  <c r="G18" i="12"/>
  <c r="C26" i="12"/>
  <c r="C27" i="12" s="1"/>
  <c r="C11" i="12" s="1"/>
  <c r="C12" i="12" s="1"/>
  <c r="C13" i="12" s="1"/>
  <c r="K19" i="13" l="1"/>
  <c r="K23" i="13" s="1"/>
  <c r="G19" i="13"/>
  <c r="G23" i="13" s="1"/>
  <c r="H19" i="13"/>
  <c r="H23" i="13" s="1"/>
  <c r="J19" i="13"/>
  <c r="J23" i="13" s="1"/>
  <c r="I19" i="13"/>
  <c r="I23" i="13" s="1"/>
  <c r="J19" i="12"/>
  <c r="J23" i="12" s="1"/>
  <c r="I19" i="12"/>
  <c r="I23" i="12" s="1"/>
  <c r="H19" i="12"/>
  <c r="H23" i="12" s="1"/>
  <c r="K19" i="12"/>
  <c r="K23" i="12" s="1"/>
  <c r="G19" i="12"/>
  <c r="G23" i="12" s="1"/>
  <c r="G24" i="13" l="1"/>
  <c r="C15" i="13" s="1"/>
  <c r="G24" i="12"/>
  <c r="C15" i="12" s="1"/>
  <c r="I17" i="2" l="1"/>
  <c r="D26" i="10" l="1"/>
  <c r="G24" i="10"/>
  <c r="I22" i="10"/>
  <c r="J22" i="10" s="1"/>
  <c r="K22" i="10" s="1"/>
  <c r="H22" i="10"/>
  <c r="H19" i="10"/>
  <c r="I19" i="10" s="1"/>
  <c r="J19" i="10" s="1"/>
  <c r="K19" i="10" s="1"/>
  <c r="C13" i="10"/>
  <c r="C14" i="10" s="1"/>
  <c r="C15" i="10" s="1"/>
  <c r="C10" i="10"/>
  <c r="C11" i="10" s="1"/>
  <c r="C12" i="10" s="1"/>
  <c r="G20" i="10" s="1"/>
  <c r="C9" i="10"/>
  <c r="C8" i="10"/>
  <c r="C7" i="10"/>
  <c r="C6" i="10"/>
  <c r="H21" i="10" l="1"/>
  <c r="K21" i="10"/>
  <c r="G21" i="10"/>
  <c r="G25" i="10" s="1"/>
  <c r="J21" i="10"/>
  <c r="J25" i="10" s="1"/>
  <c r="I21" i="10"/>
  <c r="K23" i="10"/>
  <c r="H23" i="10"/>
  <c r="I23" i="10"/>
  <c r="J23" i="10"/>
  <c r="G23" i="10"/>
  <c r="K25" i="10" l="1"/>
  <c r="I25" i="10"/>
  <c r="H25" i="10"/>
  <c r="G26" i="10" s="1"/>
  <c r="C17" i="10" s="1"/>
  <c r="H8" i="2" l="1"/>
  <c r="G8" i="2"/>
  <c r="I5" i="2"/>
  <c r="I8" i="2" s="1"/>
  <c r="I9" i="3" l="1"/>
  <c r="I10" i="3" s="1"/>
  <c r="H9" i="3"/>
  <c r="J9" i="3" s="1"/>
  <c r="F10" i="3"/>
  <c r="E7" i="2" l="1"/>
  <c r="E8" i="2" s="1"/>
  <c r="H8" i="3" l="1"/>
  <c r="J8" i="3" s="1"/>
  <c r="H7" i="3"/>
  <c r="J7" i="3" s="1"/>
  <c r="H6" i="3"/>
  <c r="J6" i="3" s="1"/>
  <c r="H5" i="3"/>
  <c r="J5" i="3" s="1"/>
  <c r="H4" i="3"/>
  <c r="J4" i="3" s="1"/>
  <c r="H3" i="3"/>
  <c r="H10" i="3" l="1"/>
  <c r="J3" i="3"/>
  <c r="J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100-000001000000}">
      <text>
        <r>
          <rPr>
            <sz val="9"/>
            <color indexed="81"/>
            <rFont val="Tahoma"/>
            <family val="2"/>
          </rPr>
          <t>Bangalore State Highway</t>
        </r>
      </text>
    </comment>
  </commentList>
</comments>
</file>

<file path=xl/sharedStrings.xml><?xml version="1.0" encoding="utf-8"?>
<sst xmlns="http://schemas.openxmlformats.org/spreadsheetml/2006/main" count="179" uniqueCount="103">
  <si>
    <t>S.NO</t>
  </si>
  <si>
    <t>Project</t>
  </si>
  <si>
    <t>Client</t>
  </si>
  <si>
    <t>Project Value</t>
  </si>
  <si>
    <t>Nagaland Road Project</t>
  </si>
  <si>
    <t>Maytas -Gayatri JV</t>
  </si>
  <si>
    <t>Maytas-NCC JV</t>
  </si>
  <si>
    <t xml:space="preserve">SOMA-NCC-IECCL </t>
  </si>
  <si>
    <t>NCC-KMC-IECCL JV</t>
  </si>
  <si>
    <t>Details of Projects and the corresponding arbitration claims and their progress</t>
  </si>
  <si>
    <t>S.No</t>
  </si>
  <si>
    <t>Project Name</t>
  </si>
  <si>
    <t>SPV Name</t>
  </si>
  <si>
    <t>Client Name</t>
  </si>
  <si>
    <t>Contract value</t>
  </si>
  <si>
    <t>Award Value</t>
  </si>
  <si>
    <t>IECCL's Share</t>
  </si>
  <si>
    <t>Remarks</t>
  </si>
  <si>
    <t>Award Received</t>
  </si>
  <si>
    <t>IECCL's share of award</t>
  </si>
  <si>
    <t>TOTAL (Rs. In Crs.)</t>
  </si>
  <si>
    <t>Counter Claim Value</t>
  </si>
  <si>
    <r>
      <t xml:space="preserve">National Highways Authority of India </t>
    </r>
    <r>
      <rPr>
        <b/>
        <sz val="11"/>
        <color theme="1"/>
        <rFont val="Garamond"/>
        <family val="1"/>
      </rPr>
      <t>(NHAI)</t>
    </r>
  </si>
  <si>
    <r>
      <rPr>
        <b/>
        <sz val="11"/>
        <color rgb="FF000000"/>
        <rFont val="Garamond"/>
        <family val="1"/>
      </rPr>
      <t>Hyderabad Expressway (HEL):</t>
    </r>
    <r>
      <rPr>
        <sz val="11"/>
        <color rgb="FF000000"/>
        <rFont val="Garamond"/>
        <family val="1"/>
      </rPr>
      <t xml:space="preserve"> Eight line access controlled expressway from Bongalur to Tukkuguda</t>
    </r>
  </si>
  <si>
    <r>
      <t xml:space="preserve">Hyderabad Growth Corridor Ltd </t>
    </r>
    <r>
      <rPr>
        <b/>
        <sz val="11"/>
        <color theme="1"/>
        <rFont val="Garamond"/>
        <family val="1"/>
      </rPr>
      <t>(HGCL)</t>
    </r>
  </si>
  <si>
    <r>
      <rPr>
        <b/>
        <sz val="11"/>
        <color theme="1"/>
        <rFont val="Garamond"/>
        <family val="1"/>
      </rPr>
      <t>Cyberabad Exressway (CEL)</t>
    </r>
    <r>
      <rPr>
        <sz val="11"/>
        <color theme="1"/>
        <rFont val="Garamond"/>
        <family val="1"/>
      </rPr>
      <t>: Eight line access controlled expressway from Kollur to Patancheru</t>
    </r>
  </si>
  <si>
    <r>
      <t xml:space="preserve">Pondicherry Tindivanam Tollways Limited </t>
    </r>
    <r>
      <rPr>
        <b/>
        <sz val="11"/>
        <color rgb="FF000000"/>
        <rFont val="Garamond"/>
        <family val="1"/>
      </rPr>
      <t>(PTTL)</t>
    </r>
  </si>
  <si>
    <r>
      <t xml:space="preserve">Bangalore Elevated Tollways Ltd </t>
    </r>
    <r>
      <rPr>
        <b/>
        <sz val="11"/>
        <color rgb="FF000000"/>
        <rFont val="Garamond"/>
        <family val="1"/>
      </rPr>
      <t>(BETL)</t>
    </r>
    <r>
      <rPr>
        <sz val="11"/>
        <color rgb="FF000000"/>
        <rFont val="Garamond"/>
        <family val="1"/>
      </rPr>
      <t xml:space="preserve">: Elevated Highway from Silk Board Junction to Electronic City Junction </t>
    </r>
  </si>
  <si>
    <r>
      <t xml:space="preserve">Brindavan Infrastructure Co. Ltd </t>
    </r>
    <r>
      <rPr>
        <b/>
        <sz val="11"/>
        <color theme="1"/>
        <rFont val="Garamond"/>
        <family val="1"/>
      </rPr>
      <t>(BICL)</t>
    </r>
    <r>
      <rPr>
        <sz val="11"/>
        <color theme="1"/>
        <rFont val="Garamond"/>
        <family val="1"/>
      </rPr>
      <t>: Upgradation of existing 2 lane to 4 lane divided carriage way  Bangalore-Maddur Section of Bangalore Mysore  State Highway</t>
    </r>
  </si>
  <si>
    <r>
      <t xml:space="preserve">Karnata Road Development Corporation Ltd </t>
    </r>
    <r>
      <rPr>
        <b/>
        <sz val="11"/>
        <color theme="1"/>
        <rFont val="Garamond"/>
        <family val="1"/>
      </rPr>
      <t>(KRDCL)</t>
    </r>
  </si>
  <si>
    <t>Part of MIT</t>
  </si>
  <si>
    <t>*Rs 94 Cr is only for PTTPL, which is a loss asset. It is not a claim per se but a case for handing over of project and settlement of Lender dues</t>
  </si>
  <si>
    <t>Resondent has appealed in the court aginst the award and the award has been rejected</t>
  </si>
  <si>
    <t>TOTAL</t>
  </si>
  <si>
    <t xml:space="preserve">AS-17 - NH-36 in Assam on East West Corridor under Ph-II programme of NHDP </t>
  </si>
  <si>
    <t>NHAI</t>
  </si>
  <si>
    <t>PVVNL Moradabad</t>
  </si>
  <si>
    <t>MSEDCL, Akola Project</t>
  </si>
  <si>
    <t>PVVNL</t>
  </si>
  <si>
    <t>AS-19 - NH-37 in Assam on East West Corridor under Ph-II programme of NHDP (1st Reference)</t>
  </si>
  <si>
    <t>MSEDCL</t>
  </si>
  <si>
    <t xml:space="preserve">MRTS, Phase I&amp;II - Mundakanniamman Koil Station building </t>
  </si>
  <si>
    <t>Details of SPVs and JVs the corresponding arbitration claims and their progress</t>
  </si>
  <si>
    <t>Maytas - CTR JV</t>
  </si>
  <si>
    <t>MTP Railways- Chennai</t>
  </si>
  <si>
    <t>Received</t>
  </si>
  <si>
    <t>Balance</t>
  </si>
  <si>
    <t xml:space="preserve">Amount released by client was credited in JV Bank A/c, JV partner has issued letter with bank </t>
  </si>
  <si>
    <t xml:space="preserve">It is a B2B project and IECCL margin is 20%; lready in Books </t>
  </si>
  <si>
    <t>Claim Amount</t>
  </si>
  <si>
    <t>Claim / Award Value</t>
  </si>
  <si>
    <t>total claim amount = 21.27 Crs.</t>
  </si>
  <si>
    <t>Vivad se Vishwash is applicable=65% with 9% interest per annum</t>
  </si>
  <si>
    <t>Aweard Date</t>
  </si>
  <si>
    <t>Particulars</t>
  </si>
  <si>
    <t>Amount (In Crs)</t>
  </si>
  <si>
    <t>Claim Value</t>
  </si>
  <si>
    <t>IECCL's Share (%)</t>
  </si>
  <si>
    <t>65%% payable as per Vivad se Vishwas II Scheme+9% Interest</t>
  </si>
  <si>
    <t>Award Value as per Vivad se vishwas</t>
  </si>
  <si>
    <t>Less: Expected Expenses to be incurred to realize the award amount (15%)</t>
  </si>
  <si>
    <t xml:space="preserve">Net Award Amount </t>
  </si>
  <si>
    <t xml:space="preserve"> NPV as on date @ 13%</t>
  </si>
  <si>
    <t>Rolling Nifty CAGR for 10 years</t>
  </si>
  <si>
    <t>Total Available balance.</t>
  </si>
  <si>
    <t>As a proxy of Enterprise Value</t>
  </si>
  <si>
    <t>Enterprise Value</t>
  </si>
  <si>
    <t>NPV(As a proxy of Enterprise Value)</t>
  </si>
  <si>
    <t>It is assumed that this will take around 5 years to get realized.</t>
  </si>
  <si>
    <t>Year</t>
  </si>
  <si>
    <t>No. of Years</t>
  </si>
  <si>
    <t>Net Recovery</t>
  </si>
  <si>
    <t>Yearly Recovery</t>
  </si>
  <si>
    <t>Discount Rate</t>
  </si>
  <si>
    <t>Discount period</t>
  </si>
  <si>
    <t>Nifty 50 5-year return</t>
  </si>
  <si>
    <t>https://kunaldesai.blog/nifty-returns/</t>
  </si>
  <si>
    <t>Discount Factor</t>
  </si>
  <si>
    <t>Company Risk Premium</t>
  </si>
  <si>
    <t>Present Value</t>
  </si>
  <si>
    <t>Net Present Value (NPV)</t>
  </si>
  <si>
    <t>Appropriate Discount Rate</t>
  </si>
  <si>
    <t>Brindavan Infrastructure Co. Ltd</t>
  </si>
  <si>
    <t>42.72 Award value</t>
  </si>
  <si>
    <t>160.7193 Award value</t>
  </si>
  <si>
    <t>AWARD DATE</t>
  </si>
  <si>
    <t>Vivad se Vishwash is not applicable</t>
  </si>
  <si>
    <t>Award Amount (In Crs)</t>
  </si>
  <si>
    <t>Intertest</t>
  </si>
  <si>
    <t>Project value</t>
  </si>
  <si>
    <t>Claims Award Value as per letter of awards</t>
  </si>
  <si>
    <t>NPV</t>
  </si>
  <si>
    <t>Description</t>
  </si>
  <si>
    <t>Net Award Amount</t>
  </si>
  <si>
    <t>Figures in INR Crore</t>
  </si>
  <si>
    <t>IECCL</t>
  </si>
  <si>
    <t>As per award 10% Future Interest rate</t>
  </si>
  <si>
    <t>As per award 18% Future Interest rate</t>
  </si>
  <si>
    <t>Page no. 92</t>
  </si>
  <si>
    <t>Page no. 174</t>
  </si>
  <si>
    <t>Award Rejected</t>
  </si>
  <si>
    <t>Details as on 15th October 2018</t>
  </si>
  <si>
    <t>AS-17 - NH-36 in Assam on East West Corridor under Ph-II programme of NHDP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</si>
</sst>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2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rgb="FF0000FF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Mulish SemiBold"/>
    </font>
    <font>
      <b/>
      <sz val="11"/>
      <color theme="1"/>
      <name val="Mulish SemiBold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/>
    <xf numFmtId="164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64" fontId="3" fillId="0" borderId="1" xfId="1" applyFont="1" applyBorder="1" applyAlignment="1">
      <alignment horizontal="right" vertical="center" wrapText="1"/>
    </xf>
    <xf numFmtId="164" fontId="3" fillId="0" borderId="3" xfId="1" applyFont="1" applyBorder="1" applyAlignment="1">
      <alignment vertical="center" wrapText="1"/>
    </xf>
    <xf numFmtId="164" fontId="5" fillId="2" borderId="1" xfId="1" applyFont="1" applyFill="1" applyBorder="1" applyAlignment="1">
      <alignment horizontal="right" vertical="center" wrapText="1"/>
    </xf>
    <xf numFmtId="164" fontId="3" fillId="0" borderId="1" xfId="1" applyFont="1" applyBorder="1" applyAlignment="1">
      <alignment wrapText="1"/>
    </xf>
    <xf numFmtId="164" fontId="5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2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wrapText="1"/>
    </xf>
    <xf numFmtId="4" fontId="14" fillId="7" borderId="1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9" fontId="0" fillId="0" borderId="0" xfId="0" applyNumberFormat="1"/>
    <xf numFmtId="0" fontId="13" fillId="7" borderId="0" xfId="0" applyFont="1" applyFill="1" applyAlignment="1">
      <alignment vertical="center" wrapText="1"/>
    </xf>
    <xf numFmtId="0" fontId="14" fillId="7" borderId="0" xfId="0" applyFont="1" applyFill="1" applyAlignment="1">
      <alignment horizontal="left" wrapText="1"/>
    </xf>
    <xf numFmtId="1" fontId="14" fillId="7" borderId="0" xfId="0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left"/>
    </xf>
    <xf numFmtId="1" fontId="8" fillId="6" borderId="0" xfId="0" applyNumberFormat="1" applyFont="1" applyFill="1" applyAlignment="1">
      <alignment horizontal="center" vertical="center"/>
    </xf>
    <xf numFmtId="0" fontId="10" fillId="6" borderId="0" xfId="0" applyFont="1" applyFill="1"/>
    <xf numFmtId="0" fontId="0" fillId="0" borderId="0" xfId="0" applyAlignment="1">
      <alignment horizontal="left"/>
    </xf>
    <xf numFmtId="0" fontId="8" fillId="6" borderId="0" xfId="0" applyFont="1" applyFill="1" applyAlignment="1">
      <alignment horizontal="left" vertical="center"/>
    </xf>
    <xf numFmtId="2" fontId="8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0" fontId="16" fillId="0" borderId="0" xfId="0" applyNumberFormat="1" applyFont="1" applyAlignment="1">
      <alignment horizontal="center" vertical="center"/>
    </xf>
    <xf numFmtId="0" fontId="11" fillId="0" borderId="0" xfId="3"/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0" fontId="8" fillId="6" borderId="0" xfId="0" applyFont="1" applyFill="1" applyAlignment="1">
      <alignment vertical="center" wrapText="1"/>
    </xf>
    <xf numFmtId="0" fontId="0" fillId="6" borderId="0" xfId="0" applyFill="1" applyAlignment="1">
      <alignment vertical="center"/>
    </xf>
    <xf numFmtId="10" fontId="9" fillId="8" borderId="0" xfId="0" applyNumberFormat="1" applyFont="1" applyFill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9" fontId="13" fillId="0" borderId="1" xfId="0" applyNumberFormat="1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15" fontId="17" fillId="0" borderId="1" xfId="0" applyNumberFormat="1" applyFont="1" applyBorder="1" applyAlignment="1">
      <alignment horizontal="right" vertical="center"/>
    </xf>
    <xf numFmtId="15" fontId="17" fillId="4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15" fontId="18" fillId="0" borderId="1" xfId="0" applyNumberFormat="1" applyFont="1" applyBorder="1" applyAlignment="1">
      <alignment horizontal="right" vertical="center"/>
    </xf>
    <xf numFmtId="15" fontId="18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14" fontId="0" fillId="0" borderId="0" xfId="0" applyNumberFormat="1"/>
    <xf numFmtId="2" fontId="13" fillId="0" borderId="0" xfId="0" applyNumberFormat="1" applyFont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1" applyFont="1" applyBorder="1"/>
    <xf numFmtId="0" fontId="9" fillId="9" borderId="1" xfId="0" applyFont="1" applyFill="1" applyBorder="1" applyAlignment="1">
      <alignment horizontal="left"/>
    </xf>
    <xf numFmtId="164" fontId="9" fillId="9" borderId="1" xfId="1" applyFont="1" applyFill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8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elcome\Desktop\IL&amp;FS\RK%20Working\Arbitration%20Claims%20-%202023.xlsx" TargetMode="External"/><Relationship Id="rId1" Type="http://schemas.openxmlformats.org/officeDocument/2006/relationships/externalLinkPath" Target="Arbitration%20Claim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"/>
      <sheetName val="Nagaland"/>
      <sheetName val="HEL"/>
      <sheetName val="CEL"/>
      <sheetName val="PTTL"/>
      <sheetName val="BETL"/>
      <sheetName val="Brindavan"/>
      <sheetName val="DDPL"/>
      <sheetName val="BAPL"/>
      <sheetName val="IECCL"/>
      <sheetName val="Awards summary"/>
      <sheetName val="SPVs"/>
      <sheetName val="VSV II Summary"/>
      <sheetName val="Work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G9">
            <v>85</v>
          </cell>
          <cell r="J9">
            <v>88.167333100000008</v>
          </cell>
          <cell r="K9">
            <v>0.33329999999999999</v>
          </cell>
          <cell r="N9">
            <v>29.386172122230001</v>
          </cell>
          <cell r="U9">
            <v>24.334827158911501</v>
          </cell>
          <cell r="Y9">
            <v>22.169027541768379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8.77734375" defaultRowHeight="14.4"/>
  <cols>
    <col min="1" max="1" width="8.77734375" style="1"/>
    <col min="2" max="2" width="5.21875" style="22" customWidth="1"/>
    <col min="3" max="3" width="35.5546875" style="1" customWidth="1"/>
    <col min="4" max="4" width="23.5546875" style="1" customWidth="1"/>
    <col min="5" max="5" width="12.21875" style="1" bestFit="1" customWidth="1"/>
    <col min="6" max="6" width="12.21875" style="1" customWidth="1"/>
    <col min="7" max="8" width="10.21875" style="1" customWidth="1"/>
    <col min="9" max="9" width="8.44140625" style="1" bestFit="1" customWidth="1"/>
    <col min="10" max="10" width="10.77734375" style="1" customWidth="1"/>
    <col min="11" max="11" width="14" style="1" customWidth="1"/>
    <col min="12" max="13" width="11.21875" style="1" bestFit="1" customWidth="1"/>
    <col min="14" max="14" width="11.77734375" style="1" customWidth="1"/>
    <col min="15" max="15" width="9.21875" style="1" customWidth="1"/>
    <col min="16" max="16" width="11.21875" style="1" bestFit="1" customWidth="1"/>
    <col min="17" max="18" width="8.77734375" style="1"/>
    <col min="19" max="19" width="11.21875" style="1" bestFit="1" customWidth="1"/>
    <col min="20" max="16384" width="8.77734375" style="1"/>
  </cols>
  <sheetData>
    <row r="2" spans="2:11">
      <c r="B2" s="19" t="s">
        <v>9</v>
      </c>
      <c r="C2" s="4"/>
      <c r="D2" s="4"/>
      <c r="E2" s="4"/>
      <c r="F2" s="4"/>
      <c r="G2" s="4"/>
      <c r="H2" s="4"/>
      <c r="I2" s="4"/>
      <c r="J2" s="20"/>
    </row>
    <row r="3" spans="2:11" ht="43.5" customHeight="1">
      <c r="B3" s="6" t="s">
        <v>0</v>
      </c>
      <c r="C3" s="6" t="s">
        <v>1</v>
      </c>
      <c r="D3" s="6" t="s">
        <v>2</v>
      </c>
      <c r="E3" s="6" t="s">
        <v>3</v>
      </c>
      <c r="F3" s="6" t="s">
        <v>49</v>
      </c>
      <c r="G3" s="6" t="s">
        <v>50</v>
      </c>
      <c r="H3" s="6" t="s">
        <v>21</v>
      </c>
      <c r="I3" s="6" t="s">
        <v>18</v>
      </c>
      <c r="J3" s="6" t="s">
        <v>17</v>
      </c>
      <c r="K3" s="83" t="s">
        <v>85</v>
      </c>
    </row>
    <row r="4" spans="2:11" ht="63" customHeight="1">
      <c r="B4" s="8">
        <v>1</v>
      </c>
      <c r="C4" s="32" t="s">
        <v>102</v>
      </c>
      <c r="D4" s="21" t="s">
        <v>35</v>
      </c>
      <c r="E4" s="21">
        <v>202.18</v>
      </c>
      <c r="F4" s="21">
        <v>150.94</v>
      </c>
      <c r="G4" s="29">
        <v>263.83999999999997</v>
      </c>
      <c r="H4" s="29">
        <v>0</v>
      </c>
      <c r="I4" s="30">
        <v>41.82</v>
      </c>
      <c r="J4" s="21" t="s">
        <v>83</v>
      </c>
      <c r="K4" s="84">
        <v>43251</v>
      </c>
    </row>
    <row r="5" spans="2:11" ht="55.5" customHeight="1">
      <c r="B5" s="8">
        <v>2</v>
      </c>
      <c r="C5" s="32" t="s">
        <v>39</v>
      </c>
      <c r="D5" s="21" t="s">
        <v>35</v>
      </c>
      <c r="E5" s="21">
        <v>173.14</v>
      </c>
      <c r="F5" s="21">
        <v>135.5</v>
      </c>
      <c r="G5" s="29">
        <v>367.15</v>
      </c>
      <c r="H5" s="29">
        <v>0</v>
      </c>
      <c r="I5" s="30">
        <f>68.07+40.26</f>
        <v>108.32999999999998</v>
      </c>
      <c r="J5" s="21" t="s">
        <v>84</v>
      </c>
      <c r="K5" s="84">
        <v>41996</v>
      </c>
    </row>
    <row r="6" spans="2:11" ht="38.25" customHeight="1">
      <c r="B6" s="8">
        <v>3</v>
      </c>
      <c r="C6" s="32" t="s">
        <v>36</v>
      </c>
      <c r="D6" s="21" t="s">
        <v>38</v>
      </c>
      <c r="E6" s="21">
        <v>145.55000000000001</v>
      </c>
      <c r="F6" s="21">
        <v>231.9</v>
      </c>
      <c r="G6" s="29">
        <v>231.9</v>
      </c>
      <c r="H6" s="21">
        <v>0</v>
      </c>
      <c r="I6" s="30">
        <v>109.31</v>
      </c>
      <c r="J6" s="21"/>
      <c r="K6" s="85">
        <v>43524</v>
      </c>
    </row>
    <row r="7" spans="2:11" ht="38.25" customHeight="1">
      <c r="B7" s="8">
        <v>4</v>
      </c>
      <c r="C7" s="32" t="s">
        <v>37</v>
      </c>
      <c r="D7" s="21" t="s">
        <v>40</v>
      </c>
      <c r="E7" s="21">
        <f>7.04+8.37+8.3+9.758+9.883+4.386+3.968</f>
        <v>51.704999999999998</v>
      </c>
      <c r="F7" s="21">
        <v>13.38</v>
      </c>
      <c r="G7" s="29">
        <v>9.1199999999999992</v>
      </c>
      <c r="H7" s="21">
        <v>0</v>
      </c>
      <c r="I7" s="30">
        <v>7.39</v>
      </c>
      <c r="J7" s="21"/>
      <c r="K7" s="85">
        <v>43725</v>
      </c>
    </row>
    <row r="8" spans="2:11" ht="15" customHeight="1">
      <c r="B8" s="16"/>
      <c r="C8" s="34" t="s">
        <v>33</v>
      </c>
      <c r="D8" s="34"/>
      <c r="E8" s="31">
        <f>SUM(E4:E7)</f>
        <v>572.57500000000005</v>
      </c>
      <c r="F8" s="31"/>
      <c r="G8" s="31">
        <f>SUM(G4:G7)</f>
        <v>872.01</v>
      </c>
      <c r="H8" s="31">
        <f>SUM(H4:H7)</f>
        <v>0</v>
      </c>
      <c r="I8" s="34">
        <f>SUM(I4:I7)</f>
        <v>266.84999999999997</v>
      </c>
      <c r="J8" s="33"/>
    </row>
    <row r="14" spans="2:11">
      <c r="G14" s="1">
        <v>84.71</v>
      </c>
    </row>
    <row r="17" spans="9:9">
      <c r="I17" s="1">
        <f>42.72+160.72</f>
        <v>203.44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M6" sqref="M6"/>
    </sheetView>
  </sheetViews>
  <sheetFormatPr defaultColWidth="8.77734375" defaultRowHeight="14.4"/>
  <cols>
    <col min="1" max="1" width="8.77734375" style="1"/>
    <col min="2" max="2" width="30.5546875" style="1" bestFit="1" customWidth="1"/>
    <col min="3" max="3" width="8.77734375" style="1"/>
    <col min="4" max="4" width="14.77734375" style="1" bestFit="1" customWidth="1"/>
    <col min="5" max="12" width="8.77734375" style="1"/>
    <col min="13" max="13" width="11" style="1" customWidth="1"/>
    <col min="14" max="16384" width="8.77734375" style="1"/>
  </cols>
  <sheetData>
    <row r="1" spans="1:14">
      <c r="A1" s="2" t="s">
        <v>42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</row>
    <row r="2" spans="1:14" s="7" customFormat="1" ht="43.2">
      <c r="A2" s="5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19</v>
      </c>
      <c r="I2" s="6" t="s">
        <v>45</v>
      </c>
      <c r="J2" s="6" t="s">
        <v>46</v>
      </c>
      <c r="K2" s="101" t="s">
        <v>17</v>
      </c>
      <c r="L2" s="101"/>
      <c r="M2" s="83" t="s">
        <v>85</v>
      </c>
    </row>
    <row r="3" spans="1:14" ht="57.6">
      <c r="A3" s="8">
        <v>1</v>
      </c>
      <c r="B3" s="24" t="s">
        <v>4</v>
      </c>
      <c r="C3" s="10" t="s">
        <v>5</v>
      </c>
      <c r="D3" s="8" t="s">
        <v>22</v>
      </c>
      <c r="E3" s="11">
        <v>1130.67</v>
      </c>
      <c r="F3" s="11">
        <v>703.37</v>
      </c>
      <c r="G3" s="12">
        <v>0.62</v>
      </c>
      <c r="H3" s="11">
        <f>F3*G3</f>
        <v>436.08940000000001</v>
      </c>
      <c r="I3" s="11">
        <v>0</v>
      </c>
      <c r="J3" s="11">
        <f>H3-I3</f>
        <v>436.08940000000001</v>
      </c>
      <c r="K3" s="96" t="s">
        <v>48</v>
      </c>
      <c r="L3" s="96"/>
      <c r="M3" s="82">
        <v>43687</v>
      </c>
    </row>
    <row r="4" spans="1:14" ht="57" customHeight="1">
      <c r="A4" s="8">
        <v>2</v>
      </c>
      <c r="B4" s="13" t="s">
        <v>23</v>
      </c>
      <c r="C4" s="10" t="s">
        <v>5</v>
      </c>
      <c r="D4" s="8" t="s">
        <v>24</v>
      </c>
      <c r="E4" s="11">
        <v>362</v>
      </c>
      <c r="F4" s="11">
        <v>99</v>
      </c>
      <c r="G4" s="12">
        <v>0.5</v>
      </c>
      <c r="H4" s="11">
        <f t="shared" ref="H4:H7" si="0">F4*G4</f>
        <v>49.5</v>
      </c>
      <c r="I4" s="11">
        <v>0</v>
      </c>
      <c r="J4" s="11">
        <f t="shared" ref="J4:J9" si="1">H4-I4</f>
        <v>49.5</v>
      </c>
      <c r="K4" s="96" t="s">
        <v>30</v>
      </c>
      <c r="L4" s="96"/>
      <c r="M4" s="82">
        <v>44616</v>
      </c>
    </row>
    <row r="5" spans="1:14" ht="44.25" customHeight="1">
      <c r="A5" s="8">
        <v>3</v>
      </c>
      <c r="B5" s="9" t="s">
        <v>25</v>
      </c>
      <c r="C5" s="10" t="s">
        <v>5</v>
      </c>
      <c r="D5" s="8" t="s">
        <v>24</v>
      </c>
      <c r="E5" s="11">
        <v>415</v>
      </c>
      <c r="F5" s="11">
        <v>241</v>
      </c>
      <c r="G5" s="12">
        <v>0.5</v>
      </c>
      <c r="H5" s="11">
        <f t="shared" si="0"/>
        <v>120.5</v>
      </c>
      <c r="I5" s="11">
        <v>0</v>
      </c>
      <c r="J5" s="11">
        <f t="shared" si="1"/>
        <v>120.5</v>
      </c>
      <c r="K5" s="96" t="s">
        <v>30</v>
      </c>
      <c r="L5" s="96"/>
      <c r="M5" s="82">
        <v>43523</v>
      </c>
    </row>
    <row r="6" spans="1:14" ht="57.6">
      <c r="A6" s="8">
        <v>4</v>
      </c>
      <c r="B6" s="13" t="s">
        <v>26</v>
      </c>
      <c r="C6" s="10" t="s">
        <v>6</v>
      </c>
      <c r="D6" s="8" t="s">
        <v>22</v>
      </c>
      <c r="E6" s="11">
        <v>229.18</v>
      </c>
      <c r="F6" s="11">
        <v>183.82</v>
      </c>
      <c r="G6" s="12">
        <v>0.51</v>
      </c>
      <c r="H6" s="11">
        <f t="shared" si="0"/>
        <v>93.748199999999997</v>
      </c>
      <c r="I6" s="11">
        <v>0</v>
      </c>
      <c r="J6" s="11">
        <f t="shared" si="1"/>
        <v>93.748199999999997</v>
      </c>
      <c r="K6" s="96" t="s">
        <v>31</v>
      </c>
      <c r="L6" s="96"/>
      <c r="M6" s="81">
        <v>43389</v>
      </c>
    </row>
    <row r="7" spans="1:14" ht="58.05" customHeight="1">
      <c r="A7" s="8">
        <v>5</v>
      </c>
      <c r="B7" s="13" t="s">
        <v>27</v>
      </c>
      <c r="C7" s="10" t="s">
        <v>7</v>
      </c>
      <c r="D7" s="8" t="s">
        <v>22</v>
      </c>
      <c r="E7" s="11">
        <v>450</v>
      </c>
      <c r="F7" s="11">
        <v>492</v>
      </c>
      <c r="G7" s="14">
        <v>0.33329999999999999</v>
      </c>
      <c r="H7" s="11">
        <f t="shared" si="0"/>
        <v>163.9836</v>
      </c>
      <c r="I7" s="11">
        <v>0</v>
      </c>
      <c r="J7" s="11">
        <f t="shared" si="1"/>
        <v>163.9836</v>
      </c>
      <c r="K7" s="96" t="s">
        <v>30</v>
      </c>
      <c r="L7" s="96"/>
      <c r="M7" s="82">
        <v>43796</v>
      </c>
    </row>
    <row r="8" spans="1:14" ht="72">
      <c r="A8" s="8">
        <v>6</v>
      </c>
      <c r="B8" s="15" t="s">
        <v>28</v>
      </c>
      <c r="C8" s="10" t="s">
        <v>8</v>
      </c>
      <c r="D8" s="8" t="s">
        <v>29</v>
      </c>
      <c r="E8" s="11">
        <v>216</v>
      </c>
      <c r="F8" s="11">
        <v>88.16</v>
      </c>
      <c r="G8" s="14">
        <v>0.33329999999999999</v>
      </c>
      <c r="H8" s="11">
        <f>F8*G8</f>
        <v>29.383727999999998</v>
      </c>
      <c r="I8" s="11">
        <v>0</v>
      </c>
      <c r="J8" s="11">
        <f t="shared" si="1"/>
        <v>29.383727999999998</v>
      </c>
      <c r="K8" s="96" t="s">
        <v>32</v>
      </c>
      <c r="L8" s="96"/>
      <c r="M8" s="81">
        <v>41495</v>
      </c>
      <c r="N8" s="95" t="s">
        <v>100</v>
      </c>
    </row>
    <row r="9" spans="1:14" ht="43.2">
      <c r="A9" s="8">
        <v>7</v>
      </c>
      <c r="B9" s="25" t="s">
        <v>41</v>
      </c>
      <c r="C9" s="26" t="s">
        <v>43</v>
      </c>
      <c r="D9" s="23" t="s">
        <v>44</v>
      </c>
      <c r="E9" s="11"/>
      <c r="F9" s="11">
        <v>4.38</v>
      </c>
      <c r="G9" s="14">
        <v>1</v>
      </c>
      <c r="H9" s="11">
        <f>F9*G9</f>
        <v>4.38</v>
      </c>
      <c r="I9" s="28">
        <f>1.76+1.9</f>
        <v>3.66</v>
      </c>
      <c r="J9" s="11">
        <f t="shared" si="1"/>
        <v>0.71999999999999975</v>
      </c>
      <c r="K9" s="102" t="s">
        <v>47</v>
      </c>
      <c r="L9" s="103"/>
      <c r="M9" s="82">
        <v>43460</v>
      </c>
      <c r="N9" s="1" t="s">
        <v>51</v>
      </c>
    </row>
    <row r="10" spans="1:14" ht="30" customHeight="1">
      <c r="A10" s="16"/>
      <c r="B10" s="97" t="s">
        <v>20</v>
      </c>
      <c r="C10" s="98"/>
      <c r="D10" s="99"/>
      <c r="E10" s="16"/>
      <c r="F10" s="17">
        <f>SUM(F3:F9)</f>
        <v>1811.73</v>
      </c>
      <c r="G10" s="17"/>
      <c r="H10" s="18">
        <f>SUM(H3:H9)</f>
        <v>897.5849280000001</v>
      </c>
      <c r="I10" s="18">
        <f>SUM(I3:I9)</f>
        <v>3.66</v>
      </c>
      <c r="J10" s="18">
        <f>SUM(J3:J9)</f>
        <v>893.92492800000014</v>
      </c>
      <c r="K10" s="100"/>
      <c r="L10" s="100"/>
    </row>
    <row r="12" spans="1:14">
      <c r="J12" s="27"/>
    </row>
    <row r="13" spans="1:14">
      <c r="J13" s="27"/>
    </row>
  </sheetData>
  <mergeCells count="10">
    <mergeCell ref="K8:L8"/>
    <mergeCell ref="B10:D10"/>
    <mergeCell ref="K10:L10"/>
    <mergeCell ref="K2:L2"/>
    <mergeCell ref="K3:L3"/>
    <mergeCell ref="K4:L4"/>
    <mergeCell ref="K5:L5"/>
    <mergeCell ref="K6:L6"/>
    <mergeCell ref="K7:L7"/>
    <mergeCell ref="K9:L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58C27-E8FF-45F8-923A-F4C574EDD276}">
  <dimension ref="A2:M28"/>
  <sheetViews>
    <sheetView workbookViewId="0">
      <selection activeCell="C36" sqref="C36"/>
    </sheetView>
  </sheetViews>
  <sheetFormatPr defaultRowHeight="14.4"/>
  <cols>
    <col min="1" max="1" width="13.5546875" customWidth="1"/>
    <col min="2" max="2" width="44" customWidth="1"/>
    <col min="3" max="3" width="16.33203125" customWidth="1"/>
    <col min="4" max="4" width="34.88671875" customWidth="1"/>
    <col min="6" max="6" width="19.6640625" customWidth="1"/>
    <col min="7" max="7" width="12.44140625" customWidth="1"/>
    <col min="8" max="8" width="10.44140625" customWidth="1"/>
    <col min="9" max="9" width="13" customWidth="1"/>
    <col min="10" max="10" width="10.44140625" customWidth="1"/>
    <col min="11" max="11" width="10.6640625" customWidth="1"/>
  </cols>
  <sheetData>
    <row r="2" spans="1:13">
      <c r="A2" t="s">
        <v>52</v>
      </c>
      <c r="B2" s="104" t="s">
        <v>82</v>
      </c>
      <c r="C2" s="104"/>
      <c r="D2" s="35" t="s">
        <v>100</v>
      </c>
    </row>
    <row r="3" spans="1:13">
      <c r="A3" t="s">
        <v>53</v>
      </c>
      <c r="B3" s="36">
        <v>39193</v>
      </c>
      <c r="C3" s="37"/>
    </row>
    <row r="4" spans="1:13">
      <c r="B4" s="38" t="s">
        <v>54</v>
      </c>
      <c r="C4" s="39" t="s">
        <v>55</v>
      </c>
      <c r="D4" s="40" t="s">
        <v>17</v>
      </c>
      <c r="M4">
        <v>5</v>
      </c>
    </row>
    <row r="5" spans="1:13">
      <c r="B5" s="41" t="s">
        <v>14</v>
      </c>
      <c r="C5" s="42">
        <v>216</v>
      </c>
      <c r="D5" s="43"/>
      <c r="M5">
        <v>7</v>
      </c>
    </row>
    <row r="6" spans="1:13">
      <c r="B6" s="41" t="s">
        <v>56</v>
      </c>
      <c r="C6" s="42">
        <f>'[1]Awards summary'!G9</f>
        <v>85</v>
      </c>
      <c r="D6" s="43"/>
    </row>
    <row r="7" spans="1:13">
      <c r="B7" s="37" t="s">
        <v>15</v>
      </c>
      <c r="C7" s="44">
        <f>'[1]Awards summary'!J9</f>
        <v>88.167333100000008</v>
      </c>
      <c r="D7" s="43"/>
    </row>
    <row r="8" spans="1:13">
      <c r="B8" s="41" t="s">
        <v>57</v>
      </c>
      <c r="C8" s="80">
        <f>'[1]Awards summary'!K9</f>
        <v>0.33329999999999999</v>
      </c>
    </row>
    <row r="9" spans="1:13">
      <c r="B9" s="37" t="s">
        <v>19</v>
      </c>
      <c r="C9" s="44">
        <f>'[1]Awards summary'!N9</f>
        <v>29.386172122230001</v>
      </c>
    </row>
    <row r="10" spans="1:13">
      <c r="A10" t="s">
        <v>58</v>
      </c>
      <c r="B10" s="45" t="s">
        <v>59</v>
      </c>
      <c r="C10" s="46">
        <f>'[1]Awards summary'!U9+'[1]Awards summary'!Y9</f>
        <v>46.503854700679881</v>
      </c>
    </row>
    <row r="11" spans="1:13" ht="28.8">
      <c r="A11" s="47">
        <v>0.15</v>
      </c>
      <c r="B11" s="41" t="s">
        <v>60</v>
      </c>
      <c r="C11" s="48">
        <f>C10*A11</f>
        <v>6.9755782051019821</v>
      </c>
      <c r="D11" s="49"/>
      <c r="E11" s="50"/>
      <c r="H11" s="76"/>
      <c r="I11" s="77"/>
    </row>
    <row r="12" spans="1:13">
      <c r="B12" s="45" t="s">
        <v>61</v>
      </c>
      <c r="C12" s="46">
        <f>C10-C11</f>
        <v>39.528276495577899</v>
      </c>
      <c r="D12" s="51"/>
    </row>
    <row r="13" spans="1:13" hidden="1">
      <c r="B13" s="52" t="s">
        <v>62</v>
      </c>
      <c r="C13" s="53" t="e">
        <f>#REF!</f>
        <v>#REF!</v>
      </c>
      <c r="D13" s="51" t="s">
        <v>63</v>
      </c>
    </row>
    <row r="14" spans="1:13" hidden="1">
      <c r="B14" s="52" t="s">
        <v>64</v>
      </c>
      <c r="C14" s="53" t="e">
        <f>C13-#REF!</f>
        <v>#REF!</v>
      </c>
      <c r="D14" s="51" t="s">
        <v>65</v>
      </c>
    </row>
    <row r="15" spans="1:13" hidden="1">
      <c r="B15" s="54" t="s">
        <v>66</v>
      </c>
      <c r="C15" s="55" t="e">
        <f>C14</f>
        <v>#REF!</v>
      </c>
      <c r="D15" s="56"/>
    </row>
    <row r="16" spans="1:13" hidden="1">
      <c r="B16" s="57"/>
    </row>
    <row r="17" spans="2:11" ht="28.8" hidden="1">
      <c r="B17" s="58" t="s">
        <v>67</v>
      </c>
      <c r="C17" s="59">
        <f>G26</f>
        <v>25.586374423322216</v>
      </c>
      <c r="D17" s="60" t="s">
        <v>68</v>
      </c>
    </row>
    <row r="18" spans="2:11" hidden="1"/>
    <row r="19" spans="2:11" ht="15.6" hidden="1">
      <c r="B19" t="s">
        <v>70</v>
      </c>
      <c r="C19" s="63">
        <v>5</v>
      </c>
      <c r="F19" s="61" t="s">
        <v>69</v>
      </c>
      <c r="G19" s="62">
        <v>1</v>
      </c>
      <c r="H19" s="62">
        <f>G19+1</f>
        <v>2</v>
      </c>
      <c r="I19" s="62">
        <f t="shared" ref="I19:K19" si="0">H19+1</f>
        <v>3</v>
      </c>
      <c r="J19" s="62">
        <f t="shared" si="0"/>
        <v>4</v>
      </c>
      <c r="K19" s="62">
        <f t="shared" si="0"/>
        <v>5</v>
      </c>
    </row>
    <row r="20" spans="2:11" hidden="1">
      <c r="F20" s="64" t="s">
        <v>71</v>
      </c>
      <c r="G20" s="65">
        <f>C12</f>
        <v>39.528276495577899</v>
      </c>
      <c r="H20" s="66"/>
      <c r="I20" s="66"/>
      <c r="J20" s="66"/>
      <c r="K20" s="66"/>
    </row>
    <row r="21" spans="2:11" hidden="1">
      <c r="B21" s="105" t="s">
        <v>73</v>
      </c>
      <c r="C21" s="105"/>
      <c r="D21" s="105"/>
      <c r="F21" s="64" t="s">
        <v>72</v>
      </c>
      <c r="G21" s="65">
        <f>$G$20/5</f>
        <v>7.9056552991155797</v>
      </c>
      <c r="H21" s="65">
        <f t="shared" ref="H21:K21" si="1">$G$20/5</f>
        <v>7.9056552991155797</v>
      </c>
      <c r="I21" s="65">
        <f t="shared" si="1"/>
        <v>7.9056552991155797</v>
      </c>
      <c r="J21" s="65">
        <f t="shared" si="1"/>
        <v>7.9056552991155797</v>
      </c>
      <c r="K21" s="65">
        <f t="shared" si="1"/>
        <v>7.9056552991155797</v>
      </c>
    </row>
    <row r="22" spans="2:11" ht="15.6" hidden="1">
      <c r="B22" s="106" t="s">
        <v>75</v>
      </c>
      <c r="C22" s="106"/>
      <c r="D22" s="68">
        <v>0.14000000000000001</v>
      </c>
      <c r="E22" s="69" t="s">
        <v>76</v>
      </c>
      <c r="F22" s="64" t="s">
        <v>74</v>
      </c>
      <c r="G22" s="66">
        <v>1</v>
      </c>
      <c r="H22" s="66">
        <f>G22+1</f>
        <v>2</v>
      </c>
      <c r="I22" s="66">
        <f t="shared" ref="I22:K22" si="2">H22+1</f>
        <v>3</v>
      </c>
      <c r="J22" s="66">
        <f t="shared" si="2"/>
        <v>4</v>
      </c>
      <c r="K22" s="66">
        <f t="shared" si="2"/>
        <v>5</v>
      </c>
    </row>
    <row r="23" spans="2:11" hidden="1">
      <c r="B23" s="106" t="s">
        <v>78</v>
      </c>
      <c r="C23" s="106"/>
      <c r="D23" s="71">
        <v>2.5000000000000001E-2</v>
      </c>
      <c r="F23" s="64" t="s">
        <v>77</v>
      </c>
      <c r="G23" s="70">
        <f>1/(1+$G$24)^G22</f>
        <v>0.85836909871244638</v>
      </c>
      <c r="H23" s="70">
        <f>1/(1+$G$24)^H22</f>
        <v>0.73679750962441737</v>
      </c>
      <c r="I23" s="70">
        <f>1/(1+$G$24)^I22</f>
        <v>0.63244421426988617</v>
      </c>
      <c r="J23" s="70">
        <f>1/(1+$G$24)^J22</f>
        <v>0.54287057018874341</v>
      </c>
      <c r="K23" s="70">
        <f>1/(1+$G$24)^K22</f>
        <v>0.46598332205042353</v>
      </c>
    </row>
    <row r="24" spans="2:11" hidden="1">
      <c r="B24" s="67"/>
      <c r="C24" s="67"/>
      <c r="D24" s="71"/>
      <c r="F24" s="64" t="s">
        <v>73</v>
      </c>
      <c r="G24" s="72">
        <f>D26</f>
        <v>0.16500000000000001</v>
      </c>
      <c r="H24" s="66"/>
      <c r="I24" s="66"/>
      <c r="J24" s="66"/>
      <c r="K24" s="66"/>
    </row>
    <row r="25" spans="2:11" hidden="1">
      <c r="B25" s="67"/>
      <c r="C25" s="67"/>
      <c r="D25" s="71"/>
      <c r="F25" s="64" t="s">
        <v>79</v>
      </c>
      <c r="G25" s="65">
        <f>G21*G23</f>
        <v>6.7859702138331155</v>
      </c>
      <c r="H25" s="65">
        <f t="shared" ref="H25:K25" si="3">H21*H23</f>
        <v>5.8248671363374376</v>
      </c>
      <c r="I25" s="65">
        <f t="shared" si="3"/>
        <v>4.9998859539377145</v>
      </c>
      <c r="J25" s="65">
        <f t="shared" si="3"/>
        <v>4.291747599946536</v>
      </c>
      <c r="K25" s="65">
        <f t="shared" si="3"/>
        <v>3.6839035192674126</v>
      </c>
    </row>
    <row r="26" spans="2:11" ht="28.8" hidden="1">
      <c r="B26" s="107" t="s">
        <v>81</v>
      </c>
      <c r="C26" s="107"/>
      <c r="D26" s="75">
        <f>SUM(D22:D23)</f>
        <v>0.16500000000000001</v>
      </c>
      <c r="F26" s="73" t="s">
        <v>80</v>
      </c>
      <c r="G26" s="59">
        <f>SUM(G25:K25)</f>
        <v>25.586374423322216</v>
      </c>
      <c r="H26" s="61"/>
      <c r="I26" s="61"/>
      <c r="J26" s="61"/>
      <c r="K26" s="74"/>
    </row>
    <row r="27" spans="2:11" hidden="1"/>
    <row r="28" spans="2:11" hidden="1"/>
  </sheetData>
  <mergeCells count="5">
    <mergeCell ref="B2:C2"/>
    <mergeCell ref="B21:D21"/>
    <mergeCell ref="B22:C22"/>
    <mergeCell ref="B23:C23"/>
    <mergeCell ref="B26:C26"/>
  </mergeCells>
  <dataValidations count="1">
    <dataValidation type="list" allowBlank="1" showInputMessage="1" showErrorMessage="1" sqref="C19" xr:uid="{1B398036-5E47-4B15-B8FB-D582CC241BFE}">
      <formula1>$M$4:$M$5</formula1>
    </dataValidation>
  </dataValidations>
  <hyperlinks>
    <hyperlink ref="E22" r:id="rId1" xr:uid="{86946794-8ED9-46B3-9932-E2CF86F7FB0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EBA0-FA45-441B-8EE5-C8784F1BA2C7}">
  <dimension ref="A2:M27"/>
  <sheetViews>
    <sheetView workbookViewId="0">
      <selection activeCell="E6" sqref="E6"/>
    </sheetView>
  </sheetViews>
  <sheetFormatPr defaultRowHeight="14.4"/>
  <cols>
    <col min="1" max="1" width="13.5546875" customWidth="1"/>
    <col min="2" max="2" width="44" customWidth="1"/>
    <col min="3" max="3" width="16.33203125" customWidth="1"/>
    <col min="4" max="4" width="34.88671875" customWidth="1"/>
    <col min="6" max="6" width="19.6640625" customWidth="1"/>
    <col min="7" max="7" width="12.44140625" customWidth="1"/>
    <col min="8" max="8" width="10.44140625" customWidth="1"/>
    <col min="9" max="9" width="13" customWidth="1"/>
    <col min="10" max="10" width="10.44140625" customWidth="1"/>
    <col min="11" max="11" width="10.6640625" customWidth="1"/>
  </cols>
  <sheetData>
    <row r="2" spans="1:13">
      <c r="A2" t="s">
        <v>86</v>
      </c>
      <c r="B2" s="104" t="s">
        <v>34</v>
      </c>
      <c r="C2" s="104"/>
      <c r="D2" s="104"/>
    </row>
    <row r="3" spans="1:13">
      <c r="A3" t="s">
        <v>53</v>
      </c>
      <c r="B3" s="36">
        <v>43251</v>
      </c>
      <c r="C3" s="37"/>
      <c r="D3" s="37"/>
    </row>
    <row r="4" spans="1:13" ht="28.8">
      <c r="B4" s="38" t="s">
        <v>54</v>
      </c>
      <c r="C4" s="39" t="s">
        <v>87</v>
      </c>
      <c r="D4" s="39" t="s">
        <v>88</v>
      </c>
      <c r="M4">
        <v>5</v>
      </c>
    </row>
    <row r="5" spans="1:13">
      <c r="B5" s="41" t="s">
        <v>89</v>
      </c>
      <c r="C5" s="42">
        <v>202.18</v>
      </c>
      <c r="D5" s="86"/>
      <c r="M5">
        <v>7</v>
      </c>
    </row>
    <row r="6" spans="1:13">
      <c r="A6" t="s">
        <v>99</v>
      </c>
      <c r="B6" s="41" t="s">
        <v>90</v>
      </c>
      <c r="C6" s="44">
        <f>11.313+14.5338+2.2693+13.3887+1.2228</f>
        <v>42.727600000000002</v>
      </c>
      <c r="D6" s="44">
        <v>1.6022000000000001</v>
      </c>
      <c r="E6" t="s">
        <v>96</v>
      </c>
    </row>
    <row r="7" spans="1:13">
      <c r="A7" s="87"/>
      <c r="B7" s="41"/>
      <c r="C7" s="44"/>
      <c r="D7" s="44"/>
      <c r="F7" s="88"/>
    </row>
    <row r="8" spans="1:13">
      <c r="B8" s="45" t="s">
        <v>15</v>
      </c>
      <c r="C8" s="46">
        <f>(C6+D6)</f>
        <v>44.329800000000006</v>
      </c>
      <c r="D8" s="89"/>
    </row>
    <row r="9" spans="1:13" ht="28.8">
      <c r="A9" s="47">
        <v>0.15</v>
      </c>
      <c r="B9" s="41" t="s">
        <v>60</v>
      </c>
      <c r="C9" s="48">
        <f>C8*A9</f>
        <v>6.6494700000000009</v>
      </c>
      <c r="D9" s="79"/>
      <c r="E9" s="50"/>
    </row>
    <row r="10" spans="1:13">
      <c r="B10" s="45" t="s">
        <v>61</v>
      </c>
      <c r="C10" s="46">
        <f>C8-C9</f>
        <v>37.680330000000005</v>
      </c>
      <c r="D10" s="89"/>
    </row>
    <row r="11" spans="1:13" hidden="1">
      <c r="B11" s="52" t="s">
        <v>62</v>
      </c>
      <c r="C11" s="53">
        <f>C27</f>
        <v>17.558405349356239</v>
      </c>
      <c r="D11" s="51" t="s">
        <v>63</v>
      </c>
    </row>
    <row r="12" spans="1:13" hidden="1">
      <c r="B12" s="52" t="s">
        <v>64</v>
      </c>
      <c r="C12" s="53" t="e">
        <f>C11-#REF!</f>
        <v>#REF!</v>
      </c>
      <c r="D12" s="51" t="s">
        <v>65</v>
      </c>
    </row>
    <row r="13" spans="1:13" hidden="1">
      <c r="B13" s="54" t="s">
        <v>66</v>
      </c>
      <c r="C13" s="55" t="e">
        <f>C12</f>
        <v>#REF!</v>
      </c>
      <c r="D13" s="56"/>
    </row>
    <row r="14" spans="1:13" hidden="1">
      <c r="B14" s="57"/>
    </row>
    <row r="15" spans="1:13" ht="28.8" hidden="1">
      <c r="B15" s="58" t="s">
        <v>67</v>
      </c>
      <c r="C15" s="59">
        <f>G24</f>
        <v>24.390211697750011</v>
      </c>
      <c r="D15" s="60" t="s">
        <v>68</v>
      </c>
    </row>
    <row r="16" spans="1:13" hidden="1"/>
    <row r="17" spans="2:11" ht="15.6" hidden="1">
      <c r="B17" t="s">
        <v>70</v>
      </c>
      <c r="C17" s="63">
        <v>5</v>
      </c>
      <c r="F17" s="61" t="s">
        <v>69</v>
      </c>
      <c r="G17" s="62">
        <v>1</v>
      </c>
      <c r="H17" s="62">
        <f>G17+1</f>
        <v>2</v>
      </c>
      <c r="I17" s="62">
        <f t="shared" ref="I17:K17" si="0">H17+1</f>
        <v>3</v>
      </c>
      <c r="J17" s="62">
        <f t="shared" si="0"/>
        <v>4</v>
      </c>
      <c r="K17" s="62">
        <f t="shared" si="0"/>
        <v>5</v>
      </c>
    </row>
    <row r="18" spans="2:11" hidden="1">
      <c r="F18" s="64" t="s">
        <v>71</v>
      </c>
      <c r="G18" s="65">
        <f>C10</f>
        <v>37.680330000000005</v>
      </c>
      <c r="H18" s="66"/>
      <c r="I18" s="66"/>
      <c r="J18" s="66"/>
      <c r="K18" s="66"/>
    </row>
    <row r="19" spans="2:11" hidden="1">
      <c r="B19" s="105" t="s">
        <v>73</v>
      </c>
      <c r="C19" s="105"/>
      <c r="D19" s="105"/>
      <c r="F19" s="64" t="s">
        <v>72</v>
      </c>
      <c r="G19" s="65">
        <f>$G$18/5</f>
        <v>7.5360660000000008</v>
      </c>
      <c r="H19" s="65">
        <f t="shared" ref="H19:K19" si="1">$G$18/5</f>
        <v>7.5360660000000008</v>
      </c>
      <c r="I19" s="65">
        <f t="shared" si="1"/>
        <v>7.5360660000000008</v>
      </c>
      <c r="J19" s="65">
        <f t="shared" si="1"/>
        <v>7.5360660000000008</v>
      </c>
      <c r="K19" s="65">
        <f t="shared" si="1"/>
        <v>7.5360660000000008</v>
      </c>
    </row>
    <row r="20" spans="2:11" ht="15.6" hidden="1">
      <c r="B20" s="106" t="s">
        <v>75</v>
      </c>
      <c r="C20" s="106"/>
      <c r="D20" s="68">
        <v>0.14000000000000001</v>
      </c>
      <c r="E20" s="69" t="s">
        <v>76</v>
      </c>
      <c r="F20" s="64" t="s">
        <v>74</v>
      </c>
      <c r="G20" s="66">
        <v>1</v>
      </c>
      <c r="H20" s="66">
        <f>G20+1</f>
        <v>2</v>
      </c>
      <c r="I20" s="66">
        <f t="shared" ref="I20:K20" si="2">H20+1</f>
        <v>3</v>
      </c>
      <c r="J20" s="66">
        <f t="shared" si="2"/>
        <v>4</v>
      </c>
      <c r="K20" s="66">
        <f t="shared" si="2"/>
        <v>5</v>
      </c>
    </row>
    <row r="21" spans="2:11" hidden="1">
      <c r="B21" s="106" t="s">
        <v>78</v>
      </c>
      <c r="C21" s="106"/>
      <c r="D21" s="71">
        <v>2.5000000000000001E-2</v>
      </c>
      <c r="F21" s="64" t="s">
        <v>77</v>
      </c>
      <c r="G21" s="70">
        <f>1/(1+$G$22)^G20</f>
        <v>0.85836909871244638</v>
      </c>
      <c r="H21" s="70">
        <f>1/(1+$G$22)^H20</f>
        <v>0.73679750962441737</v>
      </c>
      <c r="I21" s="70">
        <f>1/(1+$G$22)^I20</f>
        <v>0.63244421426988617</v>
      </c>
      <c r="J21" s="70">
        <f>1/(1+$G$22)^J20</f>
        <v>0.54287057018874341</v>
      </c>
      <c r="K21" s="70">
        <f>1/(1+$G$22)^K20</f>
        <v>0.46598332205042353</v>
      </c>
    </row>
    <row r="22" spans="2:11" hidden="1">
      <c r="B22" s="67"/>
      <c r="C22" s="67"/>
      <c r="D22" s="71"/>
      <c r="F22" s="64" t="s">
        <v>73</v>
      </c>
      <c r="G22" s="72">
        <f>D24</f>
        <v>0.16500000000000001</v>
      </c>
      <c r="H22" s="66"/>
      <c r="I22" s="66"/>
      <c r="J22" s="66"/>
      <c r="K22" s="66"/>
    </row>
    <row r="23" spans="2:11" hidden="1">
      <c r="B23" s="67"/>
      <c r="C23" s="67"/>
      <c r="D23" s="71"/>
      <c r="F23" s="64" t="s">
        <v>79</v>
      </c>
      <c r="G23" s="65">
        <f>G19*G21</f>
        <v>6.4687261802575113</v>
      </c>
      <c r="H23" s="65">
        <f t="shared" ref="H23:K23" si="3">H19*H21</f>
        <v>5.552554661165245</v>
      </c>
      <c r="I23" s="65">
        <f t="shared" si="3"/>
        <v>4.7661413400560049</v>
      </c>
      <c r="J23" s="65">
        <f t="shared" si="3"/>
        <v>4.0911084464000034</v>
      </c>
      <c r="K23" s="65">
        <f t="shared" si="3"/>
        <v>3.5116810698712473</v>
      </c>
    </row>
    <row r="24" spans="2:11" ht="28.8" hidden="1">
      <c r="B24" s="107" t="s">
        <v>81</v>
      </c>
      <c r="C24" s="107"/>
      <c r="D24" s="75">
        <f>SUM(D20:D21)</f>
        <v>0.16500000000000001</v>
      </c>
      <c r="F24" s="73" t="s">
        <v>80</v>
      </c>
      <c r="G24" s="59">
        <f>SUM(G23:K23)</f>
        <v>24.390211697750011</v>
      </c>
      <c r="H24" s="61"/>
      <c r="I24" s="61"/>
      <c r="J24" s="61"/>
      <c r="K24" s="74"/>
    </row>
    <row r="25" spans="2:11" hidden="1"/>
    <row r="26" spans="2:11" hidden="1">
      <c r="C26" s="76">
        <f>C10</f>
        <v>37.680330000000005</v>
      </c>
      <c r="D26" s="77">
        <f>1/(1+D24)^C17</f>
        <v>0.46598332205042353</v>
      </c>
    </row>
    <row r="27" spans="2:11" hidden="1">
      <c r="B27" s="78" t="s">
        <v>91</v>
      </c>
      <c r="C27" s="76">
        <f>C26*D26</f>
        <v>17.558405349356239</v>
      </c>
    </row>
  </sheetData>
  <mergeCells count="5">
    <mergeCell ref="B2:D2"/>
    <mergeCell ref="B19:D19"/>
    <mergeCell ref="B20:C20"/>
    <mergeCell ref="B21:C21"/>
    <mergeCell ref="B24:C24"/>
  </mergeCells>
  <dataValidations disablePrompts="1" count="1">
    <dataValidation type="list" allowBlank="1" showInputMessage="1" showErrorMessage="1" sqref="C17" xr:uid="{ABD6C095-6A5F-478D-96EA-CC442031F531}">
      <formula1>$M$4:$M$5</formula1>
    </dataValidation>
  </dataValidations>
  <hyperlinks>
    <hyperlink ref="E20" r:id="rId1" xr:uid="{434F8BCB-BA5D-4D45-9412-8CBBF0F4DE3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02C6-212A-4C3C-9E7B-EC4730D5166B}">
  <dimension ref="A2:M27"/>
  <sheetViews>
    <sheetView workbookViewId="0">
      <selection activeCell="D39" sqref="D39"/>
    </sheetView>
  </sheetViews>
  <sheetFormatPr defaultRowHeight="14.4"/>
  <cols>
    <col min="1" max="1" width="13.5546875" customWidth="1"/>
    <col min="2" max="2" width="44" customWidth="1"/>
    <col min="3" max="3" width="16.33203125" customWidth="1"/>
    <col min="4" max="4" width="34.88671875" customWidth="1"/>
    <col min="6" max="6" width="19.6640625" customWidth="1"/>
    <col min="7" max="7" width="12.44140625" customWidth="1"/>
    <col min="8" max="8" width="10.44140625" customWidth="1"/>
    <col min="9" max="9" width="13" customWidth="1"/>
    <col min="10" max="10" width="10.44140625" customWidth="1"/>
    <col min="11" max="11" width="10.6640625" customWidth="1"/>
  </cols>
  <sheetData>
    <row r="2" spans="1:13">
      <c r="A2" t="s">
        <v>86</v>
      </c>
      <c r="B2" s="104" t="s">
        <v>39</v>
      </c>
      <c r="C2" s="104"/>
      <c r="D2" s="104"/>
    </row>
    <row r="3" spans="1:13">
      <c r="A3" t="s">
        <v>53</v>
      </c>
      <c r="B3" s="36">
        <v>41996</v>
      </c>
      <c r="C3" s="37"/>
      <c r="D3" s="37"/>
    </row>
    <row r="4" spans="1:13" ht="28.8">
      <c r="B4" s="38" t="s">
        <v>54</v>
      </c>
      <c r="C4" s="39" t="s">
        <v>87</v>
      </c>
      <c r="D4" s="39" t="s">
        <v>88</v>
      </c>
      <c r="M4">
        <v>5</v>
      </c>
    </row>
    <row r="5" spans="1:13">
      <c r="B5" s="41" t="s">
        <v>89</v>
      </c>
      <c r="C5" s="44">
        <v>173.14</v>
      </c>
      <c r="D5" s="86"/>
      <c r="M5">
        <v>7</v>
      </c>
    </row>
    <row r="6" spans="1:13">
      <c r="A6" t="s">
        <v>98</v>
      </c>
      <c r="B6" s="41" t="s">
        <v>90</v>
      </c>
      <c r="C6" s="44">
        <f>119.1934+3.1762+1.9812+32.8973+2.6895+0.7818</f>
        <v>160.71940000000001</v>
      </c>
      <c r="D6" s="44">
        <v>109.68899999999999</v>
      </c>
      <c r="E6" s="50" t="s">
        <v>97</v>
      </c>
    </row>
    <row r="7" spans="1:13">
      <c r="A7" s="87"/>
      <c r="B7" s="41"/>
      <c r="C7" s="44"/>
      <c r="D7" s="44"/>
      <c r="F7" s="88"/>
    </row>
    <row r="8" spans="1:13">
      <c r="B8" s="45" t="s">
        <v>15</v>
      </c>
      <c r="C8" s="46">
        <f>(C6+D6)</f>
        <v>270.40840000000003</v>
      </c>
      <c r="D8" s="89"/>
    </row>
    <row r="9" spans="1:13" ht="28.8">
      <c r="A9" s="47">
        <v>0.15</v>
      </c>
      <c r="B9" s="41" t="s">
        <v>60</v>
      </c>
      <c r="C9" s="48">
        <f>C8*A9</f>
        <v>40.561260000000004</v>
      </c>
      <c r="D9" s="79"/>
      <c r="E9" s="50"/>
    </row>
    <row r="10" spans="1:13">
      <c r="B10" s="45" t="s">
        <v>61</v>
      </c>
      <c r="C10" s="46">
        <f>C8-C9</f>
        <v>229.84714000000002</v>
      </c>
      <c r="D10" s="89"/>
    </row>
    <row r="11" spans="1:13" hidden="1">
      <c r="B11" s="52" t="s">
        <v>62</v>
      </c>
      <c r="C11" s="53">
        <f>C27</f>
        <v>107.10493386098879</v>
      </c>
      <c r="D11" s="51" t="s">
        <v>63</v>
      </c>
    </row>
    <row r="12" spans="1:13" hidden="1">
      <c r="B12" s="52" t="s">
        <v>64</v>
      </c>
      <c r="C12" s="53" t="e">
        <f>C11-#REF!</f>
        <v>#REF!</v>
      </c>
      <c r="D12" s="51" t="s">
        <v>65</v>
      </c>
    </row>
    <row r="13" spans="1:13" hidden="1">
      <c r="B13" s="54" t="s">
        <v>66</v>
      </c>
      <c r="C13" s="55" t="e">
        <f>C12</f>
        <v>#REF!</v>
      </c>
      <c r="D13" s="56"/>
    </row>
    <row r="14" spans="1:13" hidden="1">
      <c r="B14" s="57"/>
    </row>
    <row r="15" spans="1:13" ht="28.8" hidden="1">
      <c r="B15" s="58" t="s">
        <v>67</v>
      </c>
      <c r="C15" s="59">
        <f>G24</f>
        <v>148.77843168364993</v>
      </c>
      <c r="D15" s="60" t="s">
        <v>68</v>
      </c>
    </row>
    <row r="16" spans="1:13" hidden="1"/>
    <row r="17" spans="2:11" ht="15.6" hidden="1">
      <c r="B17" t="s">
        <v>70</v>
      </c>
      <c r="C17" s="63">
        <v>5</v>
      </c>
      <c r="F17" s="61" t="s">
        <v>69</v>
      </c>
      <c r="G17" s="62">
        <v>1</v>
      </c>
      <c r="H17" s="62">
        <f>G17+1</f>
        <v>2</v>
      </c>
      <c r="I17" s="62">
        <f t="shared" ref="I17:K17" si="0">H17+1</f>
        <v>3</v>
      </c>
      <c r="J17" s="62">
        <f t="shared" si="0"/>
        <v>4</v>
      </c>
      <c r="K17" s="62">
        <f t="shared" si="0"/>
        <v>5</v>
      </c>
    </row>
    <row r="18" spans="2:11" hidden="1">
      <c r="F18" s="64" t="s">
        <v>71</v>
      </c>
      <c r="G18" s="65">
        <f>C10</f>
        <v>229.84714000000002</v>
      </c>
      <c r="H18" s="66"/>
      <c r="I18" s="66"/>
      <c r="J18" s="66"/>
      <c r="K18" s="66"/>
    </row>
    <row r="19" spans="2:11" hidden="1">
      <c r="B19" s="105" t="s">
        <v>73</v>
      </c>
      <c r="C19" s="105"/>
      <c r="D19" s="105"/>
      <c r="F19" s="64" t="s">
        <v>72</v>
      </c>
      <c r="G19" s="65">
        <f>$G$18/5</f>
        <v>45.969428000000008</v>
      </c>
      <c r="H19" s="65">
        <f t="shared" ref="H19:K19" si="1">$G$18/5</f>
        <v>45.969428000000008</v>
      </c>
      <c r="I19" s="65">
        <f t="shared" si="1"/>
        <v>45.969428000000008</v>
      </c>
      <c r="J19" s="65">
        <f t="shared" si="1"/>
        <v>45.969428000000008</v>
      </c>
      <c r="K19" s="65">
        <f t="shared" si="1"/>
        <v>45.969428000000008</v>
      </c>
    </row>
    <row r="20" spans="2:11" ht="15.6" hidden="1">
      <c r="B20" s="106" t="s">
        <v>75</v>
      </c>
      <c r="C20" s="106"/>
      <c r="D20" s="68">
        <v>0.14000000000000001</v>
      </c>
      <c r="E20" s="69" t="s">
        <v>76</v>
      </c>
      <c r="F20" s="64" t="s">
        <v>74</v>
      </c>
      <c r="G20" s="66">
        <v>1</v>
      </c>
      <c r="H20" s="66">
        <f>G20+1</f>
        <v>2</v>
      </c>
      <c r="I20" s="66">
        <f t="shared" ref="I20:K20" si="2">H20+1</f>
        <v>3</v>
      </c>
      <c r="J20" s="66">
        <f t="shared" si="2"/>
        <v>4</v>
      </c>
      <c r="K20" s="66">
        <f t="shared" si="2"/>
        <v>5</v>
      </c>
    </row>
    <row r="21" spans="2:11" hidden="1">
      <c r="B21" s="106" t="s">
        <v>78</v>
      </c>
      <c r="C21" s="106"/>
      <c r="D21" s="71">
        <v>2.5000000000000001E-2</v>
      </c>
      <c r="F21" s="64" t="s">
        <v>77</v>
      </c>
      <c r="G21" s="70">
        <f>1/(1+$G$22)^G20</f>
        <v>0.85836909871244638</v>
      </c>
      <c r="H21" s="70">
        <f>1/(1+$G$22)^H20</f>
        <v>0.73679750962441737</v>
      </c>
      <c r="I21" s="70">
        <f>1/(1+$G$22)^I20</f>
        <v>0.63244421426988617</v>
      </c>
      <c r="J21" s="70">
        <f>1/(1+$G$22)^J20</f>
        <v>0.54287057018874341</v>
      </c>
      <c r="K21" s="70">
        <f>1/(1+$G$22)^K20</f>
        <v>0.46598332205042353</v>
      </c>
    </row>
    <row r="22" spans="2:11" hidden="1">
      <c r="B22" s="67"/>
      <c r="C22" s="67"/>
      <c r="D22" s="71"/>
      <c r="F22" s="64" t="s">
        <v>73</v>
      </c>
      <c r="G22" s="72">
        <f>D24</f>
        <v>0.16500000000000001</v>
      </c>
      <c r="H22" s="66"/>
      <c r="I22" s="66"/>
      <c r="J22" s="66"/>
      <c r="K22" s="66"/>
    </row>
    <row r="23" spans="2:11" hidden="1">
      <c r="B23" s="67"/>
      <c r="C23" s="67"/>
      <c r="D23" s="71"/>
      <c r="F23" s="64" t="s">
        <v>79</v>
      </c>
      <c r="G23" s="65">
        <f>G19*G21</f>
        <v>39.458736480686703</v>
      </c>
      <c r="H23" s="65">
        <f t="shared" ref="H23:K23" si="3">H19*H21</f>
        <v>33.870160069258965</v>
      </c>
      <c r="I23" s="65">
        <f t="shared" si="3"/>
        <v>29.07309877189611</v>
      </c>
      <c r="J23" s="65">
        <f t="shared" si="3"/>
        <v>24.955449589610392</v>
      </c>
      <c r="K23" s="65">
        <f t="shared" si="3"/>
        <v>21.420986772197761</v>
      </c>
    </row>
    <row r="24" spans="2:11" ht="28.8" hidden="1">
      <c r="B24" s="107" t="s">
        <v>81</v>
      </c>
      <c r="C24" s="107"/>
      <c r="D24" s="75">
        <f>SUM(D20:D21)</f>
        <v>0.16500000000000001</v>
      </c>
      <c r="F24" s="73" t="s">
        <v>80</v>
      </c>
      <c r="G24" s="59">
        <f>SUM(G23:K23)</f>
        <v>148.77843168364993</v>
      </c>
      <c r="H24" s="61"/>
      <c r="I24" s="61"/>
      <c r="J24" s="61"/>
      <c r="K24" s="74"/>
    </row>
    <row r="25" spans="2:11" hidden="1"/>
    <row r="26" spans="2:11" hidden="1">
      <c r="C26" s="76">
        <f>C10</f>
        <v>229.84714000000002</v>
      </c>
      <c r="D26" s="77">
        <f>1/(1+D24)^C17</f>
        <v>0.46598332205042353</v>
      </c>
    </row>
    <row r="27" spans="2:11" hidden="1">
      <c r="B27" s="78" t="s">
        <v>91</v>
      </c>
      <c r="C27" s="76">
        <f>C26*D26</f>
        <v>107.10493386098879</v>
      </c>
    </row>
  </sheetData>
  <mergeCells count="5">
    <mergeCell ref="B2:D2"/>
    <mergeCell ref="B19:D19"/>
    <mergeCell ref="B20:C20"/>
    <mergeCell ref="B21:C21"/>
    <mergeCell ref="B24:C24"/>
  </mergeCells>
  <dataValidations count="1">
    <dataValidation type="list" allowBlank="1" showInputMessage="1" showErrorMessage="1" sqref="C17" xr:uid="{D4799B79-68BE-474D-A630-41A258A8FB1B}">
      <formula1>$M$4:$M$5</formula1>
    </dataValidation>
  </dataValidations>
  <hyperlinks>
    <hyperlink ref="E20" r:id="rId1" xr:uid="{809410AB-2686-4093-BECD-5ADD101A3CD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3C15-FF64-4B4F-A556-3DD4D9D0F9B3}">
  <dimension ref="B1:C5"/>
  <sheetViews>
    <sheetView zoomScale="102" zoomScaleNormal="102" workbookViewId="0">
      <selection activeCell="C4" sqref="C4"/>
    </sheetView>
  </sheetViews>
  <sheetFormatPr defaultColWidth="8.77734375" defaultRowHeight="14.4"/>
  <cols>
    <col min="2" max="2" width="17.44140625" customWidth="1"/>
    <col min="3" max="3" width="10" customWidth="1"/>
    <col min="4" max="4" width="14.21875" customWidth="1"/>
  </cols>
  <sheetData>
    <row r="1" spans="2:3">
      <c r="B1" s="108" t="s">
        <v>101</v>
      </c>
      <c r="C1" s="108"/>
    </row>
    <row r="2" spans="2:3" s="91" customFormat="1" ht="45.6" customHeight="1">
      <c r="B2" s="90" t="s">
        <v>92</v>
      </c>
      <c r="C2" s="90" t="s">
        <v>93</v>
      </c>
    </row>
    <row r="3" spans="2:3" s="91" customFormat="1" ht="15.6" customHeight="1">
      <c r="B3" s="108" t="s">
        <v>94</v>
      </c>
      <c r="C3" s="108"/>
    </row>
    <row r="4" spans="2:3">
      <c r="B4" s="37" t="s">
        <v>95</v>
      </c>
      <c r="C4" s="92">
        <f>'AS-17'!C10+'AS-19'!C10</f>
        <v>267.52747000000005</v>
      </c>
    </row>
    <row r="5" spans="2:3" s="64" customFormat="1">
      <c r="B5" s="93" t="s">
        <v>93</v>
      </c>
      <c r="C5" s="94">
        <f>SUM(C4:C4)</f>
        <v>267.52747000000005</v>
      </c>
    </row>
  </sheetData>
  <mergeCells count="2">
    <mergeCell ref="B1:C1"/>
    <mergeCell ref="B3:C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IECCL</vt:lpstr>
      <vt:lpstr>SPVs</vt:lpstr>
      <vt:lpstr>Brindavan</vt:lpstr>
      <vt:lpstr>AS-17</vt:lpstr>
      <vt:lpstr>AS-19</vt:lpstr>
      <vt:lpstr>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2024-03-15T06:28:31Z</dcterms:modified>
</cp:coreProperties>
</file>